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Sheet3" sheetId="75" r:id="rId39"/>
    <sheet name="土地使用证" sheetId="76" r:id="rId40"/>
    <sheet name="房产证" sheetId="77" r:id="rId41"/>
    <sheet name="主营业务收入" sheetId="78" r:id="rId42"/>
    <sheet name="其他业务利润" sheetId="79" r:id="rId43"/>
    <sheet name="成本法（废）" sheetId="11" state="hidden" r:id="rId44"/>
    <sheet name="区片价" sheetId="44" state="hidden" r:id="rId45"/>
    <sheet name="因素修正幅度" sheetId="65" state="hidden" r:id="rId46"/>
    <sheet name="存贷款利率" sheetId="73" state="hidden" r:id="rId47"/>
    <sheet name="Sheet1" sheetId="80" r:id="rId48"/>
    <sheet name="年期修正系数" sheetId="81"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_tsh4">#REF!</definedName>
    <definedName name="___tsh5">#REF!</definedName>
    <definedName name="___tsh6">#REF!</definedName>
    <definedName name="___tsh7">#REF!</definedName>
    <definedName name="__FCF1" localSheetId="42"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tsh4">#REF!</definedName>
    <definedName name="__tsh5">#REF!</definedName>
    <definedName name="__tsh6">#REF!</definedName>
    <definedName name="__tsh7">#REF!</definedName>
    <definedName name="_1">#REF!</definedName>
    <definedName name="_13">#REF!</definedName>
    <definedName name="_1其他资产_开办费除外_明细表">#REF!</definedName>
    <definedName name="_2">#REF!</definedName>
    <definedName name="_BSP2">#REF!</definedName>
    <definedName name="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Fill" hidden="1">[1]eqpmad2!#REF!</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0" hidden="1">房产证!$A$3:$FN$3</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PA7">'[2]SW-TEO'!#REF!</definedName>
    <definedName name="_PA8">'[2]SW-TEO'!#REF!</definedName>
    <definedName name="_PD1">'[2]SW-TEO'!#REF!</definedName>
    <definedName name="_PE12">'[2]SW-TEO'!#REF!</definedName>
    <definedName name="_PE13">'[2]SW-TEO'!#REF!</definedName>
    <definedName name="_PE6">'[2]SW-TEO'!#REF!</definedName>
    <definedName name="_PE7">'[2]SW-TEO'!#REF!</definedName>
    <definedName name="_PE8">'[2]SW-TEO'!#REF!</definedName>
    <definedName name="_PE9">'[2]SW-TEO'!#REF!</definedName>
    <definedName name="_PH1">'[2]SW-TEO'!#REF!</definedName>
    <definedName name="_PI1">'[2]SW-TEO'!#REF!</definedName>
    <definedName name="_PK1">'[2]SW-TEO'!#REF!</definedName>
    <definedName name="_PK3">'[2]SW-TEO'!#REF!</definedName>
    <definedName name="_Table1_In1" hidden="1">#REF!</definedName>
    <definedName name="_Table2_Out" hidden="1">#REF!</definedName>
    <definedName name="_tsh4">'[3]5折旧预测ok'!#REF!</definedName>
    <definedName name="_tsh5">'[3]5折旧预测ok'!#REF!</definedName>
    <definedName name="_tsh6">'[3]5折旧预测ok'!#REF!</definedName>
    <definedName name="_tsh7">'[3]5折旧预测ok'!#REF!</definedName>
    <definedName name="_YS1">#REF!</definedName>
    <definedName name="_YS2">'[4]YS02-02'!#REF!</definedName>
    <definedName name="A">'[5]#REF'!#REF!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iu_bottom">'[6]Financ. Overview'!#REF!</definedName>
    <definedName name="as">#REF!</definedName>
    <definedName name="B.dbf">#REF!</definedName>
    <definedName name="bb">[7]说明!$C$31</definedName>
    <definedName name="bbkm">[8]W!$B$2:$B$70</definedName>
    <definedName name="BS">#REF!</definedName>
    <definedName name="BSCS">#REF!</definedName>
    <definedName name="BSCSP2">#REF!</definedName>
    <definedName name="cable">[9]SENSITIVITY!$I$9</definedName>
    <definedName name="cable00">[10]SENSITIVITY!$I$9</definedName>
    <definedName name="cable01">[10]SENSITIVITY!$J$9</definedName>
    <definedName name="cable02">[10]SENSITIVITY!$K$9</definedName>
    <definedName name="cable03">[10]SENSITIVITY!$L$9</definedName>
    <definedName name="cable04">[10]SENSITIVITY!$M$9</definedName>
    <definedName name="cable99">[10]SENSITIVITY!$H$9</definedName>
    <definedName name="churn">[10]SENSITIVITY!$H$8</definedName>
    <definedName name="CompNo">'[11]Base Data'!#REF!</definedName>
    <definedName name="cost">#REF!</definedName>
    <definedName name="_xlnm.Database" hidden="1">#REF!</definedName>
    <definedName name="DCF打印">#REF!</definedName>
    <definedName name="DGGGHH">#REF!</definedName>
    <definedName name="didi">#REF!</definedName>
    <definedName name="discussion">[12]Title!$N$2</definedName>
    <definedName name="Document_array" localSheetId="42">{"Book1","公路收费权测算表.xls"}</definedName>
    <definedName name="Document_array">{"Book1","公路收费权测算表.xls"}</definedName>
    <definedName name="domesticQuality">[13]Parameters!#REF!</definedName>
    <definedName name="domesticQualityGrowth">[13]Parameters!#REF!</definedName>
    <definedName name="DU">[11]Title!$R$1:$R$2</definedName>
    <definedName name="DUnr">[11]Title!$R$1:$S$2</definedName>
    <definedName name="emailSentPerDay">[13]Parameters!#REF!</definedName>
    <definedName name="emailSentPerDayGrowth">[13]Parameters!#REF!</definedName>
    <definedName name="ENT_netdebt">[14]ENT!$C$47</definedName>
    <definedName name="ENT_share">[14]ENT!$C$10</definedName>
    <definedName name="EUR">'[12]Financial statements'!$B$1</definedName>
    <definedName name="exchange">#REF!</definedName>
    <definedName name="Exit_Year">'[15]Financial Statement'!#REF!</definedName>
    <definedName name="FCF" localSheetId="42"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F">[16]XL4Poppy!$B$1:$B$16</definedName>
    <definedName name="FHTL_share">[14]FTHL!$C$10</definedName>
    <definedName name="fix2000.dbf">#REF!</definedName>
    <definedName name="fixlj2000.dbf">#REF!</definedName>
    <definedName name="fl">#REF!</definedName>
    <definedName name="fll">#REF!</definedName>
    <definedName name="FRC">[17]Main!$C$9</definedName>
    <definedName name="frst">#REF!,#REF!</definedName>
    <definedName name="FTHL_netdebt">[14]FTHL!$C$48</definedName>
    <definedName name="g">[18]Sheet1!$B$243</definedName>
    <definedName name="GHJJ">#REF!</definedName>
    <definedName name="gInsertNewCompany" localSheetId="42">其他业务利润!gInsertNewCompany</definedName>
    <definedName name="gInsertNewCompany">[0]!gInsertNewCompany</definedName>
    <definedName name="GLBX_netdebt">[14]GX!$C$48</definedName>
    <definedName name="GLBX_share">[14]GX!$C$10</definedName>
    <definedName name="gPrintActivitiesPage" localSheetId="42">其他业务利润!gPrintActivitiesPage</definedName>
    <definedName name="gPrintActivitiesPage">[0]!gPrintActivitiesPage</definedName>
    <definedName name="gPrintAll" localSheetId="42">其他业务利润!gPrintAll</definedName>
    <definedName name="gPrintAll">[0]!gPrintAll</definedName>
    <definedName name="gPrintBaseDataPage" localSheetId="42">其他业务利润!gPrintBaseDataPage</definedName>
    <definedName name="gPrintBaseDataPage">[0]!gPrintBaseDataPage</definedName>
    <definedName name="gPrintBBExecPage" localSheetId="42">其他业务利润!gPrintBBExecPage</definedName>
    <definedName name="gPrintBBExecPage">[0]!gPrintBBExecPage</definedName>
    <definedName name="gPrintMultiplesPage" localSheetId="42">其他业务利润!gPrintMultiplesPage</definedName>
    <definedName name="gPrintMultiplesPage">[0]!gPrintMultiplesPage</definedName>
    <definedName name="gPrintTitlePage" localSheetId="42">其他业务利润!gPrintTitlePage</definedName>
    <definedName name="gPrintTitlePage">[0]!gPrintTitlePage</definedName>
    <definedName name="gProtectAll" localSheetId="42">其他业务利润!gProtectAll</definedName>
    <definedName name="gProtectAll">[0]!gProtectAll</definedName>
    <definedName name="gUnprotectAll" localSheetId="42">其他业务利润!gUnprotectAll</definedName>
    <definedName name="gUnprotectAll">[0]!gUnprotectAll</definedName>
    <definedName name="HE">[19]XL4Poppy!$A$15</definedName>
    <definedName name="HH">[16]XL4Poppy!$A$15</definedName>
    <definedName name="HHBB115">[20]试算平衡表!$G$116</definedName>
    <definedName name="HHBB122">[20]试算平衡表!$G$124</definedName>
    <definedName name="HHBB127">[20]试算平衡表!$G$129</definedName>
    <definedName name="HHBB134">[20]试算平衡表!$G$136</definedName>
    <definedName name="HHBB143">[20]试算平衡表!$G$146</definedName>
    <definedName name="HHBB144">[20]试算平衡表!$G$147</definedName>
    <definedName name="HHBB145">[20]试算平衡表!$G$148</definedName>
    <definedName name="HHBB146">[20]试算平衡表!$G$149</definedName>
    <definedName name="HHBB152">[20]试算平衡表!$G$155</definedName>
    <definedName name="HHBB153">[20]试算平衡表!$G$156</definedName>
    <definedName name="HHBB154">[20]试算平衡表!$G$157</definedName>
    <definedName name="HHBB161">[20]试算平衡表!$G$164</definedName>
    <definedName name="HHBB164">[20]试算平衡表!$G$167</definedName>
    <definedName name="HHBB22">[20]试算平衡表!$G$22</definedName>
    <definedName name="HHBB25">[20]试算平衡表!$G$25</definedName>
    <definedName name="HHBB28">[20]试算平衡表!$G$28</definedName>
    <definedName name="HHBB49">[20]试算平衡表!$G$49</definedName>
    <definedName name="HHBB50">[20]试算平衡表!$G$50</definedName>
    <definedName name="HHBB51">[20]试算平衡表!$G$51</definedName>
    <definedName name="HHBB53">[20]试算平衡表!$G$53</definedName>
    <definedName name="HHBB56">[20]试算平衡表!$G$56</definedName>
    <definedName name="HHBB71">[20]试算平衡表!$G$71</definedName>
    <definedName name="HHBB73">[20]试算平衡表!$G$73</definedName>
    <definedName name="HHBB77">[20]试算平衡表!$G$78</definedName>
    <definedName name="HHBB84">[20]试算平衡表!$G$85</definedName>
    <definedName name="HHBB89">[20]试算平衡表!$G$90</definedName>
    <definedName name="hist_date">[12]Title!$H$13</definedName>
    <definedName name="hjp">[7]收入!$A$15</definedName>
    <definedName name="hostfee">'[6]Financ. Overview'!$H$12</definedName>
    <definedName name="HP">[10]SENSITIVITY!$H$6</definedName>
    <definedName name="hraiu_bottom">'[6]Financ. Overview'!#REF!</definedName>
    <definedName name="HTML_CodePage" hidden="1">936</definedName>
    <definedName name="HTML_Control" localSheetId="42" hidden="1">{"'home'!$F$26","'home'!$A$1:$J$25"}</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hvac">'[6]Financ. Overview'!#REF!</definedName>
    <definedName name="HWSheet">1</definedName>
    <definedName name="IN_netdebt">[14]IN!$C$48</definedName>
    <definedName name="IN_share">[14]IN!$C$10</definedName>
    <definedName name="Industrial_Input">#REF!</definedName>
    <definedName name="Input">#REF!</definedName>
    <definedName name="International_Sales___Zee">[21]GenAssms!$B$87:$K$87</definedName>
    <definedName name="internationalQuality">[10]Parameters!#REF!</definedName>
    <definedName name="internationalQualityGrowth">[10]Parameters!#REF!</definedName>
    <definedName name="IS">#REF!</definedName>
    <definedName name="ISCS">#REF!</definedName>
    <definedName name="ISCSP">#REF!</definedName>
    <definedName name="ISP">#REF!</definedName>
    <definedName name="ITCD_netdebt">[14]ITCD!$C$48</definedName>
    <definedName name="ITCD_share">[14]ITCD!$C$10</definedName>
    <definedName name="itmed">#REF!</definedName>
    <definedName name="K">#REF!</definedName>
    <definedName name="kl">#REF!</definedName>
    <definedName name="kll">#REF!</definedName>
    <definedName name="klll">#REF!</definedName>
    <definedName name="KRW">#REF!</definedName>
    <definedName name="lf">#REF!</definedName>
    <definedName name="lff">#REF!</definedName>
    <definedName name="lfff">#REF!</definedName>
    <definedName name="List">#REF!</definedName>
    <definedName name="LVLT_netdebt">[14]LVLT!$C$47</definedName>
    <definedName name="LVLT_share">[14]LVLT!$C$10</definedName>
    <definedName name="m">#REF!</definedName>
    <definedName name="MFNX_netdebt">[14]MFNX!$C$48</definedName>
    <definedName name="MFNX_share">[14]MFNX!$C$10</definedName>
    <definedName name="MMBB160">[20]XBase!$E$172</definedName>
    <definedName name="Module.Prix_SMC" localSheetId="42">其他业务利润!Module.Prix_SMC</definedName>
    <definedName name="Module.Prix_SMC">Module.Prix_SMC</definedName>
    <definedName name="Multifamily_Input">#REF!</definedName>
    <definedName name="mxkm">[8]W!$D$2:$D$59</definedName>
    <definedName name="n">#REF!</definedName>
    <definedName name="name">[22]项目目录!$B$4:$B$14</definedName>
    <definedName name="NEON_netdebt">[14]NOPT!$C$47</definedName>
    <definedName name="NEON_share">[14]NOPT!$C$10</definedName>
    <definedName name="NEW" localSheetId="42"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rComps">#REF!</definedName>
    <definedName name="numFTPthruput">[13]Parameters!#REF!</definedName>
    <definedName name="numFTPthruputGrowth">[13]Parameters!#REF!</definedName>
    <definedName name="OS">[23]Open!#REF!</definedName>
    <definedName name="perp">#REF!</definedName>
    <definedName name="PP">[16]XL4Poppy!$C$4</definedName>
    <definedName name="pr_toolbox">[6]Toolbox!$A$3:$I$80</definedName>
    <definedName name="PRCGAAP">#REF!</definedName>
    <definedName name="PresentationNormalA4">#REF!</definedName>
    <definedName name="PricingHomeCell1">#REF!</definedName>
    <definedName name="_xlnm.Print_Area" localSheetId="8">估价师及机构信息!$A$1:$F$24</definedName>
    <definedName name="_xlnm.Print_Area" localSheetId="48">年期修正系数!$A$1:$S$20</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39">土地使用证!$A$1:$H$27</definedName>
    <definedName name="_xlnm.Print_Area" localSheetId="5">'预评函-4'!$A$1:$D$31</definedName>
    <definedName name="_xlnm.Print_Area">#REF!</definedName>
    <definedName name="Print_Area_MI">#REF!</definedName>
    <definedName name="print_area1">#REF!</definedName>
    <definedName name="_xlnm.Print_Titles" localSheetId="41">主营业务收入!$1:$5</definedName>
    <definedName name="Prix_SMC" localSheetId="42">其他业务利润!Prix_SMC</definedName>
    <definedName name="Prix_SMC">Prix_SMC</definedName>
    <definedName name="Production_Companies_Capex">[21]GenAssms!$B$133:$K$133</definedName>
    <definedName name="Range_of_Institutions">#REF!</definedName>
    <definedName name="rRange">#REF!</definedName>
    <definedName name="s_c_list">[24]Toolbox!$A$7:$H$969</definedName>
    <definedName name="SAU">'[25]P&amp;L weekly'!$A$4</definedName>
    <definedName name="SCG">'[26]G.1R-Shou COP Gf'!#REF!</definedName>
    <definedName name="sdlfee">'[6]Financ. Overview'!$H$13</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wLogo">[27]!ShowLogo</definedName>
    <definedName name="Siticable_package_____of_premium_channels">[21]GenAssms!#REF!</definedName>
    <definedName name="solar_ratio">'[28]POWER ASSUMPTIONS'!$H$7</definedName>
    <definedName name="ss">#REF!</definedName>
    <definedName name="ss7fee">'[6]Financ. Overview'!$H$18</definedName>
    <definedName name="Star_Movies___wholesale_price">[21]GenAssms!$B$83:$K$83</definedName>
    <definedName name="Star_Movies_share">[21]GenAssms!$B$70:$K$70</definedName>
    <definedName name="Star_TV_Plus_Cable_HH">[21]GenAssms!$B$29:$K$29</definedName>
    <definedName name="StarPlus__English____wholesale_price">[21]GenAssms!$B$81:$K$81</definedName>
    <definedName name="StarPlus__Hindi____Prod_Cost">[21]GenAssms!$B$97:$K$97</definedName>
    <definedName name="StarPlus__Hindi____wholesale_price">[21]GenAssms!$B$80:$K$80</definedName>
    <definedName name="StarPlus_share__English">[21]GenAssms!$B$72:$K$72</definedName>
    <definedName name="StarPlus_share__Hindi">[21]GenAssms!$B$71:$K$71</definedName>
    <definedName name="subsfee">'[6]Financ. Overview'!$H$14</definedName>
    <definedName name="t">#REF!</definedName>
    <definedName name="Target">[12]Title!$H$12</definedName>
    <definedName name="TCM_netdebt">[14]TCM!$C$48</definedName>
    <definedName name="TCM_share">[14]TCM!$C$10</definedName>
    <definedName name="TestAdd">"Test RefersTo1"</definedName>
    <definedName name="the_caller" localSheetId="42">其他业务利润!the_caller</definedName>
    <definedName name="the_caller">[0]!the_caller</definedName>
    <definedName name="title">[29]Cover!$C$4</definedName>
    <definedName name="toolbox">[30]Toolbox!$C$5:$T$1578</definedName>
    <definedName name="Transponder_costs_per_channel___digital">[21]GenAssms!$B$118:$K$118</definedName>
    <definedName name="TSIX_netdebt">[14]TSIX!$C$48</definedName>
    <definedName name="TSIX_share">[14]TSIX!$C$10</definedName>
    <definedName name="turnemoff" localSheetId="42">其他业务利润!turnemoff</definedName>
    <definedName name="turnemoff">[0]!turnemoff</definedName>
    <definedName name="UAE">'[25]P&amp;L weekly'!$A$6</definedName>
    <definedName name="UFPrn20001231102643">#REF!</definedName>
    <definedName name="UFPrn20010103130336">#REF!</definedName>
    <definedName name="UFPrn20010712083924">#REF!</definedName>
    <definedName name="UFPrn20020224093130">#REF!</definedName>
    <definedName name="UFPrn20020224094757">#REF!</definedName>
    <definedName name="UFPrn20020224101302">#REF!</definedName>
    <definedName name="UFPrn20020224101600">#REF!</definedName>
    <definedName name="UFPrn20020228143318">#REF!</definedName>
    <definedName name="UFPrn20020303094007">#REF!</definedName>
    <definedName name="UFPrn20020722091916">#REF!</definedName>
    <definedName name="UFPrn20020805135038">'[31]2002.1-6管理费用'!#REF!</definedName>
    <definedName name="UFPrn20020913104913">#REF!</definedName>
    <definedName name="UFPrn20020914163526">#REF!</definedName>
    <definedName name="UFPrn20020914163555">#REF!</definedName>
    <definedName name="UFPrn20020920095026">#REF!</definedName>
    <definedName name="UFPrn20030403152012">#REF!</definedName>
    <definedName name="UFPrn20030513144139">#REF!</definedName>
    <definedName name="UFPrn20030513214425">#REF!</definedName>
    <definedName name="UFPrn20030514101052">[32]预收帐款!#REF!</definedName>
    <definedName name="UFPrn20030517160435">#REF!</definedName>
    <definedName name="UFPrn20031014134538">#REF!</definedName>
    <definedName name="UFPrn20031021113103">#REF!</definedName>
    <definedName name="UFPrn20040207171913">#REF!</definedName>
    <definedName name="UFPrn20040223093312">#REF!</definedName>
    <definedName name="UFPrn20040720112525">#REF!</definedName>
    <definedName name="UFPrn20041020141251">#REF!</definedName>
    <definedName name="UFPrn20051213145032">#REF!</definedName>
    <definedName name="UFPrn20060919140458">#REF!</definedName>
    <definedName name="unit">[29]Assumption!$N$2</definedName>
    <definedName name="usd">#REF!</definedName>
    <definedName name="USDAUD">'[33]Common Assumptions'!$E$32</definedName>
    <definedName name="V5.1Fee">'[6]Financ. Overview'!$H$15</definedName>
    <definedName name="val_date">#REF!</definedName>
    <definedName name="WCG_netdebt">[14]WCG!$C$48</definedName>
    <definedName name="WCG_share">[14]WCG!$C$10</definedName>
    <definedName name="Wedge">#REF!</definedName>
    <definedName name="Work_Program_By_Area_List">#REF!</definedName>
    <definedName name="wrn.Asia." localSheetId="4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contribution." localSheetId="42" hidden="1">{#N/A,#N/A,FALSE,"Contribution Analysis"}</definedName>
    <definedName name="wrn.contribution." hidden="1">{#N/A,#N/A,FALSE,"Contribution Analysis"}</definedName>
    <definedName name="wrn.Cover." localSheetId="42"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42" hidden="1">{"orixcsc",#N/A,FALSE,"ORIX CSC";"orixcsc2",#N/A,FALSE,"ORIX CSC"}</definedName>
    <definedName name="wrn.csc." hidden="1">{"orixcsc",#N/A,FALSE,"ORIX CSC";"orixcsc2",#N/A,FALSE,"ORIX CSC"}</definedName>
    <definedName name="wrn.csc2." localSheetId="42" hidden="1">{#N/A,#N/A,FALSE,"ORIX CSC"}</definedName>
    <definedName name="wrn.csc2." hidden="1">{#N/A,#N/A,FALSE,"ORIX CSC"}</definedName>
    <definedName name="wrn.dcf." localSheetId="42"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Entire._.Model." localSheetId="42" hidden="1">{"Issues1",#N/A,FALSE,"Issues"}</definedName>
    <definedName name="wrn.Entire._.Model." hidden="1">{"Issues1",#N/A,FALSE,"Issues"}</definedName>
    <definedName name="wrn.Europe." localSheetId="4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ull._.Print." localSheetId="42" hidden="1">{"cover page",#N/A,TRUE,"Cover sheet";"Assumptions",#N/A,TRUE,"Main Sheet";"Growth Rates and Margins and Ratios",#N/A,TRUE,"Main Sheet";"Income Statement",#N/A,TRUE,"Main Sheet";"Balance Sheet",#N/A,TRUE,"Main Sheet";"Interest Schedule",#N/A,TRUE,"Main Sheet";"Cashflows",#N/A,TRUE,"Main Sheet"}</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output." localSheetId="42"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rintout." localSheetId="42" hidden="1">{"Multiple view",#N/A,FALSE,"GS Update Valuation";"NLG Merger view",#N/A,FALSE,"GS Update Valuation";"Dollar Merger view",#N/A,FALSE,"GS Update Valuation"}</definedName>
    <definedName name="wrn.Printout." hidden="1">{"Multiple view",#N/A,FALSE,"GS Update Valuation";"NLG Merger view",#N/A,FALSE,"GS Update Valuation";"Dollar Merger view",#N/A,FALSE,"GS Update Valuation"}</definedName>
    <definedName name="wrn.Singtel._.Model." localSheetId="42"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test." localSheetId="42" hidden="1">{"test2",#N/A,TRUE,"Prices"}</definedName>
    <definedName name="wrn.test." hidden="1">{"test2",#N/A,TRUE,"Prices"}</definedName>
    <definedName name="Z32_Cost_red">'[6]Financ. Overview'!#REF!</definedName>
    <definedName name="zjgch2000.dbf">#REF!</definedName>
    <definedName name="啊">'[5]#REF'!$C$4</definedName>
    <definedName name="八级">区片价!$O$1:$O$40</definedName>
    <definedName name="办公层高" localSheetId="38">'[34]比较法-办公'!$B$119:$M$119</definedName>
    <definedName name="办公层高" localSheetId="5">'[35]比较法-办公'!$B$115:$M$115</definedName>
    <definedName name="办公层高">'比较法-办公'!$B$119:$M$119</definedName>
    <definedName name="办公朝向" localSheetId="38">'[34]比较法-办公'!$B$91:$M$91</definedName>
    <definedName name="办公朝向" localSheetId="5">'[35]比较法-办公'!$B$87:$M$87</definedName>
    <definedName name="办公朝向">'比较法-办公'!$B$91:$M$91</definedName>
    <definedName name="办公道路级别" localSheetId="38">'[34]比较法-办公'!$B$87:$M$87</definedName>
    <definedName name="办公道路级别" localSheetId="5">'[35]比较法-办公'!$B$83:$M$83</definedName>
    <definedName name="办公道路级别">'比较法-办公'!$B$87:$M$87</definedName>
    <definedName name="办公公共部分装修" localSheetId="38">'[34]比较法-办公'!$B$108:$M$108</definedName>
    <definedName name="办公公共部分装修" localSheetId="5">'[35]比较法-办公'!$B$104:$M$104</definedName>
    <definedName name="办公公共部分装修">'比较法-办公'!$B$108:$M$108</definedName>
    <definedName name="办公基础设施水平" localSheetId="38">'[34]比较法-办公'!$B$117:$M$117</definedName>
    <definedName name="办公基础设施水平" localSheetId="5">'[35]比较法-办公'!$B$113:$M$113</definedName>
    <definedName name="办公基础设施水平">'比较法-办公'!$B$117:$M$117</definedName>
    <definedName name="办公集聚程度" localSheetId="38">[34]定义!$M$1:$M$6</definedName>
    <definedName name="办公集聚程度" localSheetId="5">[35]定义!$M$1:$M$6</definedName>
    <definedName name="办公集聚程度">定义!$M$1:$M$6</definedName>
    <definedName name="办公建筑结构" localSheetId="38">'[34]比较法-办公'!$B$106:$M$106</definedName>
    <definedName name="办公建筑结构" localSheetId="5">'[35]比较法-办公'!$B$102:$M$102</definedName>
    <definedName name="办公建筑结构">'比较法-办公'!$B$106:$M$106</definedName>
    <definedName name="办公建筑类型" localSheetId="38">'[34]比较法-办公'!$B$101:$M$101</definedName>
    <definedName name="办公建筑类型" localSheetId="5">'[35]比较法-办公'!$B$97:$M$97</definedName>
    <definedName name="办公建筑类型">'比较法-办公'!$B$101:$M$101</definedName>
    <definedName name="办公交易情况" localSheetId="38">'[34]比较法-办公'!$A$62:$M$62</definedName>
    <definedName name="办公交易情况" localSheetId="5">'[35]比较法-办公'!$A$60:$M$60</definedName>
    <definedName name="办公交易情况">'比较法-办公'!$A$62:$M$62</definedName>
    <definedName name="办公楼层" localSheetId="38">'[34]比较法-办公'!$B$89:$M$89</definedName>
    <definedName name="办公楼层" localSheetId="5">'[35]比较法-办公'!$B$85:$M$85</definedName>
    <definedName name="办公楼层">'比较法-办公'!$B$89:$M$89</definedName>
    <definedName name="办公内部装修" localSheetId="38">'[34]比较法-办公'!$B$123:$M$123</definedName>
    <definedName name="办公内部装修" localSheetId="5">'[35]比较法-办公'!$B$119:$M$119</definedName>
    <definedName name="办公内部装修">'比较法-办公'!$B$123:$M$123</definedName>
    <definedName name="办公物业管理" localSheetId="38">'[34]比较法-办公'!$B$115:$M$115</definedName>
    <definedName name="办公物业管理" localSheetId="5">'[35]比较法-办公'!$B$111:$M$111</definedName>
    <definedName name="办公物业管理">'比较法-办公'!$B$115:$M$115</definedName>
    <definedName name="办公销售回款率">#REF!</definedName>
    <definedName name="办公用途" localSheetId="38">'[34]比较法-办公'!$B$64:$M$64</definedName>
    <definedName name="办公用途" localSheetId="5">'[35]比较法-办公'!$B$62:$M$62</definedName>
    <definedName name="办公用途">'比较法-办公'!$B$64:$M$64</definedName>
    <definedName name="备___注">#REF!</definedName>
    <definedName name="编号">'[36]6月'!$A$5:$G$73</definedName>
    <definedName name="不动产分类别汇总表3" localSheetId="42">{"Book1","公路收费权测算表.xls"}</definedName>
    <definedName name="不动产分类别汇总表3">{"Book1","公路收费权测算表.xls"}</definedName>
    <definedName name="财务软件" localSheetId="42">其他业务利润!财务软件</definedName>
    <definedName name="财务软件">财务软件</definedName>
    <definedName name="仓储公共部分装修" localSheetId="38">'[34]比较法-仓储'!$B$77:$M$77</definedName>
    <definedName name="仓储公共部分装修" localSheetId="5">'[35]比较法-仓储'!$B$73:$M$73</definedName>
    <definedName name="仓储公共部分装修">'比较法-仓储'!$B$77:$M$77</definedName>
    <definedName name="仓储交易情况" localSheetId="38">'[34]比较法-仓储'!$A$49:$M$49</definedName>
    <definedName name="仓储交易情况" localSheetId="5">'[35]比较法-仓储'!$A$47:$M$47</definedName>
    <definedName name="仓储交易情况">'比较法-仓储'!$A$49:$M$49</definedName>
    <definedName name="仓储楼层" localSheetId="38">'[34]比较法-仓储'!$B$69:$M$69</definedName>
    <definedName name="仓储楼层" localSheetId="5">'[35]比较法-仓储'!$B$65:$M$65</definedName>
    <definedName name="仓储楼层">'比较法-仓储'!$B$69:$M$69</definedName>
    <definedName name="仓储物业等级" localSheetId="38">'[34]比较法-仓储'!$B$82:$M$82</definedName>
    <definedName name="仓储物业等级" localSheetId="5">'[35]比较法-仓储'!$B$78:$M$78</definedName>
    <definedName name="仓储物业等级">'比较法-仓储'!$B$82:$M$82</definedName>
    <definedName name="仓储用途" localSheetId="38">'[34]比较法-仓储'!$B$51:$M$51</definedName>
    <definedName name="仓储用途" localSheetId="5">'[35]比较法-仓储'!$B$49:$M$49</definedName>
    <definedName name="仓储用途">'比较法-仓储'!$B$51:$M$51</definedName>
    <definedName name="产业集聚程度" localSheetId="38">[34]定义!$N$1:$N$6</definedName>
    <definedName name="产业集聚程度" localSheetId="5">[35]定义!$N$1:$N$6</definedName>
    <definedName name="产业集聚程度">定义!$N$1:$N$6</definedName>
    <definedName name="车位公共部分装修" localSheetId="38">'[34]比较法-车位'!$B$83:$M$83</definedName>
    <definedName name="车位公共部分装修" localSheetId="5">'[35]比较法-车位'!$B$79:$M$79</definedName>
    <definedName name="车位公共部分装修">'比较法-车位'!$B$83:$M$83</definedName>
    <definedName name="车位交易情况" localSheetId="38">'[34]比较法-车位'!$A$51:$M$51</definedName>
    <definedName name="车位交易情况" localSheetId="5">'[35]比较法-车位'!$A$49:$M$49</definedName>
    <definedName name="车位交易情况">'比较法-车位'!$A$51:$M$51</definedName>
    <definedName name="车位类型" localSheetId="38">'[34]比较法-车位'!$B$93:$M$93</definedName>
    <definedName name="车位类型" localSheetId="5">'[35]比较法-车位'!$B$89:$M$89</definedName>
    <definedName name="车位类型">'比较法-车位'!$B$93:$M$93</definedName>
    <definedName name="车位楼层" localSheetId="38">'[34]比较法-车位'!$B$71:$M$71</definedName>
    <definedName name="车位楼层" localSheetId="5">'[35]比较法-车位'!$B$67:$M$67</definedName>
    <definedName name="车位楼层">'比较法-车位'!$B$71:$M$71</definedName>
    <definedName name="车位面积">#REF!</definedName>
    <definedName name="车位配套类型" localSheetId="38">'[34]比较法-车位'!$B$79:$M$79</definedName>
    <definedName name="车位配套类型" localSheetId="5">'[35]比较法-车位'!$B$75:$M$75</definedName>
    <definedName name="车位配套类型">'比较法-车位'!$B$79:$M$79</definedName>
    <definedName name="车位物业等级" localSheetId="38">'[34]比较法-车位'!$B$88:$M$88</definedName>
    <definedName name="车位物业等级" localSheetId="5">'[35]比较法-车位'!$B$84:$M$84</definedName>
    <definedName name="车位物业等级">'比较法-车位'!$B$88:$M$88</definedName>
    <definedName name="车位销售回款率">#REF!</definedName>
    <definedName name="车位用途" localSheetId="38">'[34]比较法-车位'!$B$53:$M$53</definedName>
    <definedName name="车位用途" localSheetId="5">'[35]比较法-车位'!$B$51:$M$51</definedName>
    <definedName name="车位用途">'比较法-车位'!$B$53:$M$53</definedName>
    <definedName name="陈勇">#REF!</definedName>
    <definedName name="城镇土地纳税等级分级范围" localSheetId="38">'[34]数据-取费表'!$A$53:$A$63</definedName>
    <definedName name="城镇土地纳税等级分级范围" localSheetId="5">'[35]数据-取费表'!$D$36:$D$46</definedName>
    <definedName name="城镇土地纳税等级分级范围">'数据-取费表'!$A$53:$A$63</definedName>
    <definedName name="存货93期初">[37]企业表一!$C$7</definedName>
    <definedName name="存货93期末">[37]企业表一!$D$7</definedName>
    <definedName name="存货94期初">[37]企业表一!$E$7</definedName>
    <definedName name="存货94期末">[37]企业表一!$F$7</definedName>
    <definedName name="存货95期初">[37]企业表一!$G$7</definedName>
    <definedName name="存货95期末">[37]企业表一!$H$7</definedName>
    <definedName name="存货合计">#REF!</definedName>
    <definedName name="存货明细">#REF!</definedName>
    <definedName name="大多数">[38]XL4Poppy!$A$15</definedName>
    <definedName name="待处理固定资产净损失明细表">#REF!</definedName>
    <definedName name="单价内涵" localSheetId="38">[34]定义!$V$1:$V$3</definedName>
    <definedName name="单价内涵" localSheetId="5">[35]定义!$U$1:$U$3</definedName>
    <definedName name="单价内涵">定义!$V$1:$V$3</definedName>
    <definedName name="地类判定" localSheetId="38">[34]定义!$H$1:$H$9</definedName>
    <definedName name="地类判定" localSheetId="5">[35]定义!$H$1:$H$9</definedName>
    <definedName name="地类判定">定义!$H$1:$H$9</definedName>
    <definedName name="电子">[39]电子!$B$7:$Q$1484</definedName>
    <definedName name="调查表19" localSheetId="42">{"Book1","公路收费权测算表.xls"}</definedName>
    <definedName name="调查表19">{"Book1","公路收费权测算表.xls"}</definedName>
    <definedName name="调整分录汇总表_1997_1999.9.30">#REF!</definedName>
    <definedName name="短期投资_债券_明细表">#REF!</definedName>
    <definedName name="二级">区片价!$I$1:$I$20</definedName>
    <definedName name="二级分类" localSheetId="38">[34]修正!$C$17:$C$39</definedName>
    <definedName name="二级分类" localSheetId="5">[35]修正!$C$17:$C$39</definedName>
    <definedName name="二级分类">修正!$C$17:$C$39</definedName>
    <definedName name="法定最高年限" localSheetId="38">[34]定义!$G$1:$G$4</definedName>
    <definedName name="法定最高年限" localSheetId="5">[35]定义!$G$1:$G$4</definedName>
    <definedName name="法定最高年限">定义!$G$1:$G$4</definedName>
    <definedName name="房屋重置成本测算表" localSheetId="42">{"Book1","公路收费权测算表.xls"}</definedName>
    <definedName name="房屋重置成本测算表">{"Book1","公路收费权测算表.xls"}</definedName>
    <definedName name="负债合计93期末">[37]企业表一!$D$17</definedName>
    <definedName name="负债合计94期末">[37]企业表一!$F$17</definedName>
    <definedName name="负债合计95期末">[37]企业表一!$H$17</definedName>
    <definedName name="附加">#REF!</definedName>
    <definedName name="工">[40]项目目录!$B$4:$B$14</definedName>
    <definedName name="工业公共部分装修" localSheetId="38">'[34]比较法-工业'!$B$95:$M$95</definedName>
    <definedName name="工业公共部分装修" localSheetId="5">'[35]比较法-工业'!$B$91:$M$91</definedName>
    <definedName name="工业公共部分装修">'比较法-工业'!$B$95:$M$95</definedName>
    <definedName name="工业基础设施水平" localSheetId="38">'[34]比较法-工业'!$B$102:$M$102</definedName>
    <definedName name="工业基础设施水平" localSheetId="5">'[35]比较法-工业'!$B$98:$M$98</definedName>
    <definedName name="工业基础设施水平">'比较法-工业'!$B$102:$M$102</definedName>
    <definedName name="工业建筑结构" localSheetId="38">'[34]比较法-工业'!$B$93:$M$93</definedName>
    <definedName name="工业建筑结构" localSheetId="5">'[35]比较法-工业'!$B$89:$M$89</definedName>
    <definedName name="工业建筑结构">'比较法-工业'!$B$93:$M$93</definedName>
    <definedName name="工业建筑类型" localSheetId="38">'[34]比较法-工业'!$B$88:$M$88</definedName>
    <definedName name="工业建筑类型" localSheetId="5">'[35]比较法-工业'!$B$84:$M$84</definedName>
    <definedName name="工业建筑类型">'比较法-工业'!$B$88:$M$88</definedName>
    <definedName name="工业交易情况" localSheetId="38">'[34]比较法-工业'!$A$55:$M$55</definedName>
    <definedName name="工业交易情况" localSheetId="5">'[35]比较法-工业'!$A$53:$M$53</definedName>
    <definedName name="工业交易情况">'比较法-工业'!$A$55:$M$55</definedName>
    <definedName name="工业内部装修" localSheetId="38">'[34]比较法-工业'!$B$104:$M$104</definedName>
    <definedName name="工业内部装修" localSheetId="5">'[35]比较法-工业'!$B$100:$M$100</definedName>
    <definedName name="工业内部装修">'比较法-工业'!$B$104:$M$104</definedName>
    <definedName name="工业物业管理" localSheetId="38">'[34]比较法-工业'!$B$100:$M$100</definedName>
    <definedName name="工业物业管理" localSheetId="5">'[35]比较法-工业'!$B$96:$M$96</definedName>
    <definedName name="工业物业管理">'比较法-工业'!$B$100:$M$100</definedName>
    <definedName name="工业用途" localSheetId="38">'[34]比较法-工业'!$B$57:$M$57</definedName>
    <definedName name="工业用途" localSheetId="5">'[35]比较法-工业'!$B$55:$M$55</definedName>
    <definedName name="工业用途">'比较法-工业'!$B$57:$M$57</definedName>
    <definedName name="工资">#REF!</definedName>
    <definedName name="工资折旧">[9]SENSITIVITY!$J$9</definedName>
    <definedName name="工资折旧2">[9]SENSITIVITY!$K$9</definedName>
    <definedName name="公共配套设施" localSheetId="38">[34]定义!$Q$1:$Q$6</definedName>
    <definedName name="公共配套设施">定义!$Q$1:$Q$6</definedName>
    <definedName name="公用设施及基础设施水平" localSheetId="5">[35]定义!$Q$1:$Q$6</definedName>
    <definedName name="估价方法" localSheetId="38">[34]定义!$B$1:$B$50</definedName>
    <definedName name="估价方法" localSheetId="5">[35]定义!$B$1:$B$50</definedName>
    <definedName name="估价方法">定义!$B$1:$B$50</definedName>
    <definedName name="固定资产11">#REF!</definedName>
    <definedName name="固定资产5406">[41]清单12.31!$A$1:$Q$170</definedName>
    <definedName name="固定资产及累计折旧明细帐">[42]工时统计!$A$1:$O$40</definedName>
    <definedName name="固定资产清单">#REF!</definedName>
    <definedName name="管理费用明细表">#REF!</definedName>
    <definedName name="合___计">#REF!</definedName>
    <definedName name="合并价差明细表">#REF!</definedName>
    <definedName name="环境" localSheetId="38">[34]定义!$S$1:$S$6</definedName>
    <definedName name="环境" localSheetId="5">[35]定义!$R$1:$R$6</definedName>
    <definedName name="环境">定义!$S$1:$S$6</definedName>
    <definedName name="汇率">#REF!</definedName>
    <definedName name="基础设施水平" localSheetId="38">[34]定义!$R$1:$R$6</definedName>
    <definedName name="基础设施水平">定义!$R$1:$R$6</definedName>
    <definedName name="季度" localSheetId="5">[35]基准地价修正!$O$19:$Z$19</definedName>
    <definedName name="季度">基准地价修正!$Q$19:$AD$19</definedName>
    <definedName name="价值类型2" localSheetId="38">[34]定义!$B$54:$B$56</definedName>
    <definedName name="价值类型2" localSheetId="5">[35]定义!$B$54:$B$56</definedName>
    <definedName name="价值类型2">定义!$B$54:$B$56</definedName>
    <definedName name="交通便捷度" localSheetId="38">[34]定义!$O$1:$O$6</definedName>
    <definedName name="交通便捷度" localSheetId="5">[35]定义!$O$1:$O$6</definedName>
    <definedName name="交通便捷度">定义!$O$1:$O$6</definedName>
    <definedName name="净_利_润93">'[37]M-5C'!$B$24</definedName>
    <definedName name="净_利_润94">'[37]M-5C'!$D$24</definedName>
    <definedName name="净_利_润95">'[37]M-5C'!$F$24</definedName>
    <definedName name="净资产合计93期初">[37]企业表一!$C$20</definedName>
    <definedName name="净资产合计93期末">[37]企业表一!$D$20</definedName>
    <definedName name="净资产合计94期初">[37]企业表一!$E$20</definedName>
    <definedName name="净资产合计94期末">[37]企业表一!$F$20</definedName>
    <definedName name="净资产合计95期初">[37]企业表一!$G$20</definedName>
    <definedName name="净资产合计95期末">[37]企业表一!$H$20</definedName>
    <definedName name="九级">区片价!$P$1:$P$46</definedName>
    <definedName name="전">#REF!</definedName>
    <definedName name="居住社区成熟度" localSheetId="38">[34]定义!$K$1:$K$6</definedName>
    <definedName name="居住社区成熟度" localSheetId="5">[35]定义!$K$1:$K$6</definedName>
    <definedName name="居住社区成熟度">定义!$K$1:$K$6</definedName>
    <definedName name="주택사업본부">#REF!</definedName>
    <definedName name="开办费明细表">#REF!</definedName>
    <definedName name="康志刚">#REF!</definedName>
    <definedName name="科目余额表">[43]物资采购含税转出!$B$3:$D$113</definedName>
    <definedName name="철구사업본부">#REF!</definedName>
    <definedName name="类别" localSheetId="38">[34]定义!$J$1:$J$3</definedName>
    <definedName name="类别">定义!$J$1:$J$3</definedName>
    <definedName name="累计折旧明细表">#REF!</definedName>
    <definedName name="利_润_总_额93">'[37]M-5A'!$B$10</definedName>
    <definedName name="利_润_总_额94">'[37]M-5A'!$C$10</definedName>
    <definedName name="利_润_总_额95">'[37]M-5A'!$D$10</definedName>
    <definedName name="联系人">[44]Contacts!#REF!</definedName>
    <definedName name="临街状况" localSheetId="38">[34]定义!$T$1:$T$5</definedName>
    <definedName name="临街状况" localSheetId="5">[35]定义!$S$1:$S$5</definedName>
    <definedName name="临街状况">定义!$T$1:$T$5</definedName>
    <definedName name="流_动_资_产93">'[37]M-5A'!$B$15</definedName>
    <definedName name="流_动_资_产94">'[37]M-5A'!$C$15</definedName>
    <definedName name="流_动_资_产95">'[37]M-5A'!$D$15</definedName>
    <definedName name="流动负债93期末">[37]企业表一!$D$15</definedName>
    <definedName name="流动负债94期末">[37]企业表一!$F$15</definedName>
    <definedName name="流动负债95期末">[37]企业表一!$H$15</definedName>
    <definedName name="六级">区片价!$M$1:$M$49</definedName>
    <definedName name="龙王庄" localSheetId="42">{"Book1","公路收费权测算表.xls"}</definedName>
    <definedName name="龙王庄">{"Book1","公路收费权测算表.xls"}</definedName>
    <definedName name="目录">#REF!</definedName>
    <definedName name="内部装修维护情况" localSheetId="38">[34]定义!$U$1:$U$6</definedName>
    <definedName name="内部装修维护情况" localSheetId="5">[35]定义!$T$1:$T$6</definedName>
    <definedName name="内部装修维护情况">定义!$U$1:$U$6</definedName>
    <definedName name="判定" localSheetId="38">[34]定义!$D$1:$D$4</definedName>
    <definedName name="判定" localSheetId="5">[35]定义!$D$1:$D$4</definedName>
    <definedName name="判定">定义!$D$1:$D$4</definedName>
    <definedName name="七级">区片价!$N$1:$N$49</definedName>
    <definedName name="七通一平" localSheetId="38">[34]修正!$A$6:$A$14</definedName>
    <definedName name="七通一平" localSheetId="5">[35]修正!$A$6:$A$14</definedName>
    <definedName name="七通一平">修正!$A$6:$A$14</definedName>
    <definedName name="其他货币资金明细表">#REF!</definedName>
    <definedName name="其他未交款明细表">#REF!</definedName>
    <definedName name="其他应付款明细表">#REF!</definedName>
    <definedName name="其他应收款明细表">#REF!</definedName>
    <definedName name="区域土地利用方向" localSheetId="38">[34]定义!$P$1:$P$6</definedName>
    <definedName name="区域土地利用方向" localSheetId="5">[35]定义!$P$1:$P$6</definedName>
    <definedName name="区域土地利用方向">定义!$P$1:$P$6</definedName>
    <definedName name="三级">区片价!$J$1:$J$21</definedName>
    <definedName name="商标采购.dbf">#REF!</definedName>
    <definedName name="商业层高" localSheetId="38">'[34]比较法-商业'!$B$116:$M$116</definedName>
    <definedName name="商业层高" localSheetId="5">'[35]比较法-商业'!$B$112:$M$112</definedName>
    <definedName name="商业层高">'比较法-商业'!$B$116:$M$116</definedName>
    <definedName name="商业成新度">'比较法-商业'!$B$109:$M$109</definedName>
    <definedName name="商业繁华度" localSheetId="38">[34]定义!$L$1:$L$6</definedName>
    <definedName name="商业繁华度" localSheetId="5">[35]定义!$L$1:$L$6</definedName>
    <definedName name="商业繁华度">定义!$L$1:$L$6</definedName>
    <definedName name="商业公共部分装修" localSheetId="38">'[34]比较法-商业'!$B$107:$M$107</definedName>
    <definedName name="商业公共部分装修" localSheetId="5">'[35]比较法-商业'!$B$103:$M$103</definedName>
    <definedName name="商业公共部分装修">'比较法-商业'!$B$107:$M$107</definedName>
    <definedName name="商业基础设施水平" localSheetId="38">'[34]比较法-商业'!$B$112:$M$112</definedName>
    <definedName name="商业基础设施水平" localSheetId="5">'[35]比较法-商业'!$B$108:$M$108</definedName>
    <definedName name="商业基础设施水平">'比较法-商业'!$B$112:$M$112</definedName>
    <definedName name="商业建筑结构" localSheetId="38">'[34]比较法-商业'!$B$105:$M$105</definedName>
    <definedName name="商业建筑结构" localSheetId="5">'[35]比较法-商业'!$B$101:$M$101</definedName>
    <definedName name="商业建筑结构">'比较法-商业'!$B$105:$M$105</definedName>
    <definedName name="商业交易情况" localSheetId="38">'[34]比较法-商业'!$A$61:$M$61</definedName>
    <definedName name="商业交易情况" localSheetId="5">'[35]比较法-商业'!$A$59:$M$59</definedName>
    <definedName name="商业交易情况">'比较法-商业'!$A$61:$M$61</definedName>
    <definedName name="商业街名称" localSheetId="38">[34]修正!$C$59:$C$119</definedName>
    <definedName name="商业街名称" localSheetId="5">[35]修正!$C$59:$C$119</definedName>
    <definedName name="商业街名称">修正!$C$59:$C$119</definedName>
    <definedName name="商业进深比" localSheetId="38">'[34]比较法-商业'!$B$120:$M$120</definedName>
    <definedName name="商业进深比" localSheetId="5">'[35]比较法-商业'!$B$116:$M$116</definedName>
    <definedName name="商业进深比">'比较法-商业'!$B$120:$M$120</definedName>
    <definedName name="商业类型" localSheetId="38">'[34]比较法-商业'!$B$100:$M$100</definedName>
    <definedName name="商业类型" localSheetId="5">'[35]比较法-商业'!$B$96:$M$96</definedName>
    <definedName name="商业类型">'比较法-商业'!$B$100:$M$100</definedName>
    <definedName name="商业临街状况" localSheetId="38">'[34]比较法-商业'!$B$86:$M$86</definedName>
    <definedName name="商业临街状况" localSheetId="5">'[35]比较法-商业'!$B$82:$M$82</definedName>
    <definedName name="商业临街状况">'比较法-商业'!$B$86:$M$86</definedName>
    <definedName name="商业楼层" localSheetId="38">'[34]比较法-商业'!$B$92:$M$92</definedName>
    <definedName name="商业楼层" localSheetId="5">'[35]比较法-商业'!$B$88:$M$88</definedName>
    <definedName name="商业楼层">'比较法-商业'!$B$92:$M$92</definedName>
    <definedName name="商业内部装修" localSheetId="38">'[34]比较法-商业'!$B$122:$M$122</definedName>
    <definedName name="商业内部装修" localSheetId="5">'[35]比较法-商业'!$B$118:$M$118</definedName>
    <definedName name="商业内部装修">'比较法-商业'!$B$122:$M$122</definedName>
    <definedName name="商业人流量" localSheetId="38">'[34]比较法-商业'!$B$90:$M$90</definedName>
    <definedName name="商业人流量" localSheetId="5">'[35]比较法-商业'!$B$86:$M$86</definedName>
    <definedName name="商业人流量">'比较法-商业'!$B$90:$M$90</definedName>
    <definedName name="商业销售回款率">#REF!</definedName>
    <definedName name="商业业态" localSheetId="38">'[34]比较法-商业'!$B$114:$M$114</definedName>
    <definedName name="商业业态" localSheetId="5">'[35]比较法-商业'!$B$110:$M$110</definedName>
    <definedName name="商业业态">'比较法-商业'!$B$114:$M$114</definedName>
    <definedName name="商业用途" localSheetId="38">'[34]比较法-商业'!$B$63:$M$63</definedName>
    <definedName name="商业用途" localSheetId="5">'[35]比较法-商业'!$B$61:$M$61</definedName>
    <definedName name="商业用途">'比较法-商业'!$B$63:$M$63</definedName>
    <definedName name="设备">[45]设备部房屋!$C$5:$AC$108</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区片价!$S$1:$S$8</definedName>
    <definedName name="十级">区片价!$Q$1:$Q$27</definedName>
    <definedName name="十一级">区片价!$R$1:$R$22</definedName>
    <definedName name="是否封闭" localSheetId="38">'[34]比较法-仓储'!$B$89:$M$89</definedName>
    <definedName name="是否封闭" localSheetId="5">'[35]比较法-仓储'!$B$85:$M$85</definedName>
    <definedName name="是否封闭">'比较法-仓储'!$B$89:$M$89</definedName>
    <definedName name="是否直接入户" localSheetId="38">'[34]比较法-车位'!$B$95:$M$95</definedName>
    <definedName name="是否直接入户" localSheetId="5">'[35]比较法-车位'!$B$91:$M$91</definedName>
    <definedName name="是否直接入户">'比较法-车位'!$B$95:$M$95</definedName>
    <definedName name="四级">区片价!$K$1:$K$28</definedName>
    <definedName name="速_动_资_产93">'[37]M-5A'!$B$14</definedName>
    <definedName name="速_动_资_产94">'[37]M-5A'!$C$14</definedName>
    <definedName name="速_动_资_产95">'[37]M-5A'!$D$14</definedName>
    <definedName name="索引号">#REF!</definedName>
    <definedName name="套工道路等级" localSheetId="38">'[34]土地比较法-工业'!$B$97:$M$97</definedName>
    <definedName name="套工道路等级" localSheetId="5">'[35]土地比较法-工业'!$B$93:$M$93</definedName>
    <definedName name="套工道路等级">'土地比较法-工业'!$B$97:$M$97</definedName>
    <definedName name="套工地质条件" localSheetId="38">'[34]土地比较法-工业'!$B$114:$M$114</definedName>
    <definedName name="套工地质条件" localSheetId="5">'[35]土地比较法-工业'!$B$110:$M$110</definedName>
    <definedName name="套工地质条件">'土地比较法-工业'!$B$114:$M$114</definedName>
    <definedName name="套工交易情况" localSheetId="38">'[34]土地比较法-住宅、综合'!$A$73:$M$73</definedName>
    <definedName name="套工交易情况" localSheetId="5">'[35]土地比较法-住宅、综合'!$A$71:$M$71</definedName>
    <definedName name="套工交易情况">'土地比较法-住宅、综合'!$A$73:$M$73</definedName>
    <definedName name="套工土地级别" localSheetId="38">'[34]土地比较法-工业'!$B$99:$M$99</definedName>
    <definedName name="套工土地级别" localSheetId="5">'[35]土地比较法-工业'!$B$95:$M$95</definedName>
    <definedName name="套工土地级别">'土地比较法-工业'!$B$99:$M$99</definedName>
    <definedName name="套工用途" localSheetId="38">'[34]土地比较法-工业'!$B$70:$M$70</definedName>
    <definedName name="套工用途" localSheetId="5">'[35]土地比较法-工业'!$B$68:$M$68</definedName>
    <definedName name="套工用途">'土地比较法-工业'!$B$70:$M$70</definedName>
    <definedName name="套工宗地开发程度" localSheetId="38">'[34]土地比较法-工业'!$B$112:$M$112</definedName>
    <definedName name="套工宗地开发程度">'土地比较法-工业'!$B$112:$M$112</definedName>
    <definedName name="套工宗地形状" localSheetId="38">'[34]土地比较法-工业'!$B$110:$M$110</definedName>
    <definedName name="套工宗地形状" localSheetId="5">'[35]土地比较法-工业'!$B$106:$M$106</definedName>
    <definedName name="套工宗地形状">'土地比较法-工业'!$B$110:$M$110</definedName>
    <definedName name="套综道路等级" localSheetId="38">'[34]土地比较法-住宅、综合'!$B$106:$M$106</definedName>
    <definedName name="套综道路等级" localSheetId="5">'[35]土地比较法-住宅、综合'!$B$102:$M$102</definedName>
    <definedName name="套综道路等级">'土地比较法-住宅、综合'!$B$106:$M$106</definedName>
    <definedName name="套综工程地质条件" localSheetId="38">'[34]土地比较法-住宅、综合'!$B$125:$M$125</definedName>
    <definedName name="套综工程地质条件" localSheetId="5">'[35]土地比较法-住宅、综合'!$B$121:$M$121</definedName>
    <definedName name="套综工程地质条件">'土地比较法-住宅、综合'!$B$125:$M$125</definedName>
    <definedName name="套综交易情况" localSheetId="38">'[34]土地比较法-住宅、综合'!$A$73:$M$73</definedName>
    <definedName name="套综交易情况" localSheetId="5">'[35]土地比较法-住宅、综合'!$A$71:$M$71</definedName>
    <definedName name="套综交易情况">'土地比较法-住宅、综合'!$A$73:$M$73</definedName>
    <definedName name="套综临街宽度及深度" localSheetId="38">'[34]土地比较法-住宅、综合'!$B$121:$M$121</definedName>
    <definedName name="套综临街宽度及深度" localSheetId="5">'[35]土地比较法-住宅、综合'!$B$117:$M$117</definedName>
    <definedName name="套综临街宽度及深度">'土地比较法-住宅、综合'!$B$121:$M$121</definedName>
    <definedName name="套综土地级别" localSheetId="38">'[34]土地比较法-住宅、综合'!$B$108:$M$108</definedName>
    <definedName name="套综土地级别" localSheetId="5">'[35]土地比较法-住宅、综合'!$B$104:$M$104</definedName>
    <definedName name="套综土地级别">'土地比较法-住宅、综合'!$B$108:$M$108</definedName>
    <definedName name="套综用途" localSheetId="38">'[34]土地比较法-住宅、综合'!$B$75:$M$75</definedName>
    <definedName name="套综用途" localSheetId="5">'[35]土地比较法-住宅、综合'!$B$73:$M$73</definedName>
    <definedName name="套综用途">'土地比较法-住宅、综合'!$B$75:$M$75</definedName>
    <definedName name="套综宗地内开发程度" localSheetId="38">'[34]土地比较法-住宅、综合'!$B$123:$M$123</definedName>
    <definedName name="套综宗地内开发程度" localSheetId="5">'[35]土地比较法-住宅、综合'!$B$119:$M$119</definedName>
    <definedName name="套综宗地内开发程度">'土地比较法-住宅、综合'!$B$123:$M$123</definedName>
    <definedName name="套综宗地形状" localSheetId="38">'[34]土地比较法-住宅、综合'!$B$119:$M$119</definedName>
    <definedName name="套综宗地形状" localSheetId="5">'[35]土地比较法-住宅、综合'!$B$115:$M$115</definedName>
    <definedName name="套综宗地形状">'土地比较法-住宅、综合'!$B$119:$M$119</definedName>
    <definedName name="土地18" localSheetId="42">{"Book1","公路收费权测算表.xls"}</definedName>
    <definedName name="土地18">{"Book1","公路收费权测算表.xls"}</definedName>
    <definedName name="土地估价师">估价师及机构信息!$D$3:$D$24</definedName>
    <definedName name="土地级别" localSheetId="38">[34]定义!$C$1:$C$14</definedName>
    <definedName name="土地级别" localSheetId="5">[35]定义!$C$1:$C$13</definedName>
    <definedName name="土地级别">定义!$C$1:$C$14</definedName>
    <definedName name="土地利用方向">定义!$P$1:$P$6</definedName>
    <definedName name="土地年限区间" localSheetId="38">[34]定义!$I$1:$I$8</definedName>
    <definedName name="土地年限区间" localSheetId="5">[35]定义!$I$1:$I$8</definedName>
    <definedName name="土地年限区间">定义!$I$1:$I$8</definedName>
    <definedName name="未交税金明细表">#REF!</definedName>
    <definedName name="未审合计">#REF!</definedName>
    <definedName name="未审数">#REF!</definedName>
    <definedName name="位置" localSheetId="38">[34]定义!$E$2:$E$4</definedName>
    <definedName name="位置">定义!$E$2:$E$4</definedName>
    <definedName name="我" localSheetId="42">其他业务利润!我</definedName>
    <definedName name="我">我</definedName>
    <definedName name="无对应明细表的报表项目">#REF!</definedName>
    <definedName name="五等判定" localSheetId="38">[34]定义!$W$1:$W$6</definedName>
    <definedName name="五等判定" localSheetId="5">[35]定义!$V$1:$V$6</definedName>
    <definedName name="五等判定">定义!$W$1:$W$6</definedName>
    <definedName name="五级">区片价!$L$1:$L$35</definedName>
    <definedName name="项目类型" localSheetId="38">'[34]数据-汇总表'!$C$17:$C$26</definedName>
    <definedName name="项目类型">'数据-汇总表'!$C$17:$C$26</definedName>
    <definedName name="销售进度">#REF!</definedName>
    <definedName name="写字楼等级" localSheetId="38">'[34]比较法-办公'!$B$113:$M$113</definedName>
    <definedName name="写字楼等级" localSheetId="5">'[35]比较法-办公'!$B$109:$M$109</definedName>
    <definedName name="写字楼等级">'比较法-办公'!$B$113:$M$113</definedName>
    <definedName name="新">#REF!</definedName>
    <definedName name="新1新">#REF!</definedName>
    <definedName name="一级">区片价!$H$1:$H$6</definedName>
    <definedName name="一修多修正项2" localSheetId="38">[34]典型户型修正!$5:$5</definedName>
    <definedName name="一修多修正项2" localSheetId="5">[35]典型户型修正!$A$5:$IV$5</definedName>
    <definedName name="一修多修正项2">典型户型修正!$5:$5</definedName>
    <definedName name="一修多修正项3" localSheetId="38">[34]典型户型修正!$7:$7</definedName>
    <definedName name="一修多修正项3" localSheetId="5">[35]典型户型修正!$A$7:$IV$7</definedName>
    <definedName name="一修多修正项3">典型户型修正!$7:$7</definedName>
    <definedName name="一修多修正项4" localSheetId="38">[34]典型户型修正!$9:$9</definedName>
    <definedName name="一修多修正项4" localSheetId="5">[35]典型户型修正!$A$9:$IV$9</definedName>
    <definedName name="一修多修正项4">典型户型修正!$9:$9</definedName>
    <definedName name="一修多修正项5" localSheetId="38">[34]典型户型修正!$11:$11</definedName>
    <definedName name="一修多修正项5" localSheetId="5">[35]典型户型修正!$A$11:$IV$11</definedName>
    <definedName name="一修多修正项5">典型户型修正!$11:$11</definedName>
    <definedName name="一修多修正项6" localSheetId="38">[34]典型户型修正!$13:$13</definedName>
    <definedName name="一修多修正项6" localSheetId="5">[35]典型户型修正!$A$13:$IV$13</definedName>
    <definedName name="一修多修正项6">典型户型修正!$13:$13</definedName>
    <definedName name="一修多修正项7" localSheetId="38">[34]典型户型修正!$15:$15</definedName>
    <definedName name="一修多修正项7" localSheetId="5">[35]典型户型修正!$A$15:$IV$15</definedName>
    <definedName name="一修多修正项7">典型户型修正!$15:$15</definedName>
    <definedName name="一修多修正项8" localSheetId="38">[34]典型户型修正!$17:$17</definedName>
    <definedName name="一修多修正项8" localSheetId="5">[35]典型户型修正!$A$17:$IV$17</definedName>
    <definedName name="一修多修正项8">典型户型修正!$17:$17</definedName>
    <definedName name="以前年度损益调整明细表">#REF!</definedName>
    <definedName name="应付票据明细表">#REF!</definedName>
    <definedName name="应会">'[5]#REF'!$C$5</definedName>
    <definedName name="应收帐款93期初">[37]企业表一!$C$6</definedName>
    <definedName name="应收帐款93期末">[37]企业表一!$D$6</definedName>
    <definedName name="应收帐款94期初">[37]企业表一!$E$6</definedName>
    <definedName name="应收帐款94期末">[37]企业表一!$F$6</definedName>
    <definedName name="应收帐款95期初">[37]企业表一!$G$6</definedName>
    <definedName name="应收帐款95期末">[37]企业表一!$H$6</definedName>
    <definedName name="营业外支出明细表">#REF!</definedName>
    <definedName name="用途明细" localSheetId="38">[34]定义!$A$1:$A$50</definedName>
    <definedName name="用途明细">定义!$A$1:$A$50</definedName>
    <definedName name="有无电梯" localSheetId="38">'[34]比较法-仓储'!$B$84:$M$84</definedName>
    <definedName name="有无电梯" localSheetId="5">'[35]比较法-仓储'!$B$80:$M$80</definedName>
    <definedName name="有无电梯">'比较法-仓储'!$B$84:$M$84</definedName>
    <definedName name="虞洁莹">#REF!</definedName>
    <definedName name="预付帐款04年4月" localSheetId="42">其他业务利润!预付帐款04年4月</definedName>
    <definedName name="预付帐款04年4月">预付帐款04年4月</definedName>
    <definedName name="预付帐款明细表">#REF!</definedName>
    <definedName name="预收货款明细表">#REF!</definedName>
    <definedName name="预提费用明细表">#REF!</definedName>
    <definedName name="账面">#REF!</definedName>
    <definedName name="折旧">'[46]6月'!$A$5:$G$74</definedName>
    <definedName name="制造" localSheetId="42">其他业务利润!制造</definedName>
    <definedName name="制造">制造</definedName>
    <definedName name="主用途" localSheetId="38">[34]定义!$F$1:$F$10</definedName>
    <definedName name="主用途">定义!$F$1:$F$10</definedName>
    <definedName name="住宅朝向" localSheetId="38">'[34]比较法-住宅'!$B$88:$M$88</definedName>
    <definedName name="住宅朝向" localSheetId="5">'[35]比较法-住宅'!$B$84:$M$84</definedName>
    <definedName name="住宅朝向">'比较法-住宅'!$B$88:$M$88</definedName>
    <definedName name="住宅房型" localSheetId="38">'[34]比较法-住宅'!$B$118:$M$118</definedName>
    <definedName name="住宅房型" localSheetId="5">'[35]比较法-住宅'!$B$114:$M$114</definedName>
    <definedName name="住宅房型">'比较法-住宅'!$B$118:$M$118</definedName>
    <definedName name="住宅公共部分装修" localSheetId="38">'[34]比较法-住宅'!$B$109:$M$109</definedName>
    <definedName name="住宅公共部分装修" localSheetId="5">'[35]比较法-住宅'!$B$105:$M$105</definedName>
    <definedName name="住宅公共部分装修">'比较法-住宅'!$B$109:$M$109</definedName>
    <definedName name="住宅基础设施水平" localSheetId="38">'[34]比较法-住宅'!$B$116:$M$116</definedName>
    <definedName name="住宅基础设施水平" localSheetId="5">'[35]比较法-住宅'!$B$112:$M$112</definedName>
    <definedName name="住宅基础设施水平">'比较法-住宅'!$B$116:$M$116</definedName>
    <definedName name="住宅建筑结构" localSheetId="38">'[34]比较法-住宅'!$B$105:$M$105</definedName>
    <definedName name="住宅建筑结构" localSheetId="5">'[35]比较法-住宅'!$B$101:$M$101</definedName>
    <definedName name="住宅建筑结构">'比较法-住宅'!$B$105:$M$105</definedName>
    <definedName name="住宅建筑类型" localSheetId="38">'[34]比较法-住宅'!$B$100:$M$100</definedName>
    <definedName name="住宅建筑类型" localSheetId="5">'[35]比较法-住宅'!$B$96:$M$96</definedName>
    <definedName name="住宅建筑类型">'比较法-住宅'!$B$100:$M$100</definedName>
    <definedName name="住宅建筑品质" localSheetId="38">'[34]比较法-住宅'!$B$107:$M$107</definedName>
    <definedName name="住宅建筑品质" localSheetId="5">'[35]比较法-住宅'!$B$103:$M$103</definedName>
    <definedName name="住宅建筑品质">'比较法-住宅'!$B$107:$M$107</definedName>
    <definedName name="住宅交易情况" localSheetId="38">'[34]比较法-住宅'!$A$61:$M$61</definedName>
    <definedName name="住宅交易情况" localSheetId="5">'[35]比较法-住宅'!$A$59:$M$59</definedName>
    <definedName name="住宅交易情况">'比较法-住宅'!$A$61:$M$61</definedName>
    <definedName name="住宅楼层" localSheetId="38">'[34]比较法-住宅'!$B$86:$M$86</definedName>
    <definedName name="住宅楼层" localSheetId="5">'[35]比较法-住宅'!$B$82:$M$82</definedName>
    <definedName name="住宅楼层">'比较法-住宅'!$B$86:$M$86</definedName>
    <definedName name="住宅内部装修" localSheetId="38">'[34]比较法-住宅'!$B$122:$M$122</definedName>
    <definedName name="住宅内部装修" localSheetId="5">'[35]比较法-住宅'!$B$118:$M$118</definedName>
    <definedName name="住宅内部装修">'比较法-住宅'!$B$122:$M$122</definedName>
    <definedName name="住宅物业管理" localSheetId="38">'[34]比较法-住宅'!$B$114:$M$114</definedName>
    <definedName name="住宅物业管理" localSheetId="5">'[35]比较法-住宅'!$B$110:$M$110</definedName>
    <definedName name="住宅物业管理">'比较法-住宅'!$B$114:$M$114</definedName>
    <definedName name="住宅销售回款率">#REF!</definedName>
    <definedName name="住宅用途" localSheetId="38">'[34]比较法-住宅'!$B$63:$M$63</definedName>
    <definedName name="住宅用途" localSheetId="5">'[35]比较法-住宅'!$B$61:$M$61</definedName>
    <definedName name="住宅用途">'比较法-住宅'!$B$63:$M$63</definedName>
    <definedName name="住宅主力户型面积">'比较法-住宅'!$B$120:$M$120</definedName>
    <definedName name="注册房地产估价师" localSheetId="38">[34]估价师及机构信息!$A$3:$A$24</definedName>
    <definedName name="注册房地产估价师" localSheetId="5">[35]估价师及机构信息!$A$3:$A$24</definedName>
    <definedName name="注册房地产估价师">估价师及机构信息!$A$3:$A$24</definedName>
    <definedName name="资产合计93期初">[37]企业表一!$C$14</definedName>
    <definedName name="资产合计93期末">[37]企业表一!$D$14</definedName>
    <definedName name="资产合计94期初">[37]企业表一!$E$14</definedName>
    <definedName name="资产合计94期末">[37]企业表一!$F$14</definedName>
    <definedName name="资产合计95期初">[37]企业表一!$G$14</definedName>
    <definedName name="资产合计95期末">[37]企业表一!$H$14</definedName>
  </definedNames>
  <calcPr calcId="144525"/>
</workbook>
</file>

<file path=xl/calcChain.xml><?xml version="1.0" encoding="utf-8"?>
<calcChain xmlns="http://schemas.openxmlformats.org/spreadsheetml/2006/main">
  <c r="K40" i="39" l="1"/>
  <c r="K41" i="39"/>
  <c r="K42" i="39"/>
  <c r="K39" i="39"/>
  <c r="K32" i="39"/>
  <c r="K31" i="39"/>
  <c r="K29" i="39"/>
  <c r="K27" i="39"/>
  <c r="K25" i="39"/>
  <c r="K23" i="39"/>
  <c r="K21" i="39"/>
  <c r="K17" i="39"/>
  <c r="K11" i="39"/>
  <c r="K116" i="39" l="1"/>
  <c r="L116" i="39"/>
  <c r="I116" i="39" l="1"/>
  <c r="J116" i="39"/>
  <c r="F27" i="76" l="1"/>
  <c r="F29" i="76" s="1"/>
  <c r="A3" i="3" s="1"/>
  <c r="C15" i="81" l="1"/>
  <c r="F24" i="81" l="1"/>
  <c r="F23" i="81"/>
  <c r="E27" i="81" s="1"/>
  <c r="K18" i="81"/>
  <c r="J18" i="81"/>
  <c r="L16" i="81"/>
  <c r="N16" i="81" s="1"/>
  <c r="L14" i="81"/>
  <c r="N14" i="81" s="1"/>
  <c r="N18" i="81" s="1"/>
  <c r="D12" i="81"/>
  <c r="E15" i="81" s="1"/>
  <c r="D8" i="81"/>
  <c r="J7" i="81"/>
  <c r="J6" i="81"/>
  <c r="J5" i="81"/>
  <c r="J4" i="81"/>
  <c r="D4" i="81"/>
  <c r="B27" i="81" l="1"/>
  <c r="F14" i="81"/>
  <c r="U8" i="77"/>
  <c r="U7" i="77"/>
  <c r="U6" i="77"/>
  <c r="S6" i="77"/>
  <c r="S8" i="77"/>
  <c r="S7" i="77"/>
  <c r="S9" i="77" l="1"/>
  <c r="U11" i="77" s="1"/>
  <c r="O19" i="1" s="1"/>
  <c r="O21" i="1" s="1"/>
  <c r="H14" i="81"/>
  <c r="O14" i="81" s="1"/>
  <c r="E44" i="66"/>
  <c r="K20" i="81" l="1"/>
  <c r="P14" i="81"/>
  <c r="D44" i="66"/>
  <c r="C44" i="66"/>
  <c r="D19" i="79"/>
  <c r="C19" i="79"/>
  <c r="B19" i="79"/>
  <c r="D12" i="79"/>
  <c r="D20" i="79" s="1"/>
  <c r="B12" i="79"/>
  <c r="B20" i="79" s="1"/>
  <c r="C8" i="79"/>
  <c r="C6" i="79"/>
  <c r="C12" i="79" s="1"/>
  <c r="C20" i="79" s="1"/>
  <c r="Y19" i="78"/>
  <c r="X19" i="78"/>
  <c r="W19" i="78"/>
  <c r="V17" i="78"/>
  <c r="U17" i="78"/>
  <c r="T17" i="78"/>
  <c r="S17" i="78"/>
  <c r="R17" i="78"/>
  <c r="Q17" i="78"/>
  <c r="P17" i="78"/>
  <c r="O17" i="78"/>
  <c r="N17" i="78"/>
  <c r="M17" i="78"/>
  <c r="L17" i="78"/>
  <c r="K17" i="78"/>
  <c r="J17" i="78"/>
  <c r="I17" i="78"/>
  <c r="H17" i="78"/>
  <c r="G17" i="78"/>
  <c r="F17" i="78"/>
  <c r="E17" i="78"/>
  <c r="D17" i="78"/>
  <c r="C17" i="78"/>
  <c r="X14" i="78"/>
  <c r="W14" i="78"/>
  <c r="W11" i="78"/>
  <c r="W9" i="78"/>
  <c r="Y7" i="78"/>
  <c r="Y17" i="78" s="1"/>
  <c r="Y20" i="78" s="1"/>
  <c r="X7" i="78"/>
  <c r="X17" i="78" s="1"/>
  <c r="W7" i="78"/>
  <c r="W17" i="78" s="1"/>
  <c r="W20" i="78" s="1"/>
  <c r="F44" i="66" l="1"/>
  <c r="C27" i="66" s="1"/>
  <c r="X20" i="78"/>
  <c r="I135" i="77"/>
  <c r="I131" i="77"/>
  <c r="K28" i="76"/>
  <c r="F28" i="76"/>
  <c r="E26" i="76"/>
  <c r="E25" i="76"/>
  <c r="E24" i="76"/>
  <c r="E27" i="76" l="1"/>
  <c r="C30" i="66"/>
  <c r="C32" i="66"/>
  <c r="G28" i="76"/>
  <c r="G29" i="76" s="1"/>
  <c r="H116" i="39" l="1"/>
  <c r="G116" i="39"/>
  <c r="F116" i="39"/>
  <c r="E116" i="39"/>
  <c r="D116" i="39"/>
  <c r="C116" i="39"/>
  <c r="I46" i="39"/>
  <c r="G46" i="39"/>
  <c r="I38" i="39"/>
  <c r="G38" i="39"/>
  <c r="E46" i="39"/>
  <c r="E38" i="39"/>
  <c r="I7" i="39"/>
  <c r="G7" i="39"/>
  <c r="E7" i="39"/>
  <c r="I5" i="39"/>
  <c r="I6" i="39" s="1"/>
  <c r="G5" i="39"/>
  <c r="G6" i="39" s="1"/>
  <c r="E5" i="39"/>
  <c r="E6" i="39" s="1"/>
  <c r="C38" i="39"/>
  <c r="H98" i="75"/>
  <c r="H97" i="75"/>
  <c r="H96" i="75"/>
  <c r="H95" i="75"/>
  <c r="H100" i="75" s="1"/>
  <c r="N6" i="1"/>
  <c r="Y6" i="1" l="1"/>
  <c r="N14" i="1"/>
  <c r="D3" i="4"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6" i="73"/>
  <c r="D5" i="73"/>
  <c r="F6" i="73"/>
  <c r="F5" i="73"/>
  <c r="D7" i="73"/>
  <c r="F3" i="73"/>
  <c r="D3" i="73"/>
  <c r="F4" i="73"/>
  <c r="I1" i="73" l="1"/>
  <c r="B39" i="1" s="1"/>
  <c r="D3" i="34"/>
  <c r="D3" i="33"/>
  <c r="D3" i="21"/>
  <c r="D4"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D9" i="71" s="1"/>
  <c r="Y8" i="71"/>
  <c r="Z8" i="71" s="1"/>
  <c r="C13" i="71"/>
  <c r="D13" i="71" s="1"/>
  <c r="Y12" i="71"/>
  <c r="Z12" i="71" s="1"/>
  <c r="C17" i="71"/>
  <c r="D17"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C25" i="40"/>
  <c r="Q29" i="39"/>
  <c r="Z29" i="39" s="1"/>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3" i="1"/>
  <c r="AO10" i="1"/>
  <c r="AO9" i="1"/>
  <c r="AO12" i="1"/>
  <c r="AO11" i="1"/>
  <c r="B11" i="70" l="1"/>
  <c r="B12" i="70"/>
  <c r="B9" i="70"/>
  <c r="B10" i="70"/>
  <c r="B13" i="70"/>
  <c r="F66" i="36"/>
  <c r="H18" i="36"/>
  <c r="S21" i="34"/>
  <c r="F18" i="35"/>
  <c r="AA18" i="35" s="1"/>
  <c r="S18" i="36"/>
  <c r="F25" i="40"/>
  <c r="S29" i="39"/>
  <c r="B66" i="43"/>
  <c r="B75" i="43"/>
  <c r="B55" i="43"/>
  <c r="C29" i="39"/>
  <c r="F94" i="40"/>
  <c r="J25" i="40" s="1"/>
  <c r="H25" i="40"/>
  <c r="G94"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1" i="33"/>
  <c r="U21" i="33"/>
  <c r="AA21" i="37"/>
  <c r="S21" i="37"/>
  <c r="AC18" i="36"/>
  <c r="W18" i="36"/>
  <c r="AB25" i="40"/>
  <c r="U25" i="40"/>
  <c r="AB21" i="34"/>
  <c r="U21" i="34"/>
  <c r="S21" i="33"/>
  <c r="AA21" i="33"/>
  <c r="AB21" i="37"/>
  <c r="U21" i="37"/>
  <c r="AA25" i="40"/>
  <c r="S25" i="40"/>
  <c r="AB18" i="36"/>
  <c r="U18" i="36"/>
  <c r="AC29" i="39"/>
  <c r="W29" i="39"/>
  <c r="U29" i="39"/>
  <c r="AB29" i="39"/>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7"/>
  <c r="W21" i="37"/>
  <c r="AC21" i="34"/>
  <c r="W21" i="34"/>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B37" i="48" s="1"/>
  <c r="B2" i="72" s="1"/>
  <c r="C31" i="66"/>
  <c r="E26" i="66"/>
  <c r="I23" i="66"/>
  <c r="D20" i="66"/>
  <c r="I19" i="66"/>
  <c r="I18" i="66"/>
  <c r="I17" i="66"/>
  <c r="I20" i="66"/>
  <c r="E15" i="66"/>
  <c r="I14" i="66"/>
  <c r="I13" i="66"/>
  <c r="I12" i="66"/>
  <c r="I15" i="66" s="1"/>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D100" i="43"/>
  <c r="H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M12" i="1" s="1"/>
  <c r="O12" i="1" s="1"/>
  <c r="P12" i="1" s="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C10" i="39"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A13" i="3" s="1"/>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79" i="35"/>
  <c r="C26" i="35"/>
  <c r="J31" i="35"/>
  <c r="H31" i="35"/>
  <c r="F31" i="35"/>
  <c r="D87" i="35"/>
  <c r="E87" i="35"/>
  <c r="F87" i="35" s="1"/>
  <c r="G87" i="35" s="1"/>
  <c r="H87" i="35" s="1"/>
  <c r="I87" i="35" s="1"/>
  <c r="J87" i="35" s="1"/>
  <c r="K87" i="35" s="1"/>
  <c r="L87" i="35" s="1"/>
  <c r="M87" i="35" s="1"/>
  <c r="H34" i="37"/>
  <c r="D101" i="37"/>
  <c r="F34" i="37" s="1"/>
  <c r="D99" i="37"/>
  <c r="E99" i="37" s="1"/>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B120" i="40"/>
  <c r="J40" i="40" s="1"/>
  <c r="W40" i="40" s="1"/>
  <c r="B118" i="40"/>
  <c r="B116" i="40"/>
  <c r="F38" i="40" s="1"/>
  <c r="AA38" i="40" s="1"/>
  <c r="D115" i="40"/>
  <c r="E115" i="40" s="1"/>
  <c r="F115" i="40" s="1"/>
  <c r="D113" i="40"/>
  <c r="E113" i="40"/>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B73" i="36"/>
  <c r="J24" i="36"/>
  <c r="B71" i="36"/>
  <c r="D70" i="36"/>
  <c r="H22" i="36" s="1"/>
  <c r="AB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D64" i="35"/>
  <c r="E64" i="35" s="1"/>
  <c r="J14" i="35" s="1"/>
  <c r="F56" i="35"/>
  <c r="G56" i="35"/>
  <c r="H56" i="35" s="1"/>
  <c r="C53" i="35"/>
  <c r="J9" i="35" s="1"/>
  <c r="AC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H67" i="34" s="1"/>
  <c r="D126" i="34"/>
  <c r="E126" i="34"/>
  <c r="D124" i="34"/>
  <c r="E124" i="34"/>
  <c r="H43" i="34" s="1"/>
  <c r="AB43" i="34" s="1"/>
  <c r="D118" i="34"/>
  <c r="E118" i="34" s="1"/>
  <c r="F118" i="34" s="1"/>
  <c r="D116" i="34"/>
  <c r="E116" i="34"/>
  <c r="F116" i="34" s="1"/>
  <c r="G116" i="34" s="1"/>
  <c r="H116" i="34" s="1"/>
  <c r="I116" i="34" s="1"/>
  <c r="J116" i="34" s="1"/>
  <c r="K116" i="34" s="1"/>
  <c r="L116" i="34" s="1"/>
  <c r="M116" i="34" s="1"/>
  <c r="F110" i="34"/>
  <c r="E110" i="34"/>
  <c r="D110" i="34"/>
  <c r="C110" i="34"/>
  <c r="D109" i="34"/>
  <c r="E109" i="34"/>
  <c r="D107" i="34"/>
  <c r="E107" i="34"/>
  <c r="F35" i="34" s="1"/>
  <c r="AA35" i="34" s="1"/>
  <c r="M103" i="34"/>
  <c r="L103" i="34"/>
  <c r="K103" i="34"/>
  <c r="J103" i="34"/>
  <c r="I103" i="34"/>
  <c r="H103" i="34"/>
  <c r="G103" i="34"/>
  <c r="F103" i="34"/>
  <c r="E103" i="34"/>
  <c r="D103" i="34"/>
  <c r="C103" i="34"/>
  <c r="D102" i="34"/>
  <c r="E102" i="34"/>
  <c r="F102" i="34" s="1"/>
  <c r="D92" i="34"/>
  <c r="E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I66" i="33" s="1"/>
  <c r="J10"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W25" i="37"/>
  <c r="U30" i="37"/>
  <c r="W31" i="37"/>
  <c r="E103" i="37"/>
  <c r="F103" i="37"/>
  <c r="F39" i="37"/>
  <c r="S39" i="37" s="1"/>
  <c r="U14" i="37"/>
  <c r="S26" i="37"/>
  <c r="U29" i="37"/>
  <c r="S30" i="37"/>
  <c r="W30" i="37"/>
  <c r="W39" i="37"/>
  <c r="F29" i="36"/>
  <c r="AA29" i="36" s="1"/>
  <c r="W8" i="36"/>
  <c r="F64" i="36"/>
  <c r="G64" i="36" s="1"/>
  <c r="F16" i="36"/>
  <c r="AA16" i="36" s="1"/>
  <c r="U9" i="36"/>
  <c r="U22" i="36"/>
  <c r="S23" i="36"/>
  <c r="W28" i="36"/>
  <c r="S30" i="36"/>
  <c r="S32" i="36"/>
  <c r="U26" i="36"/>
  <c r="AA31" i="36"/>
  <c r="AC31" i="36"/>
  <c r="W31" i="36"/>
  <c r="U31" i="36"/>
  <c r="J33" i="36"/>
  <c r="W33" i="36"/>
  <c r="H22" i="35"/>
  <c r="AB22" i="35"/>
  <c r="AC27" i="35"/>
  <c r="S28" i="35"/>
  <c r="W28" i="35"/>
  <c r="U31" i="35"/>
  <c r="S32" i="35"/>
  <c r="S34" i="35"/>
  <c r="W34" i="35"/>
  <c r="W36" i="35"/>
  <c r="W22" i="35"/>
  <c r="W24" i="35"/>
  <c r="S31" i="35"/>
  <c r="W31" i="35"/>
  <c r="U32" i="35"/>
  <c r="U34" i="35"/>
  <c r="U36" i="35"/>
  <c r="F36" i="34"/>
  <c r="F107" i="34"/>
  <c r="G107" i="34" s="1"/>
  <c r="H107" i="34" s="1"/>
  <c r="I107" i="34" s="1"/>
  <c r="J107" i="34" s="1"/>
  <c r="K107" i="34" s="1"/>
  <c r="L107" i="34" s="1"/>
  <c r="M107" i="34" s="1"/>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W31" i="40"/>
  <c r="U34" i="40"/>
  <c r="S38" i="40"/>
  <c r="S39" i="40"/>
  <c r="W39" i="40"/>
  <c r="F42" i="39"/>
  <c r="F41" i="39"/>
  <c r="S41" i="39" s="1"/>
  <c r="H40" i="39"/>
  <c r="AB40" i="39" s="1"/>
  <c r="H39" i="39"/>
  <c r="U39" i="39" s="1"/>
  <c r="S38" i="39"/>
  <c r="S34" i="39"/>
  <c r="H34" i="39"/>
  <c r="U34" i="39" s="1"/>
  <c r="E109" i="39"/>
  <c r="H31" i="39"/>
  <c r="AB31" i="39" s="1"/>
  <c r="F31" i="39"/>
  <c r="AA31" i="39" s="1"/>
  <c r="E101" i="39"/>
  <c r="H19" i="39"/>
  <c r="AB19" i="39" s="1"/>
  <c r="F19" i="39"/>
  <c r="AA19" i="39" s="1"/>
  <c r="J23" i="40"/>
  <c r="AC23" i="40" s="1"/>
  <c r="G90" i="40"/>
  <c r="F21" i="40" s="1"/>
  <c r="J21" i="40"/>
  <c r="W21" i="40" s="1"/>
  <c r="H42" i="39"/>
  <c r="AB42" i="39" s="1"/>
  <c r="J34" i="39"/>
  <c r="AC34" i="39" s="1"/>
  <c r="F109" i="39"/>
  <c r="G109" i="39" s="1"/>
  <c r="H109" i="39" s="1"/>
  <c r="I109" i="39" s="1"/>
  <c r="J109" i="39" s="1"/>
  <c r="K109" i="39" s="1"/>
  <c r="L109" i="39" s="1"/>
  <c r="M109" i="39" s="1"/>
  <c r="J31" i="39"/>
  <c r="F101" i="39"/>
  <c r="H27" i="39"/>
  <c r="J19" i="39"/>
  <c r="AC19" i="39" s="1"/>
  <c r="J27" i="39"/>
  <c r="AC27" i="39" s="1"/>
  <c r="F27" i="39"/>
  <c r="F11" i="21"/>
  <c r="S11" i="21" s="1"/>
  <c r="AC40" i="21"/>
  <c r="S40" i="21"/>
  <c r="AA38" i="21"/>
  <c r="W36" i="21"/>
  <c r="U34" i="21"/>
  <c r="S34" i="21"/>
  <c r="S39" i="21"/>
  <c r="C25" i="39"/>
  <c r="C27" i="39"/>
  <c r="C21" i="39"/>
  <c r="S40" i="39"/>
  <c r="U19" i="39"/>
  <c r="C15" i="39"/>
  <c r="H32" i="33"/>
  <c r="AB32" i="33"/>
  <c r="H11" i="21"/>
  <c r="U11" i="21" s="1"/>
  <c r="J11" i="21"/>
  <c r="W11" i="21" s="1"/>
  <c r="G115" i="40"/>
  <c r="H37" i="40"/>
  <c r="U37" i="40" s="1"/>
  <c r="H36" i="40"/>
  <c r="AB36" i="40" s="1"/>
  <c r="F35" i="40"/>
  <c r="AA35" i="40" s="1"/>
  <c r="H23" i="40"/>
  <c r="AB23" i="40" s="1"/>
  <c r="F92" i="40"/>
  <c r="F86" i="40"/>
  <c r="H17" i="40"/>
  <c r="U17" i="40" s="1"/>
  <c r="F84" i="40"/>
  <c r="J15" i="40"/>
  <c r="W15" i="40"/>
  <c r="G76" i="40"/>
  <c r="H76" i="40"/>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s="1"/>
  <c r="H85" i="36" s="1"/>
  <c r="I85" i="36" s="1"/>
  <c r="J85" i="36" s="1"/>
  <c r="K85" i="36" s="1"/>
  <c r="L85" i="36" s="1"/>
  <c r="M85" i="36" s="1"/>
  <c r="J29" i="36"/>
  <c r="AC29" i="36" s="1"/>
  <c r="F12" i="36"/>
  <c r="F24" i="36"/>
  <c r="AA24" i="36" s="1"/>
  <c r="F34" i="36"/>
  <c r="S34" i="36" s="1"/>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G66" i="35"/>
  <c r="J20" i="35"/>
  <c r="W20" i="35" s="1"/>
  <c r="F35" i="37"/>
  <c r="S35" i="37" s="1"/>
  <c r="E101" i="37"/>
  <c r="F101" i="37"/>
  <c r="G101" i="37" s="1"/>
  <c r="H101" i="37" s="1"/>
  <c r="I101" i="37" s="1"/>
  <c r="J101" i="37" s="1"/>
  <c r="K101" i="37" s="1"/>
  <c r="L101" i="37" s="1"/>
  <c r="M101" i="37" s="1"/>
  <c r="J34" i="37"/>
  <c r="W34" i="37" s="1"/>
  <c r="AC35" i="37"/>
  <c r="S10" i="37"/>
  <c r="AA39" i="37"/>
  <c r="AB34" i="37"/>
  <c r="J33" i="37"/>
  <c r="AC33" i="37" s="1"/>
  <c r="F124" i="34"/>
  <c r="F120" i="34"/>
  <c r="G120" i="34"/>
  <c r="H120" i="34" s="1"/>
  <c r="I120" i="34" s="1"/>
  <c r="J120" i="34" s="1"/>
  <c r="K120" i="34" s="1"/>
  <c r="L120" i="34" s="1"/>
  <c r="M120" i="34" s="1"/>
  <c r="U42" i="34"/>
  <c r="H40" i="34"/>
  <c r="U40" i="34" s="1"/>
  <c r="E114" i="34"/>
  <c r="H36" i="34"/>
  <c r="U36" i="34" s="1"/>
  <c r="F109" i="34"/>
  <c r="F37" i="34"/>
  <c r="AA37" i="34" s="1"/>
  <c r="S35" i="34"/>
  <c r="F28" i="34"/>
  <c r="AA28" i="34" s="1"/>
  <c r="F90" i="34"/>
  <c r="G90" i="34"/>
  <c r="H90" i="34" s="1"/>
  <c r="I90" i="34" s="1"/>
  <c r="J90" i="34" s="1"/>
  <c r="K90" i="34" s="1"/>
  <c r="L90" i="34" s="1"/>
  <c r="M90" i="34" s="1"/>
  <c r="F27" i="34"/>
  <c r="AA27" i="34" s="1"/>
  <c r="F25" i="34"/>
  <c r="S25" i="34" s="1"/>
  <c r="F88" i="34"/>
  <c r="H23" i="34"/>
  <c r="U23" i="34" s="1"/>
  <c r="F86" i="34"/>
  <c r="J23" i="34"/>
  <c r="F19" i="34"/>
  <c r="F82" i="34"/>
  <c r="F80" i="34"/>
  <c r="H17" i="34"/>
  <c r="U17" i="34" s="1"/>
  <c r="F15" i="34"/>
  <c r="F78" i="34"/>
  <c r="G78" i="34"/>
  <c r="J15" i="34" s="1"/>
  <c r="H15" i="34"/>
  <c r="AB15" i="34" s="1"/>
  <c r="F70" i="34"/>
  <c r="F11" i="34"/>
  <c r="H10" i="34"/>
  <c r="AB10" i="34" s="1"/>
  <c r="W8" i="34"/>
  <c r="F92" i="34"/>
  <c r="J28" i="34" s="1"/>
  <c r="F41" i="33"/>
  <c r="AA41" i="33" s="1"/>
  <c r="H41" i="33"/>
  <c r="AB41" i="33" s="1"/>
  <c r="S38" i="33"/>
  <c r="E113" i="33"/>
  <c r="H108" i="33"/>
  <c r="I108" i="33" s="1"/>
  <c r="J108" i="33" s="1"/>
  <c r="K108" i="33" s="1"/>
  <c r="L108" i="33" s="1"/>
  <c r="M108" i="33" s="1"/>
  <c r="J35" i="33"/>
  <c r="W35" i="33" s="1"/>
  <c r="F36" i="33"/>
  <c r="AA36" i="33"/>
  <c r="F32" i="33"/>
  <c r="AA32" i="33"/>
  <c r="J32" i="33"/>
  <c r="F91" i="33"/>
  <c r="G91" i="33" s="1"/>
  <c r="H91" i="33" s="1"/>
  <c r="I91" i="33" s="1"/>
  <c r="J91" i="33" s="1"/>
  <c r="K91" i="33" s="1"/>
  <c r="L91" i="33" s="1"/>
  <c r="M91" i="33" s="1"/>
  <c r="F25" i="33"/>
  <c r="S25" i="33" s="1"/>
  <c r="F87" i="33"/>
  <c r="J25" i="33"/>
  <c r="H25" i="33"/>
  <c r="J23" i="33"/>
  <c r="AC23" i="33" s="1"/>
  <c r="F85" i="33"/>
  <c r="F23" i="33"/>
  <c r="H23" i="33"/>
  <c r="AB23" i="33" s="1"/>
  <c r="F19" i="33"/>
  <c r="S19" i="33" s="1"/>
  <c r="F81" i="33"/>
  <c r="G81" i="33"/>
  <c r="J19" i="33"/>
  <c r="AC19" i="33" s="1"/>
  <c r="J17" i="33"/>
  <c r="W17" i="33" s="1"/>
  <c r="F79" i="33"/>
  <c r="G79" i="33"/>
  <c r="H17" i="33" s="1"/>
  <c r="F77" i="33"/>
  <c r="J15" i="33"/>
  <c r="AC15" i="33"/>
  <c r="F69" i="33"/>
  <c r="F11" i="33"/>
  <c r="AA11" i="33" s="1"/>
  <c r="H10" i="33"/>
  <c r="U10" i="33" s="1"/>
  <c r="S26" i="33"/>
  <c r="W26" i="33"/>
  <c r="U40" i="33"/>
  <c r="W40" i="33"/>
  <c r="U8" i="33"/>
  <c r="S8" i="33"/>
  <c r="H115" i="40"/>
  <c r="I115" i="40" s="1"/>
  <c r="J115" i="40" s="1"/>
  <c r="K115" i="40" s="1"/>
  <c r="L115" i="40" s="1"/>
  <c r="M115" i="40" s="1"/>
  <c r="F37" i="40"/>
  <c r="AA37" i="40" s="1"/>
  <c r="I113" i="40"/>
  <c r="J113" i="40"/>
  <c r="K113" i="40" s="1"/>
  <c r="L113" i="40" s="1"/>
  <c r="M113" i="40" s="1"/>
  <c r="F36" i="40"/>
  <c r="AA36" i="40" s="1"/>
  <c r="S35" i="40"/>
  <c r="H28" i="40"/>
  <c r="U28" i="40" s="1"/>
  <c r="G92" i="40"/>
  <c r="F23" i="40"/>
  <c r="AA23" i="40" s="1"/>
  <c r="G86" i="40"/>
  <c r="F17" i="40" s="1"/>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s="1"/>
  <c r="K99" i="37" s="1"/>
  <c r="L99" i="37" s="1"/>
  <c r="M99" i="37" s="1"/>
  <c r="H33" i="37"/>
  <c r="AB33" i="37" s="1"/>
  <c r="F33" i="37"/>
  <c r="AA33" i="37" s="1"/>
  <c r="U34" i="37"/>
  <c r="W33" i="37"/>
  <c r="S34" i="37"/>
  <c r="AA34" i="37"/>
  <c r="U43" i="34"/>
  <c r="G124" i="34"/>
  <c r="H124" i="34" s="1"/>
  <c r="I124" i="34" s="1"/>
  <c r="J124" i="34" s="1"/>
  <c r="K124" i="34" s="1"/>
  <c r="L124" i="34" s="1"/>
  <c r="M124" i="34" s="1"/>
  <c r="J43" i="34"/>
  <c r="AB42" i="34"/>
  <c r="G118" i="34"/>
  <c r="J40"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G92" i="34"/>
  <c r="H92" i="34"/>
  <c r="I92" i="34" s="1"/>
  <c r="J92" i="34" s="1"/>
  <c r="K92" i="34" s="1"/>
  <c r="L92" i="34" s="1"/>
  <c r="M92" i="34" s="1"/>
  <c r="S27" i="34"/>
  <c r="AA25" i="34"/>
  <c r="H25" i="34"/>
  <c r="AB25" i="34" s="1"/>
  <c r="G88" i="34"/>
  <c r="J25" i="34"/>
  <c r="AB23" i="34"/>
  <c r="G86" i="34"/>
  <c r="F23" i="34"/>
  <c r="AA23" i="34" s="1"/>
  <c r="G82" i="34"/>
  <c r="J19" i="34"/>
  <c r="AC19" i="34" s="1"/>
  <c r="G80" i="34"/>
  <c r="F17" i="34" s="1"/>
  <c r="J17" i="34"/>
  <c r="W17" i="34" s="1"/>
  <c r="AB17" i="34"/>
  <c r="U15" i="34"/>
  <c r="AA15" i="34"/>
  <c r="S15" i="34"/>
  <c r="H11" i="34"/>
  <c r="G70" i="34"/>
  <c r="H70" i="34" s="1"/>
  <c r="I70" i="34" s="1"/>
  <c r="J70" i="34" s="1"/>
  <c r="K70" i="34" s="1"/>
  <c r="L70" i="34" s="1"/>
  <c r="M70" i="34" s="1"/>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s="1"/>
  <c r="I87" i="33" s="1"/>
  <c r="J87" i="33" s="1"/>
  <c r="K87" i="33" s="1"/>
  <c r="L87" i="33" s="1"/>
  <c r="M87" i="33" s="1"/>
  <c r="AB25" i="33"/>
  <c r="U25" i="33"/>
  <c r="G85" i="33"/>
  <c r="U23" i="33"/>
  <c r="H19" i="33"/>
  <c r="AB19" i="33" s="1"/>
  <c r="W19" i="33"/>
  <c r="F17" i="33"/>
  <c r="AA17" i="33" s="1"/>
  <c r="G77" i="33"/>
  <c r="H15" i="33"/>
  <c r="AB15" i="33" s="1"/>
  <c r="W15" i="33"/>
  <c r="G69" i="33"/>
  <c r="H69" i="33"/>
  <c r="I69" i="33" s="1"/>
  <c r="J69" i="33" s="1"/>
  <c r="K69" i="33" s="1"/>
  <c r="L69" i="33" s="1"/>
  <c r="M69" i="33" s="1"/>
  <c r="H11" i="33"/>
  <c r="AB11" i="33" s="1"/>
  <c r="F28" i="40"/>
  <c r="AA28" i="40"/>
  <c r="AC42" i="34"/>
  <c r="AA42" i="34"/>
  <c r="S42" i="34"/>
  <c r="AC38" i="34"/>
  <c r="AA38" i="34"/>
  <c r="J37" i="34"/>
  <c r="AC37" i="34" s="1"/>
  <c r="H88" i="34"/>
  <c r="I88" i="34" s="1"/>
  <c r="J88" i="34" s="1"/>
  <c r="K88" i="34" s="1"/>
  <c r="L88" i="34" s="1"/>
  <c r="M88" i="34" s="1"/>
  <c r="S23" i="34"/>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s="1"/>
  <c r="J44" i="34" s="1"/>
  <c r="F44" i="34"/>
  <c r="AA44" i="34"/>
  <c r="I56" i="35"/>
  <c r="J10" i="35"/>
  <c r="F80" i="35"/>
  <c r="G80" i="35"/>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54" i="36"/>
  <c r="H10" i="36"/>
  <c r="AB10" i="36" s="1"/>
  <c r="G62" i="36"/>
  <c r="J14" i="36" s="1"/>
  <c r="H14" i="36"/>
  <c r="F83" i="36"/>
  <c r="G83" i="36"/>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s="1"/>
  <c r="F27" i="33"/>
  <c r="S27" i="33" s="1"/>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13" i="35"/>
  <c r="AA44" i="33"/>
  <c r="AB14" i="33"/>
  <c r="W27" i="37"/>
  <c r="AA38" i="37"/>
  <c r="W28" i="37"/>
  <c r="AC13" i="37"/>
  <c r="AA25" i="36"/>
  <c r="AA25" i="35"/>
  <c r="AB13" i="35"/>
  <c r="U13" i="35"/>
  <c r="AA13" i="35"/>
  <c r="AA47" i="34"/>
  <c r="AA45" i="34"/>
  <c r="U31" i="34"/>
  <c r="AC13" i="34"/>
  <c r="U30" i="33"/>
  <c r="AA14" i="33"/>
  <c r="S14" i="33"/>
  <c r="J36" i="37"/>
  <c r="AC36" i="37" s="1"/>
  <c r="G105" i="37"/>
  <c r="AB11" i="36"/>
  <c r="AB29" i="33"/>
  <c r="I54" i="36"/>
  <c r="J10" i="36"/>
  <c r="AC10" i="36" s="1"/>
  <c r="AA33" i="35"/>
  <c r="AB26" i="33"/>
  <c r="AB30" i="21"/>
  <c r="W31" i="34"/>
  <c r="AC13" i="36"/>
  <c r="S11" i="36"/>
  <c r="AC11" i="36"/>
  <c r="W11" i="36"/>
  <c r="AC11" i="35"/>
  <c r="W11" i="35"/>
  <c r="AB46" i="34"/>
  <c r="AC30" i="34"/>
  <c r="AA14" i="34"/>
  <c r="S45" i="33"/>
  <c r="AB45" i="33"/>
  <c r="AB31" i="33"/>
  <c r="U31" i="33"/>
  <c r="W29" i="33"/>
  <c r="AA27" i="33"/>
  <c r="AB27" i="33"/>
  <c r="AB14" i="36"/>
  <c r="U14" i="36"/>
  <c r="U10" i="36"/>
  <c r="AC28" i="21"/>
  <c r="AA14" i="21"/>
  <c r="U26" i="35"/>
  <c r="AC10" i="35"/>
  <c r="W10" i="35"/>
  <c r="S44" i="34"/>
  <c r="BA586" i="3"/>
  <c r="AZ586" i="3" s="1"/>
  <c r="BA585" i="3"/>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AZ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W36" i="33"/>
  <c r="AA12" i="21"/>
  <c r="H25" i="21"/>
  <c r="U25" i="21" s="1"/>
  <c r="F25" i="21"/>
  <c r="S25" i="21" s="1"/>
  <c r="J25" i="21"/>
  <c r="AC25" i="21" s="1"/>
  <c r="E125" i="33"/>
  <c r="F125" i="33" s="1"/>
  <c r="G125" i="33" s="1"/>
  <c r="J43" i="33" s="1"/>
  <c r="H43" i="33"/>
  <c r="AB43" i="33" s="1"/>
  <c r="H17" i="37"/>
  <c r="U17" i="37" s="1"/>
  <c r="F73" i="37"/>
  <c r="J17" i="37" s="1"/>
  <c r="F23" i="37"/>
  <c r="S23" i="37" s="1"/>
  <c r="F79" i="37"/>
  <c r="J23" i="37" s="1"/>
  <c r="W23" i="37" s="1"/>
  <c r="AB27" i="37"/>
  <c r="U27" i="37"/>
  <c r="U32" i="33"/>
  <c r="AA36" i="39"/>
  <c r="F39" i="33"/>
  <c r="AA39" i="33" s="1"/>
  <c r="E123" i="33"/>
  <c r="F42" i="33"/>
  <c r="AA42" i="33"/>
  <c r="H28" i="34"/>
  <c r="AB28" i="34" s="1"/>
  <c r="F75" i="37"/>
  <c r="F19" i="37" s="1"/>
  <c r="F14" i="36"/>
  <c r="AA14" i="36" s="1"/>
  <c r="F22" i="36"/>
  <c r="S22" i="36" s="1"/>
  <c r="F26" i="36"/>
  <c r="S26" i="36" s="1"/>
  <c r="H27" i="34"/>
  <c r="AB27" i="34" s="1"/>
  <c r="H35" i="34"/>
  <c r="U35" i="34" s="1"/>
  <c r="F41" i="34"/>
  <c r="S41" i="34" s="1"/>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G75" i="37"/>
  <c r="H19" i="37"/>
  <c r="AB19" i="37" s="1"/>
  <c r="U28" i="34"/>
  <c r="F123" i="33"/>
  <c r="G123" i="33" s="1"/>
  <c r="H123" i="33" s="1"/>
  <c r="I123" i="33" s="1"/>
  <c r="J123" i="33" s="1"/>
  <c r="K123" i="33" s="1"/>
  <c r="L123" i="33" s="1"/>
  <c r="M123" i="33" s="1"/>
  <c r="H42" i="33"/>
  <c r="AB42" i="33" s="1"/>
  <c r="AA32" i="40"/>
  <c r="S37" i="37"/>
  <c r="AA26" i="36"/>
  <c r="S14" i="36"/>
  <c r="S42" i="33"/>
  <c r="G79" i="37"/>
  <c r="G73" i="37"/>
  <c r="S28" i="31"/>
  <c r="S27" i="31"/>
  <c r="S26" i="31"/>
  <c r="U14" i="40"/>
  <c r="AA22" i="36"/>
  <c r="AC32" i="36"/>
  <c r="U13" i="36"/>
  <c r="AC33" i="36"/>
  <c r="U35" i="35"/>
  <c r="AA11" i="35"/>
  <c r="U22" i="35"/>
  <c r="AA12" i="35"/>
  <c r="AC12" i="35"/>
  <c r="W26" i="35"/>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39" i="33"/>
  <c r="F43" i="33"/>
  <c r="AA43" i="33" s="1"/>
  <c r="AA23" i="37"/>
  <c r="AA10" i="35"/>
  <c r="W25" i="34"/>
  <c r="AC25" i="34"/>
  <c r="S23" i="33"/>
  <c r="AA23" i="33"/>
  <c r="W16" i="35"/>
  <c r="S43" i="39"/>
  <c r="W10" i="36"/>
  <c r="W40" i="37"/>
  <c r="S13" i="34"/>
  <c r="W38" i="37"/>
  <c r="AC29" i="37"/>
  <c r="G107" i="37"/>
  <c r="H107" i="37"/>
  <c r="I107" i="37" s="1"/>
  <c r="J107" i="37" s="1"/>
  <c r="K107" i="37" s="1"/>
  <c r="L107" i="37" s="1"/>
  <c r="M107" i="37" s="1"/>
  <c r="S23" i="40"/>
  <c r="AC11" i="33"/>
  <c r="U29" i="35"/>
  <c r="AC17" i="40"/>
  <c r="W23" i="33"/>
  <c r="U10" i="34"/>
  <c r="H113" i="21"/>
  <c r="H37" i="21"/>
  <c r="U37" i="21" s="1"/>
  <c r="S42" i="21"/>
  <c r="H19" i="34"/>
  <c r="AB19" i="34" s="1"/>
  <c r="H60" i="37"/>
  <c r="I60" i="37" s="1"/>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AA36" i="35"/>
  <c r="J10" i="37"/>
  <c r="W10" i="37" s="1"/>
  <c r="F94" i="37"/>
  <c r="G94" i="37"/>
  <c r="H94" i="37" s="1"/>
  <c r="I94" i="37" s="1"/>
  <c r="J94" i="37" s="1"/>
  <c r="K94" i="37" s="1"/>
  <c r="L94" i="37" s="1"/>
  <c r="M94" i="37" s="1"/>
  <c r="H31" i="37"/>
  <c r="U31" i="37" s="1"/>
  <c r="F71" i="37"/>
  <c r="G71" i="37" s="1"/>
  <c r="J15" i="37"/>
  <c r="AC9" i="37"/>
  <c r="U10" i="37"/>
  <c r="S43" i="33"/>
  <c r="H63" i="37"/>
  <c r="I63" i="37" s="1"/>
  <c r="J63" i="37" s="1"/>
  <c r="K63" i="37" s="1"/>
  <c r="L63" i="37" s="1"/>
  <c r="M63" i="37" s="1"/>
  <c r="J11" i="37"/>
  <c r="AC11" i="37" s="1"/>
  <c r="AB31" i="37"/>
  <c r="AB11" i="37"/>
  <c r="U11" i="37"/>
  <c r="H5" i="3"/>
  <c r="AA25" i="21"/>
  <c r="U31" i="39"/>
  <c r="C12" i="43"/>
  <c r="H19" i="40"/>
  <c r="U19" i="40" s="1"/>
  <c r="F88" i="40"/>
  <c r="J19" i="40" s="1"/>
  <c r="AC19" i="40" s="1"/>
  <c r="F19" i="40"/>
  <c r="S19" i="40" s="1"/>
  <c r="AA19" i="40"/>
  <c r="U21" i="40"/>
  <c r="S14" i="40"/>
  <c r="AC13" i="40"/>
  <c r="AB33" i="40"/>
  <c r="AB27" i="39"/>
  <c r="U27" i="39"/>
  <c r="AC43" i="39"/>
  <c r="W43" i="39"/>
  <c r="U45" i="39"/>
  <c r="AB45" i="39"/>
  <c r="AB44" i="39"/>
  <c r="U44" i="39"/>
  <c r="G101" i="39"/>
  <c r="AC13" i="39"/>
  <c r="H37" i="39"/>
  <c r="AB37" i="39" s="1"/>
  <c r="AC37" i="39"/>
  <c r="W37" i="39"/>
  <c r="H25" i="39"/>
  <c r="AB25" i="39" s="1"/>
  <c r="J25" i="39"/>
  <c r="F15" i="39"/>
  <c r="AA15" i="39" s="1"/>
  <c r="H15" i="39"/>
  <c r="AB15" i="39" s="1"/>
  <c r="J15" i="39"/>
  <c r="W15" i="39" s="1"/>
  <c r="H41" i="39"/>
  <c r="H124" i="39"/>
  <c r="I124" i="39" s="1"/>
  <c r="J124" i="39" s="1"/>
  <c r="K124" i="39" s="1"/>
  <c r="L124" i="39" s="1"/>
  <c r="M124" i="39" s="1"/>
  <c r="AC12" i="39"/>
  <c r="W12" i="39"/>
  <c r="W27" i="39"/>
  <c r="AB34" i="39"/>
  <c r="U40" i="39"/>
  <c r="AA42" i="39"/>
  <c r="S42" i="39"/>
  <c r="U14" i="39"/>
  <c r="W14" i="39"/>
  <c r="W9" i="39"/>
  <c r="S9" i="39"/>
  <c r="W8" i="39"/>
  <c r="G88" i="40"/>
  <c r="U25" i="39"/>
  <c r="J50" i="40"/>
  <c r="A8" i="52"/>
  <c r="B54" i="72" s="1"/>
  <c r="B16" i="53"/>
  <c r="B33" i="72" s="1"/>
  <c r="C7" i="37"/>
  <c r="C7" i="34"/>
  <c r="C7" i="36"/>
  <c r="AB37" i="40"/>
  <c r="W35" i="40"/>
  <c r="S28" i="40"/>
  <c r="AC15" i="40"/>
  <c r="A126" i="9"/>
  <c r="A12" i="52" s="1"/>
  <c r="B56" i="72" s="1"/>
  <c r="G4" i="4"/>
  <c r="I4" i="4"/>
  <c r="K5" i="4"/>
  <c r="B47" i="48" s="1"/>
  <c r="N2" i="43"/>
  <c r="F59" i="43" s="1"/>
  <c r="N9" i="43"/>
  <c r="AZ550" i="3"/>
  <c r="AZ20" i="3"/>
  <c r="AZ24"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7" i="3"/>
  <c r="AZ55" i="3"/>
  <c r="AZ59" i="3"/>
  <c r="AZ67" i="3"/>
  <c r="AZ75" i="3"/>
  <c r="AZ136" i="3"/>
  <c r="AZ144" i="3"/>
  <c r="AZ152" i="3"/>
  <c r="AZ160" i="3"/>
  <c r="AZ168" i="3"/>
  <c r="AZ176" i="3"/>
  <c r="AZ184" i="3"/>
  <c r="AZ192" i="3"/>
  <c r="AZ200" i="3"/>
  <c r="AZ101"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5" i="3"/>
  <c r="AZ333" i="3"/>
  <c r="AZ341" i="3"/>
  <c r="BQ5" i="3"/>
  <c r="F28" i="6" s="1"/>
  <c r="AC5" i="3"/>
  <c r="AZ533" i="3"/>
  <c r="AZ549" i="3"/>
  <c r="AZ535" i="3"/>
  <c r="AZ547" i="3"/>
  <c r="AZ506" i="3"/>
  <c r="AZ548" i="3"/>
  <c r="AZ496" i="3"/>
  <c r="G548" i="3"/>
  <c r="G538" i="3"/>
  <c r="G520" i="3"/>
  <c r="G502" i="3"/>
  <c r="BS5" i="3"/>
  <c r="BP5" i="3"/>
  <c r="G29" i="6" s="1"/>
  <c r="BN5" i="3"/>
  <c r="AZ343" i="3"/>
  <c r="BK5" i="3"/>
  <c r="BI5" i="3"/>
  <c r="BG5" i="3"/>
  <c r="BE5" i="3"/>
  <c r="BC5" i="3"/>
  <c r="G17" i="3"/>
  <c r="BA17" i="3"/>
  <c r="BT5" i="3"/>
  <c r="AZ350" i="3"/>
  <c r="AZ352" i="3"/>
  <c r="AZ356" i="3"/>
  <c r="AZ364" i="3"/>
  <c r="AZ368" i="3"/>
  <c r="BA15" i="3"/>
  <c r="AZ15" i="3" s="1"/>
  <c r="BB5" i="3"/>
  <c r="E11" i="6" s="1"/>
  <c r="BR5" i="3"/>
  <c r="G28" i="6" s="1"/>
  <c r="AZ380" i="3"/>
  <c r="AZ384" i="3"/>
  <c r="AZ388" i="3"/>
  <c r="AZ392" i="3"/>
  <c r="AZ396" i="3"/>
  <c r="AZ499" i="3"/>
  <c r="AZ509"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N8" i="43"/>
  <c r="AC36" i="40"/>
  <c r="U36" i="40"/>
  <c r="B113" i="43"/>
  <c r="B115" i="43" s="1"/>
  <c r="C115" i="43" s="1"/>
  <c r="K101" i="43"/>
  <c r="K103" i="43" s="1"/>
  <c r="F101" i="43"/>
  <c r="F104" i="43" s="1"/>
  <c r="N101" i="43"/>
  <c r="N102" i="43" s="1"/>
  <c r="M8" i="43"/>
  <c r="N4" i="43"/>
  <c r="M1" i="43"/>
  <c r="F36" i="43"/>
  <c r="F81" i="43"/>
  <c r="H83" i="43" s="1"/>
  <c r="H113" i="43"/>
  <c r="F48" i="43"/>
  <c r="H52" i="43" s="1"/>
  <c r="N7" i="43"/>
  <c r="F70" i="43"/>
  <c r="H73" i="43" s="1"/>
  <c r="M6" i="43"/>
  <c r="N10" i="43"/>
  <c r="M11" i="43"/>
  <c r="M3" i="43"/>
  <c r="E17" i="43"/>
  <c r="F39" i="43"/>
  <c r="I17" i="43"/>
  <c r="F35" i="43"/>
  <c r="J17" i="43"/>
  <c r="F6" i="1"/>
  <c r="S16" i="36"/>
  <c r="S15" i="33"/>
  <c r="AC20" i="35"/>
  <c r="AB16" i="35"/>
  <c r="S14" i="35"/>
  <c r="AB10" i="33"/>
  <c r="W43" i="21"/>
  <c r="U43" i="21"/>
  <c r="U35" i="21"/>
  <c r="AC35" i="21"/>
  <c r="U10" i="21"/>
  <c r="AB8" i="21"/>
  <c r="G8" i="1"/>
  <c r="O6" i="1"/>
  <c r="P6" i="1" s="1"/>
  <c r="G9" i="1"/>
  <c r="G10" i="1"/>
  <c r="F48" i="9"/>
  <c r="O52" i="9" s="1"/>
  <c r="AC15" i="37"/>
  <c r="W15" i="37"/>
  <c r="AZ553" i="3"/>
  <c r="AZ501" i="3"/>
  <c r="W37" i="37"/>
  <c r="AC37" i="37"/>
  <c r="S15" i="37"/>
  <c r="U13" i="37"/>
  <c r="U12" i="40"/>
  <c r="AA12" i="40"/>
  <c r="AB36" i="33"/>
  <c r="J37" i="33"/>
  <c r="W37" i="33" s="1"/>
  <c r="AC17" i="34"/>
  <c r="F106" i="33"/>
  <c r="G106" i="33"/>
  <c r="H106" i="33" s="1"/>
  <c r="I106" i="33" s="1"/>
  <c r="J106" i="33" s="1"/>
  <c r="K106" i="33" s="1"/>
  <c r="L106" i="33" s="1"/>
  <c r="M106" i="33" s="1"/>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s="1"/>
  <c r="H111" i="40"/>
  <c r="I111" i="40" s="1"/>
  <c r="J111" i="40" s="1"/>
  <c r="K111" i="40" s="1"/>
  <c r="L111" i="40" s="1"/>
  <c r="M111" i="40" s="1"/>
  <c r="H35" i="40"/>
  <c r="AB35" i="40" s="1"/>
  <c r="AC29" i="35"/>
  <c r="W29" i="35"/>
  <c r="G103" i="37"/>
  <c r="H103" i="37"/>
  <c r="I103" i="37" s="1"/>
  <c r="J103" i="37" s="1"/>
  <c r="K103" i="37" s="1"/>
  <c r="L103" i="37" s="1"/>
  <c r="M103" i="37" s="1"/>
  <c r="H35" i="37"/>
  <c r="U35" i="37" s="1"/>
  <c r="AC10" i="33"/>
  <c r="W10" i="33"/>
  <c r="AC14" i="35"/>
  <c r="W14" i="35"/>
  <c r="F70" i="35"/>
  <c r="G70" i="35"/>
  <c r="H20" i="35"/>
  <c r="U20" i="35" s="1"/>
  <c r="F20" i="35"/>
  <c r="U23" i="35"/>
  <c r="AB23" i="35"/>
  <c r="AB29" i="36"/>
  <c r="U29" i="36"/>
  <c r="H32" i="37"/>
  <c r="F96" i="37"/>
  <c r="F32"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F34" i="33"/>
  <c r="H34" i="33"/>
  <c r="U34" i="33" s="1"/>
  <c r="F35" i="33"/>
  <c r="F39" i="34"/>
  <c r="S39" i="34" s="1"/>
  <c r="J39" i="34"/>
  <c r="W39" i="34" s="1"/>
  <c r="F40" i="34"/>
  <c r="S40" i="34" s="1"/>
  <c r="F43" i="34"/>
  <c r="AA43" i="34" s="1"/>
  <c r="H44" i="34"/>
  <c r="AC38" i="39"/>
  <c r="F39" i="39"/>
  <c r="S39" i="39" s="1"/>
  <c r="J39" i="39"/>
  <c r="W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30" i="3"/>
  <c r="AZ133" i="3"/>
  <c r="AZ21" i="3"/>
  <c r="AZ31" i="3"/>
  <c r="AZ50" i="3"/>
  <c r="AZ53" i="3"/>
  <c r="AZ74" i="3"/>
  <c r="AZ82" i="3"/>
  <c r="AZ102" i="3"/>
  <c r="AZ110" i="3"/>
  <c r="H75" i="43"/>
  <c r="H74" i="43"/>
  <c r="H50" i="43"/>
  <c r="H49" i="43"/>
  <c r="H48" i="43"/>
  <c r="C7" i="43"/>
  <c r="I20" i="43"/>
  <c r="F23" i="39"/>
  <c r="AA23" i="39" s="1"/>
  <c r="S43" i="34"/>
  <c r="AC39" i="34"/>
  <c r="S35" i="33"/>
  <c r="AA35" i="33"/>
  <c r="S34" i="33"/>
  <c r="AA34" i="33"/>
  <c r="S30" i="40"/>
  <c r="AB27" i="40"/>
  <c r="AB32" i="37"/>
  <c r="U32" i="37"/>
  <c r="H27" i="36"/>
  <c r="U27" i="36" s="1"/>
  <c r="H81" i="36"/>
  <c r="I81" i="36" s="1"/>
  <c r="J81" i="36" s="1"/>
  <c r="K81" i="36" s="1"/>
  <c r="L81" i="36" s="1"/>
  <c r="M81" i="36" s="1"/>
  <c r="F27" i="36"/>
  <c r="AA27" i="36" s="1"/>
  <c r="H102" i="34"/>
  <c r="H33" i="34"/>
  <c r="U33" i="34" s="1"/>
  <c r="AC34" i="33"/>
  <c r="W34" i="33"/>
  <c r="AA39" i="34"/>
  <c r="AA27" i="40"/>
  <c r="G96" i="37"/>
  <c r="H96" i="37" s="1"/>
  <c r="I96" i="37" s="1"/>
  <c r="J96" i="37" s="1"/>
  <c r="K96" i="37" s="1"/>
  <c r="L96" i="37" s="1"/>
  <c r="M96" i="37" s="1"/>
  <c r="S20" i="35"/>
  <c r="AA20" i="35"/>
  <c r="U35" i="40"/>
  <c r="AC27" i="36"/>
  <c r="G68" i="36"/>
  <c r="F20" i="36"/>
  <c r="AA20" i="36" s="1"/>
  <c r="AB20" i="36"/>
  <c r="AA33" i="34"/>
  <c r="S32" i="37"/>
  <c r="AA32" i="37"/>
  <c r="S27" i="36"/>
  <c r="AB27" i="36"/>
  <c r="I102" i="34"/>
  <c r="J102" i="34" s="1"/>
  <c r="K102" i="34" s="1"/>
  <c r="L102" i="34" s="1"/>
  <c r="M102" i="34" s="1"/>
  <c r="J33" i="34"/>
  <c r="AC33" i="34" s="1"/>
  <c r="H23" i="39"/>
  <c r="U23" i="39" s="1"/>
  <c r="D48" i="9"/>
  <c r="M52" i="9" s="1"/>
  <c r="H86" i="43"/>
  <c r="H82" i="43"/>
  <c r="H87" i="43"/>
  <c r="B41" i="1"/>
  <c r="D68" i="9" s="1"/>
  <c r="K9" i="1"/>
  <c r="M9" i="1" s="1"/>
  <c r="O9" i="1" s="1"/>
  <c r="P9" i="1" s="1"/>
  <c r="F3" i="35"/>
  <c r="D93" i="9"/>
  <c r="J51" i="15"/>
  <c r="F54" i="9"/>
  <c r="AE9" i="1"/>
  <c r="F59" i="15"/>
  <c r="M17" i="15"/>
  <c r="F31" i="15"/>
  <c r="G107" i="39" l="1"/>
  <c r="H107" i="39" s="1"/>
  <c r="I107" i="39" s="1"/>
  <c r="J107" i="39" s="1"/>
  <c r="K107" i="39" s="1"/>
  <c r="L107" i="39" s="1"/>
  <c r="M107" i="39" s="1"/>
  <c r="H32" i="39"/>
  <c r="J32" i="39"/>
  <c r="AC32" i="39" s="1"/>
  <c r="F32" i="39"/>
  <c r="AA32" i="39" s="1"/>
  <c r="W23" i="39"/>
  <c r="S10" i="33"/>
  <c r="AA10" i="33"/>
  <c r="S19" i="37"/>
  <c r="AA19" i="37"/>
  <c r="W17" i="37"/>
  <c r="AC17" i="37"/>
  <c r="AC14" i="36"/>
  <c r="W14" i="36"/>
  <c r="AA17" i="34"/>
  <c r="S17" i="34"/>
  <c r="W28" i="34"/>
  <c r="AC28" i="34"/>
  <c r="W15" i="34"/>
  <c r="AC15" i="34"/>
  <c r="AA21" i="40"/>
  <c r="S21" i="40"/>
  <c r="AB44" i="34"/>
  <c r="U44" i="34"/>
  <c r="F53" i="9"/>
  <c r="F28" i="15"/>
  <c r="C28" i="15" s="1"/>
  <c r="AC43" i="33"/>
  <c r="W43" i="33"/>
  <c r="W44" i="34"/>
  <c r="AC44" i="34"/>
  <c r="AA17" i="40"/>
  <c r="S17" i="40"/>
  <c r="AB17" i="33"/>
  <c r="U17" i="33"/>
  <c r="S32" i="39"/>
  <c r="W42" i="39"/>
  <c r="AB19" i="40"/>
  <c r="W11" i="37"/>
  <c r="AC10" i="37"/>
  <c r="U12" i="37"/>
  <c r="U9" i="37"/>
  <c r="U42" i="33"/>
  <c r="U43" i="33"/>
  <c r="F17" i="37"/>
  <c r="J19" i="37"/>
  <c r="W19" i="37" s="1"/>
  <c r="U27" i="34"/>
  <c r="U13" i="33"/>
  <c r="AA29" i="33"/>
  <c r="AC26" i="36"/>
  <c r="S46" i="33"/>
  <c r="AA14" i="37"/>
  <c r="AB11" i="35"/>
  <c r="AB40" i="37"/>
  <c r="U46" i="33"/>
  <c r="AA29" i="34"/>
  <c r="AA13" i="37"/>
  <c r="J11" i="34"/>
  <c r="AA29" i="35"/>
  <c r="AC17" i="33"/>
  <c r="S19" i="39"/>
  <c r="AZ404" i="3"/>
  <c r="AZ409" i="3"/>
  <c r="AZ420" i="3"/>
  <c r="AZ431" i="3"/>
  <c r="AZ437" i="3"/>
  <c r="AZ441" i="3"/>
  <c r="AZ453" i="3"/>
  <c r="AZ457" i="3"/>
  <c r="AZ468" i="3"/>
  <c r="AZ473" i="3"/>
  <c r="BL585" i="3"/>
  <c r="AZ585" i="3" s="1"/>
  <c r="M6" i="1"/>
  <c r="AH6" i="1"/>
  <c r="AZ400" i="3"/>
  <c r="AZ407" i="3"/>
  <c r="AZ416" i="3"/>
  <c r="AZ428" i="3"/>
  <c r="H12" i="39"/>
  <c r="H38" i="40"/>
  <c r="J38" i="40"/>
  <c r="F40" i="40"/>
  <c r="H40" i="40"/>
  <c r="S22" i="31"/>
  <c r="C24" i="9"/>
  <c r="C74" i="9"/>
  <c r="C30" i="9"/>
  <c r="C18" i="9"/>
  <c r="D18" i="9" s="1"/>
  <c r="G14" i="3"/>
  <c r="G13" i="3"/>
  <c r="BL14" i="3"/>
  <c r="AZ14" i="3" s="1"/>
  <c r="F23" i="21"/>
  <c r="H38" i="33"/>
  <c r="AB38" i="33" s="1"/>
  <c r="F9" i="34"/>
  <c r="F10" i="34"/>
  <c r="F9" i="35"/>
  <c r="H9" i="35"/>
  <c r="J23" i="35"/>
  <c r="F9" i="36"/>
  <c r="AA9" i="36" s="1"/>
  <c r="F10" i="36"/>
  <c r="BL17" i="3"/>
  <c r="AZ332" i="3"/>
  <c r="AZ395" i="3"/>
  <c r="AZ208" i="3"/>
  <c r="AZ211" i="3"/>
  <c r="AZ217" i="3"/>
  <c r="AZ220" i="3"/>
  <c r="AZ226" i="3"/>
  <c r="AZ230" i="3"/>
  <c r="AZ242" i="3"/>
  <c r="AZ246" i="3"/>
  <c r="AZ258" i="3"/>
  <c r="AZ262" i="3"/>
  <c r="AZ266" i="3"/>
  <c r="AZ286" i="3"/>
  <c r="AZ297" i="3"/>
  <c r="AZ302" i="3"/>
  <c r="AZ121" i="3"/>
  <c r="AZ134" i="3"/>
  <c r="AZ137" i="3"/>
  <c r="AZ281" i="3"/>
  <c r="BA113" i="3"/>
  <c r="AZ113" i="3" s="1"/>
  <c r="BL113" i="3"/>
  <c r="BA117" i="3"/>
  <c r="AZ117" i="3" s="1"/>
  <c r="BL117" i="3"/>
  <c r="G118" i="3"/>
  <c r="BL119" i="3"/>
  <c r="AZ205" i="3"/>
  <c r="G18" i="3"/>
  <c r="G19" i="3"/>
  <c r="G20" i="3"/>
  <c r="G21" i="3"/>
  <c r="G25" i="3"/>
  <c r="G27" i="3"/>
  <c r="BL28" i="3"/>
  <c r="AZ28" i="3" s="1"/>
  <c r="G29" i="3"/>
  <c r="G31" i="3"/>
  <c r="BA32" i="3"/>
  <c r="AZ32" i="3" s="1"/>
  <c r="BA33" i="3"/>
  <c r="AZ33" i="3" s="1"/>
  <c r="G35" i="3"/>
  <c r="G37" i="3"/>
  <c r="G38" i="3"/>
  <c r="BA39" i="3"/>
  <c r="AZ39" i="3" s="1"/>
  <c r="BA40" i="3"/>
  <c r="AZ40" i="3" s="1"/>
  <c r="BA41" i="3"/>
  <c r="AZ41" i="3" s="1"/>
  <c r="BL42" i="3"/>
  <c r="AZ42" i="3" s="1"/>
  <c r="G43" i="3"/>
  <c r="BA46" i="3"/>
  <c r="AZ46" i="3" s="1"/>
  <c r="BL46" i="3"/>
  <c r="BA48" i="3"/>
  <c r="AZ48" i="3" s="1"/>
  <c r="G50" i="3"/>
  <c r="BA51" i="3"/>
  <c r="AZ51" i="3" s="1"/>
  <c r="BA52" i="3"/>
  <c r="BL52" i="3"/>
  <c r="BA54" i="3"/>
  <c r="AZ54" i="3" s="1"/>
  <c r="G56" i="3"/>
  <c r="BA57" i="3"/>
  <c r="AZ57" i="3" s="1"/>
  <c r="BA58" i="3"/>
  <c r="AZ58" i="3" s="1"/>
  <c r="G60" i="3"/>
  <c r="G61" i="3"/>
  <c r="G62" i="3"/>
  <c r="BA63" i="3"/>
  <c r="AZ63" i="3" s="1"/>
  <c r="BA64" i="3"/>
  <c r="BL64" i="3"/>
  <c r="BA65" i="3"/>
  <c r="AZ65" i="3" s="1"/>
  <c r="BA66" i="3"/>
  <c r="AZ66" i="3" s="1"/>
  <c r="G68" i="3"/>
  <c r="BL69" i="3"/>
  <c r="AZ69" i="3" s="1"/>
  <c r="G70" i="3"/>
  <c r="BA71" i="3"/>
  <c r="AZ71" i="3" s="1"/>
  <c r="BA72" i="3"/>
  <c r="AZ72" i="3" s="1"/>
  <c r="G76" i="3"/>
  <c r="BA77" i="3"/>
  <c r="AZ77" i="3" s="1"/>
  <c r="BA78" i="3"/>
  <c r="AZ78" i="3" s="1"/>
  <c r="BA79" i="3"/>
  <c r="AZ79" i="3" s="1"/>
  <c r="I21" i="66"/>
  <c r="D1" i="66" s="1"/>
  <c r="E10" i="66" s="1"/>
  <c r="BL22" i="3"/>
  <c r="BL23" i="3"/>
  <c r="BL44" i="3"/>
  <c r="BL45" i="3"/>
  <c r="AZ45" i="3" s="1"/>
  <c r="AZ73" i="3"/>
  <c r="S13" i="1"/>
  <c r="R13" i="1"/>
  <c r="B13" i="1"/>
  <c r="E13" i="1" s="1"/>
  <c r="S11" i="1"/>
  <c r="R11" i="1"/>
  <c r="S9" i="1"/>
  <c r="R9" i="1"/>
  <c r="BA81" i="3"/>
  <c r="AZ81" i="3" s="1"/>
  <c r="G83" i="3"/>
  <c r="G84" i="3"/>
  <c r="BA85" i="3"/>
  <c r="AZ85" i="3" s="1"/>
  <c r="BA86" i="3"/>
  <c r="AZ86" i="3" s="1"/>
  <c r="BL87" i="3"/>
  <c r="G88" i="3"/>
  <c r="BA89" i="3"/>
  <c r="AZ89" i="3" s="1"/>
  <c r="BA90" i="3"/>
  <c r="AZ90" i="3" s="1"/>
  <c r="G92" i="3"/>
  <c r="BA93" i="3"/>
  <c r="AZ93" i="3" s="1"/>
  <c r="BA94" i="3"/>
  <c r="AZ94" i="3" s="1"/>
  <c r="G96" i="3"/>
  <c r="BL97" i="3"/>
  <c r="AZ97" i="3" s="1"/>
  <c r="G98" i="3"/>
  <c r="BA100" i="3"/>
  <c r="AZ100" i="3" s="1"/>
  <c r="G102" i="3"/>
  <c r="BA103" i="3"/>
  <c r="AZ103" i="3" s="1"/>
  <c r="BA104" i="3"/>
  <c r="AZ104" i="3" s="1"/>
  <c r="BL105" i="3"/>
  <c r="AZ105" i="3" s="1"/>
  <c r="G106" i="3"/>
  <c r="BA108" i="3"/>
  <c r="AZ108" i="3" s="1"/>
  <c r="G110" i="3"/>
  <c r="BA112" i="3"/>
  <c r="AZ112" i="3" s="1"/>
  <c r="S12" i="1"/>
  <c r="R12" i="1"/>
  <c r="S10" i="1"/>
  <c r="R10" i="1"/>
  <c r="M100" i="43"/>
  <c r="I100" i="43"/>
  <c r="E100" i="43"/>
  <c r="N100" i="43"/>
  <c r="F29" i="6"/>
  <c r="E29" i="6" s="1"/>
  <c r="AC39" i="39"/>
  <c r="F99" i="39"/>
  <c r="G99" i="39" s="1"/>
  <c r="F25" i="39"/>
  <c r="AA25" i="39" s="1"/>
  <c r="G95" i="39"/>
  <c r="H21" i="39"/>
  <c r="J21" i="39"/>
  <c r="W21" i="39" s="1"/>
  <c r="F21" i="39"/>
  <c r="S21" i="39" s="1"/>
  <c r="H17" i="39"/>
  <c r="G91" i="39"/>
  <c r="F17" i="39"/>
  <c r="J17" i="39"/>
  <c r="AC17" i="39" s="1"/>
  <c r="AC21" i="39"/>
  <c r="W19" i="39"/>
  <c r="S37" i="39"/>
  <c r="AA41" i="39"/>
  <c r="W32" i="39"/>
  <c r="F81" i="39"/>
  <c r="U37" i="39"/>
  <c r="AC15" i="39"/>
  <c r="S15" i="39"/>
  <c r="U15" i="39"/>
  <c r="AA12" i="39"/>
  <c r="M20" i="15"/>
  <c r="F34" i="67"/>
  <c r="F62" i="67" s="1"/>
  <c r="M20" i="67"/>
  <c r="AZ119" i="3"/>
  <c r="AZ114" i="3"/>
  <c r="AZ44" i="3"/>
  <c r="AZ22" i="3"/>
  <c r="AZ23" i="3"/>
  <c r="E13" i="6"/>
  <c r="E12" i="6"/>
  <c r="E15" i="6"/>
  <c r="E60" i="40" s="1"/>
  <c r="E8" i="6"/>
  <c r="F27" i="6" s="1"/>
  <c r="D117" i="43"/>
  <c r="E117" i="43" s="1"/>
  <c r="F117" i="43" s="1"/>
  <c r="G117" i="43" s="1"/>
  <c r="H117" i="43" s="1"/>
  <c r="N104" i="46"/>
  <c r="J101" i="43"/>
  <c r="J104" i="43" s="1"/>
  <c r="C101" i="43"/>
  <c r="C104" i="43" s="1"/>
  <c r="G101" i="43"/>
  <c r="G105" i="43" s="1"/>
  <c r="E22" i="43"/>
  <c r="BL13" i="3"/>
  <c r="BL5" i="3" s="1"/>
  <c r="E10" i="6"/>
  <c r="BA5" i="3"/>
  <c r="E27" i="6" s="1"/>
  <c r="AZ116" i="3"/>
  <c r="E65" i="39"/>
  <c r="G30" i="6"/>
  <c r="G31" i="6" s="1"/>
  <c r="AZ25" i="3"/>
  <c r="AZ27" i="3"/>
  <c r="AZ35" i="3"/>
  <c r="AZ87" i="3"/>
  <c r="AZ99" i="3"/>
  <c r="AZ107" i="3"/>
  <c r="AZ111" i="3"/>
  <c r="A15" i="62"/>
  <c r="B61" i="72" s="1"/>
  <c r="A118" i="9"/>
  <c r="A2" i="9"/>
  <c r="A4" i="52"/>
  <c r="B41" i="72"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AZ17" i="3"/>
  <c r="G5" i="3"/>
  <c r="B3" i="3" s="1"/>
  <c r="N103" i="43"/>
  <c r="N105" i="43"/>
  <c r="N106" i="43"/>
  <c r="J107" i="43"/>
  <c r="J102" i="43"/>
  <c r="F107" i="43"/>
  <c r="F102" i="43"/>
  <c r="F106" i="43"/>
  <c r="K107" i="43"/>
  <c r="K102"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F103" i="43"/>
  <c r="F105" i="43"/>
  <c r="J106" i="43"/>
  <c r="N104" i="43"/>
  <c r="N107" i="43"/>
  <c r="E61" i="39"/>
  <c r="E56" i="40"/>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K109" i="43"/>
  <c r="E11" i="43"/>
  <c r="E10" i="43"/>
  <c r="E9" i="43"/>
  <c r="E8" i="43"/>
  <c r="E81" i="43"/>
  <c r="B79" i="43" s="1"/>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I109" i="43"/>
  <c r="N109" i="43"/>
  <c r="C20" i="43"/>
  <c r="F100" i="43"/>
  <c r="H17" i="43"/>
  <c r="G6" i="1"/>
  <c r="H85" i="43"/>
  <c r="H81" i="43"/>
  <c r="H84" i="43"/>
  <c r="H88" i="43"/>
  <c r="H53" i="43"/>
  <c r="H54" i="43"/>
  <c r="H78" i="43"/>
  <c r="H70" i="43"/>
  <c r="H71" i="43"/>
  <c r="C17" i="43"/>
  <c r="F33" i="43"/>
  <c r="G17" i="43"/>
  <c r="F34" i="43"/>
  <c r="M7" i="43"/>
  <c r="N6" i="43"/>
  <c r="M2" i="43"/>
  <c r="C6" i="43" s="1"/>
  <c r="M10" i="43"/>
  <c r="N3" i="43"/>
  <c r="N11" i="43"/>
  <c r="C23" i="43"/>
  <c r="C21" i="43" s="1"/>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6" i="67"/>
  <c r="F16" i="67"/>
  <c r="M9" i="67"/>
  <c r="F26" i="67"/>
  <c r="L48" i="15"/>
  <c r="F13" i="67"/>
  <c r="M8" i="15"/>
  <c r="M24" i="67"/>
  <c r="F43" i="15"/>
  <c r="J15" i="15"/>
  <c r="L48" i="67"/>
  <c r="M23" i="67"/>
  <c r="M29" i="15"/>
  <c r="G1" i="73"/>
  <c r="M29" i="67"/>
  <c r="M28" i="67"/>
  <c r="F8" i="15"/>
  <c r="M9" i="15"/>
  <c r="L47" i="67"/>
  <c r="J15" i="67"/>
  <c r="M6" i="67"/>
  <c r="M23" i="15"/>
  <c r="M22" i="67"/>
  <c r="F16" i="15"/>
  <c r="M8" i="67"/>
  <c r="F43" i="67"/>
  <c r="F8" i="67"/>
  <c r="F7" i="67"/>
  <c r="F26" i="15"/>
  <c r="F36" i="67"/>
  <c r="F7" i="15"/>
  <c r="F13" i="15"/>
  <c r="F36" i="15"/>
  <c r="F38" i="15"/>
  <c r="M26" i="15"/>
  <c r="M24" i="15"/>
  <c r="F9" i="67"/>
  <c r="M6" i="15"/>
  <c r="F37" i="67"/>
  <c r="M26" i="67"/>
  <c r="F6" i="15"/>
  <c r="C76" i="67"/>
  <c r="F42" i="15"/>
  <c r="F40" i="67"/>
  <c r="F37" i="15"/>
  <c r="L47" i="15"/>
  <c r="F38" i="67"/>
  <c r="F9" i="15"/>
  <c r="C76" i="15"/>
  <c r="M22" i="15"/>
  <c r="F40" i="15"/>
  <c r="F42" i="67"/>
  <c r="M28" i="15"/>
  <c r="AB32" i="39" l="1"/>
  <c r="U32" i="39"/>
  <c r="E16" i="6"/>
  <c r="AA10" i="36"/>
  <c r="S10" i="36"/>
  <c r="AC23" i="35"/>
  <c r="W23" i="35"/>
  <c r="AA9" i="35"/>
  <c r="S9" i="35"/>
  <c r="AA9" i="34"/>
  <c r="S9" i="34"/>
  <c r="AA40" i="40"/>
  <c r="S40" i="40"/>
  <c r="U38" i="40"/>
  <c r="AB38" i="40"/>
  <c r="W11" i="34"/>
  <c r="AC11" i="34"/>
  <c r="E128" i="3"/>
  <c r="S10" i="77"/>
  <c r="AZ64" i="3"/>
  <c r="AZ52" i="3"/>
  <c r="AB9" i="35"/>
  <c r="U9" i="35"/>
  <c r="AA10" i="34"/>
  <c r="S10" i="34"/>
  <c r="AB40" i="40"/>
  <c r="U40" i="40"/>
  <c r="AC38" i="40"/>
  <c r="W38" i="40"/>
  <c r="AB12" i="39"/>
  <c r="U12" i="39"/>
  <c r="AA17" i="37"/>
  <c r="S17" i="37"/>
  <c r="C103" i="43"/>
  <c r="C16" i="43"/>
  <c r="S25" i="39"/>
  <c r="C102" i="43"/>
  <c r="C107" i="43"/>
  <c r="AB21" i="39"/>
  <c r="U21" i="39"/>
  <c r="AA21" i="39"/>
  <c r="AA17" i="39"/>
  <c r="S17" i="39"/>
  <c r="AB17" i="39"/>
  <c r="U17" i="39"/>
  <c r="G81" i="39"/>
  <c r="H81" i="39" s="1"/>
  <c r="I81" i="39" s="1"/>
  <c r="J81" i="39" s="1"/>
  <c r="K81" i="39" s="1"/>
  <c r="L81" i="39" s="1"/>
  <c r="M81" i="39" s="1"/>
  <c r="C30" i="69"/>
  <c r="C48" i="69"/>
  <c r="C30" i="68"/>
  <c r="C48" i="68"/>
  <c r="G109" i="43"/>
  <c r="J109" i="43"/>
  <c r="G104" i="43"/>
  <c r="G107" i="43"/>
  <c r="J103" i="43"/>
  <c r="AZ5" i="3"/>
  <c r="K20" i="6"/>
  <c r="E58" i="40"/>
  <c r="E63" i="39"/>
  <c r="E53" i="3"/>
  <c r="D22" i="43"/>
  <c r="C109" i="43"/>
  <c r="E501" i="3"/>
  <c r="C105" i="43"/>
  <c r="C106" i="43"/>
  <c r="E319" i="3"/>
  <c r="E343" i="3"/>
  <c r="E530" i="3"/>
  <c r="E175" i="3"/>
  <c r="E553" i="3"/>
  <c r="E526" i="3"/>
  <c r="E366" i="3"/>
  <c r="E217" i="3"/>
  <c r="E125" i="3"/>
  <c r="E395" i="3"/>
  <c r="E565" i="3"/>
  <c r="E563" i="3"/>
  <c r="E528" i="3"/>
  <c r="E415" i="3"/>
  <c r="E304" i="3"/>
  <c r="E278" i="3"/>
  <c r="E261" i="3"/>
  <c r="E114" i="3"/>
  <c r="E237" i="3"/>
  <c r="D9" i="68"/>
  <c r="C9" i="68" s="1"/>
  <c r="D19" i="12"/>
  <c r="C19" i="12" s="1"/>
  <c r="K24" i="6"/>
  <c r="M24" i="6" s="1"/>
  <c r="I24" i="6" s="1"/>
  <c r="E31" i="6"/>
  <c r="E302" i="3"/>
  <c r="E328" i="3"/>
  <c r="E535" i="3"/>
  <c r="AJ6" i="3"/>
  <c r="E503" i="3"/>
  <c r="E508" i="3"/>
  <c r="E550" i="3"/>
  <c r="N6" i="3"/>
  <c r="E17" i="3"/>
  <c r="E426" i="3"/>
  <c r="E445" i="3"/>
  <c r="E322" i="3"/>
  <c r="E361" i="3"/>
  <c r="E305" i="3"/>
  <c r="E260" i="3"/>
  <c r="E282" i="3"/>
  <c r="E213" i="3"/>
  <c r="E153" i="3"/>
  <c r="E172" i="3"/>
  <c r="E268" i="3"/>
  <c r="E183" i="3"/>
  <c r="K14" i="1"/>
  <c r="M14" i="1" s="1"/>
  <c r="O14" i="1" s="1"/>
  <c r="P14" i="1"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69" i="3"/>
  <c r="AT6" i="3"/>
  <c r="D113" i="43"/>
  <c r="J22" i="43" s="1"/>
  <c r="E4" i="4"/>
  <c r="K4" i="4" s="1"/>
  <c r="B46" i="48" s="1"/>
  <c r="B4" i="72" s="1"/>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T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M19" i="6"/>
  <c r="S25" i="6"/>
  <c r="S21" i="6"/>
  <c r="L27" i="6"/>
  <c r="S26" i="6"/>
  <c r="S24" i="6"/>
  <c r="S22" i="6"/>
  <c r="M20" i="6"/>
  <c r="I20" i="6" s="1"/>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E7" i="70"/>
  <c r="M7" i="1"/>
  <c r="O7" i="1" s="1"/>
  <c r="Q16" i="1"/>
  <c r="F27" i="69" s="1"/>
  <c r="H16" i="1"/>
  <c r="K16" i="1"/>
  <c r="B29" i="1" s="1"/>
  <c r="C8" i="68" s="1"/>
  <c r="E6" i="70"/>
  <c r="AB45" i="21"/>
  <c r="AC33" i="21"/>
  <c r="W33" i="21"/>
  <c r="S33" i="21"/>
  <c r="AA33" i="21"/>
  <c r="W32" i="21"/>
  <c r="AC32" i="21"/>
  <c r="AB9" i="21"/>
  <c r="U9" i="21"/>
  <c r="AA32" i="21"/>
  <c r="S32" i="21"/>
  <c r="W9" i="21"/>
  <c r="AC9" i="21"/>
  <c r="AB32" i="21"/>
  <c r="U32" i="21"/>
  <c r="AA10" i="21"/>
  <c r="S10" i="21"/>
  <c r="C36" i="69"/>
  <c r="C16" i="15"/>
  <c r="C16" i="67"/>
  <c r="C17" i="15"/>
  <c r="B14" i="74" l="1"/>
  <c r="B1" i="74" s="1"/>
  <c r="I44" i="66"/>
  <c r="B5" i="62"/>
  <c r="B73" i="72" s="1"/>
  <c r="F7" i="36"/>
  <c r="S7" i="36" s="1"/>
  <c r="H7" i="37"/>
  <c r="U7" i="37" s="1"/>
  <c r="AA7" i="36"/>
  <c r="R36" i="36" s="1"/>
  <c r="E36" i="36" s="1"/>
  <c r="J10" i="15"/>
  <c r="J5" i="15" s="1"/>
  <c r="J24" i="15" s="1"/>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D15" i="81" s="1"/>
  <c r="F15" i="81"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J5" i="67" s="1"/>
  <c r="C53" i="67"/>
  <c r="C5" i="67"/>
  <c r="F10" i="40"/>
  <c r="AA10" i="40" s="1"/>
  <c r="S20" i="6"/>
  <c r="I19" i="6"/>
  <c r="M27" i="6"/>
  <c r="H10" i="39"/>
  <c r="J10" i="39"/>
  <c r="Q61" i="15"/>
  <c r="C49" i="15"/>
  <c r="Q60" i="15"/>
  <c r="M16" i="1"/>
  <c r="N16" i="1" s="1"/>
  <c r="Q60" i="67"/>
  <c r="Q73" i="67"/>
  <c r="F27" i="11"/>
  <c r="Q61" i="67"/>
  <c r="Q74" i="67"/>
  <c r="C49" i="67"/>
  <c r="F1" i="67"/>
  <c r="Q52" i="67"/>
  <c r="E40" i="36"/>
  <c r="F40" i="36" s="1"/>
  <c r="G15" i="81" l="1"/>
  <c r="H15" i="81" s="1"/>
  <c r="H20" i="6"/>
  <c r="C14" i="74"/>
  <c r="B2" i="74" s="1"/>
  <c r="G39" i="43"/>
  <c r="I39" i="43"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J18" i="67"/>
  <c r="J24" i="67"/>
  <c r="C32" i="67"/>
  <c r="C38" i="67"/>
  <c r="J18" i="15"/>
  <c r="H19" i="6"/>
  <c r="S19" i="6"/>
  <c r="S27" i="6" s="1"/>
  <c r="I27" i="6"/>
  <c r="W10" i="39"/>
  <c r="AC10" i="39"/>
  <c r="U10" i="39"/>
  <c r="AB10" i="39"/>
  <c r="F50" i="11"/>
  <c r="F50" i="69"/>
  <c r="F50" i="68"/>
  <c r="Q57" i="67"/>
  <c r="Q66" i="67"/>
  <c r="C47" i="11"/>
  <c r="D45" i="11" s="1"/>
  <c r="C29" i="11"/>
  <c r="D27" i="11" s="1"/>
  <c r="C28" i="11"/>
  <c r="C27" i="11" s="1"/>
  <c r="L16" i="1"/>
  <c r="C34" i="11"/>
  <c r="J59" i="67"/>
  <c r="J60" i="67" s="1"/>
  <c r="C38" i="9" l="1"/>
  <c r="H106" i="9" s="1"/>
  <c r="O15" i="81"/>
  <c r="O16" i="81"/>
  <c r="P16" i="81" s="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47" i="37"/>
  <c r="H47" i="37" s="1"/>
  <c r="I46" i="37"/>
  <c r="J46" i="37" s="1"/>
  <c r="I47" i="37"/>
  <c r="J47" i="37" s="1"/>
  <c r="G63" i="40"/>
  <c r="F65" i="40"/>
  <c r="G48" i="21"/>
  <c r="E49" i="34"/>
  <c r="G70" i="39"/>
  <c r="H27" i="6"/>
  <c r="R19" i="6"/>
  <c r="C35" i="11"/>
  <c r="C38" i="11"/>
  <c r="C14" i="12"/>
  <c r="C23" i="12"/>
  <c r="Q48" i="67"/>
  <c r="L46" i="67"/>
  <c r="R50" i="34" l="1"/>
  <c r="R49" i="21"/>
  <c r="G54" i="34"/>
  <c r="H54" i="34" s="1"/>
  <c r="I53" i="21"/>
  <c r="J53" i="21" s="1"/>
  <c r="O17" i="81"/>
  <c r="P17" i="81" s="1"/>
  <c r="Q16" i="81" s="1"/>
  <c r="S16" i="81" s="1"/>
  <c r="P15" i="81"/>
  <c r="O18" i="81"/>
  <c r="D12" i="53"/>
  <c r="B28" i="72" s="1"/>
  <c r="H103" i="9"/>
  <c r="D31" i="6"/>
  <c r="I5" i="6" s="1"/>
  <c r="C37" i="36"/>
  <c r="C36" i="36"/>
  <c r="G40" i="36"/>
  <c r="H40" i="36" s="1"/>
  <c r="E41" i="36"/>
  <c r="F41" i="36" s="1"/>
  <c r="G41" i="36"/>
  <c r="H41" i="36" s="1"/>
  <c r="C19" i="68"/>
  <c r="D37" i="68"/>
  <c r="C37" i="68" s="1"/>
  <c r="I6" i="6"/>
  <c r="C11" i="39"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M21" i="15"/>
  <c r="F35" i="67"/>
  <c r="F35" i="15"/>
  <c r="M21" i="67"/>
  <c r="D8" i="53" l="1"/>
  <c r="D120" i="9"/>
  <c r="Q14" i="81"/>
  <c r="S14" i="81" s="1"/>
  <c r="S18" i="81" s="1"/>
  <c r="P18" i="81"/>
  <c r="H11" i="39"/>
  <c r="F11" i="39"/>
  <c r="J11" i="39"/>
  <c r="F63" i="67"/>
  <c r="C62" i="67" s="1"/>
  <c r="C34" i="67"/>
  <c r="J20" i="67"/>
  <c r="C24" i="68"/>
  <c r="J20" i="15"/>
  <c r="F63" i="15"/>
  <c r="C62" i="15" s="1"/>
  <c r="C34" i="15"/>
  <c r="R16" i="1"/>
  <c r="C22" i="12"/>
  <c r="C30" i="12" s="1"/>
  <c r="C28" i="12" s="1"/>
  <c r="C33" i="68"/>
  <c r="I63" i="40"/>
  <c r="H65" i="40"/>
  <c r="C39" i="11"/>
  <c r="C43" i="11" s="1"/>
  <c r="C41" i="11" s="1"/>
  <c r="I70" i="39"/>
  <c r="D9" i="53" l="1"/>
  <c r="B25" i="72" s="1"/>
  <c r="B24" i="72"/>
  <c r="D121" i="9"/>
  <c r="D7" i="52" s="1"/>
  <c r="D6" i="52"/>
  <c r="K120" i="9"/>
  <c r="A18" i="62" s="1"/>
  <c r="B64" i="72" s="1"/>
  <c r="AA11" i="39"/>
  <c r="S11" i="39"/>
  <c r="AC11" i="39"/>
  <c r="W11" i="39"/>
  <c r="AB11" i="39"/>
  <c r="U11" i="39"/>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67"/>
  <c r="L51" i="15"/>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C46" i="15" l="1"/>
  <c r="B2" i="69"/>
  <c r="B3" i="69" s="1"/>
  <c r="B8" i="70"/>
  <c r="B6" i="70"/>
  <c r="B3" i="67"/>
  <c r="B7" i="70"/>
  <c r="E2" i="68"/>
  <c r="D2" i="34"/>
  <c r="D2" i="33"/>
  <c r="D2" i="35"/>
  <c r="D2" i="21"/>
  <c r="D2" i="36"/>
  <c r="D2" i="37"/>
  <c r="B2" i="36" l="1"/>
  <c r="B3" i="36" s="1"/>
  <c r="B2" i="35"/>
  <c r="B3" i="35" s="1"/>
  <c r="B2" i="37"/>
  <c r="B3" i="37" s="1"/>
  <c r="B2" i="34"/>
  <c r="B3" i="34" s="1"/>
  <c r="B2" i="21"/>
  <c r="B3" i="21" s="1"/>
  <c r="B2" i="70"/>
  <c r="B3" i="70" s="1"/>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C28" i="68" l="1"/>
  <c r="C27" i="68" s="1"/>
  <c r="C25" i="68"/>
  <c r="C22" i="68" s="1"/>
  <c r="C31" i="68" l="1"/>
  <c r="C52" i="68" s="1"/>
  <c r="C57" i="68" l="1"/>
  <c r="C56" i="68" s="1"/>
  <c r="B2" i="68"/>
  <c r="B3" i="68" s="1"/>
  <c r="C20" i="9"/>
  <c r="C19" i="9"/>
  <c r="D34" i="9"/>
  <c r="D35" i="9"/>
  <c r="C21" i="9" l="1"/>
  <c r="D22" i="9"/>
  <c r="C102" i="9"/>
  <c r="G19" i="9"/>
  <c r="C103" i="9"/>
  <c r="G20" i="9"/>
  <c r="K25" i="9" l="1"/>
  <c r="L27" i="9"/>
  <c r="C32" i="9"/>
  <c r="H118" i="9" s="1"/>
  <c r="G21" i="9"/>
  <c r="L29" i="9" l="1"/>
  <c r="K27" i="9"/>
  <c r="K29" i="9" s="1"/>
  <c r="C35" i="9"/>
  <c r="F118" i="9" s="1"/>
  <c r="D14" i="74"/>
  <c r="H119" i="9"/>
  <c r="H5" i="52" s="1"/>
  <c r="H4" i="52"/>
  <c r="I118" i="9"/>
  <c r="C104" i="9"/>
  <c r="H101" i="9"/>
  <c r="F4" i="52" l="1"/>
  <c r="B51" i="72" s="1"/>
  <c r="F132" i="9"/>
  <c r="F134" i="9" s="1"/>
  <c r="G118" i="9"/>
  <c r="F119" i="9"/>
  <c r="F5" i="52" s="1"/>
  <c r="B53" i="72" s="1"/>
  <c r="C34" i="9"/>
  <c r="D118" i="9" s="1"/>
  <c r="C105" i="9"/>
  <c r="I4" i="52"/>
  <c r="H102" i="9"/>
  <c r="D7" i="53" s="1"/>
  <c r="B21" i="72" s="1"/>
  <c r="E118" i="9"/>
  <c r="E4" i="52" s="1"/>
  <c r="B48" i="72" s="1"/>
  <c r="E14" i="74"/>
  <c r="B5" i="74"/>
  <c r="F14" i="74"/>
  <c r="H107" i="9"/>
  <c r="H133" i="9" s="1"/>
  <c r="D5" i="53"/>
  <c r="M48" i="9"/>
  <c r="D45" i="9"/>
  <c r="G4" i="52" l="1"/>
  <c r="B52" i="72" s="1"/>
  <c r="G132" i="9"/>
  <c r="D132" i="9"/>
  <c r="D4" i="52"/>
  <c r="B47" i="72" s="1"/>
  <c r="D119" i="9"/>
  <c r="D5" i="52" s="1"/>
  <c r="B49" i="72" s="1"/>
  <c r="M49" i="9"/>
  <c r="D13" i="53"/>
  <c r="D122" i="9"/>
  <c r="H108" i="9"/>
  <c r="I133" i="9" s="1"/>
  <c r="C5" i="74"/>
  <c r="D5" i="74"/>
  <c r="D59" i="9"/>
  <c r="M55" i="9" s="1"/>
  <c r="C93" i="9"/>
  <c r="C86" i="9" s="1"/>
  <c r="C72" i="9"/>
  <c r="D52" i="9"/>
  <c r="C78" i="9"/>
  <c r="C73" i="9" s="1"/>
  <c r="D55" i="9"/>
  <c r="M53" i="9" s="1"/>
  <c r="D53" i="9"/>
  <c r="C85" i="9"/>
  <c r="C95" i="9" s="1"/>
  <c r="C64" i="9"/>
  <c r="C63" i="9" s="1"/>
  <c r="C67" i="9" s="1"/>
  <c r="C68" i="9" s="1"/>
  <c r="D54" i="9" s="1"/>
  <c r="B20" i="72"/>
  <c r="D6" i="53"/>
  <c r="B22" i="72" s="1"/>
  <c r="D134" i="9" l="1"/>
  <c r="E132" i="9"/>
  <c r="I132" i="9" s="1"/>
  <c r="H132" i="9"/>
  <c r="H134" i="9" s="1"/>
  <c r="D15" i="53"/>
  <c r="B31" i="72" s="1"/>
  <c r="B30" i="72"/>
  <c r="D14" i="53"/>
  <c r="B32" i="72" s="1"/>
  <c r="C96" i="9"/>
  <c r="E96" i="9" s="1"/>
  <c r="E97" i="9" s="1"/>
  <c r="C79" i="9"/>
  <c r="G14" i="74"/>
  <c r="B6" i="74" s="1"/>
  <c r="D8" i="52"/>
  <c r="D123" i="9"/>
  <c r="D9" i="52" s="1"/>
  <c r="L68" i="9"/>
  <c r="M68" i="9" s="1"/>
  <c r="L63" i="9"/>
  <c r="M63" i="9" s="1"/>
  <c r="L66" i="9"/>
  <c r="M66" i="9" s="1"/>
  <c r="L65" i="9"/>
  <c r="M65" i="9" s="1"/>
  <c r="L67" i="9"/>
  <c r="M67" i="9" s="1"/>
  <c r="L64" i="9"/>
  <c r="M64" i="9" s="1"/>
  <c r="C97" i="9" l="1"/>
  <c r="D58" i="9" s="1"/>
  <c r="D56" i="9" s="1"/>
  <c r="M54" i="9" s="1"/>
  <c r="N57" i="9" s="1"/>
  <c r="P57" i="9" s="1"/>
  <c r="M69" i="9"/>
  <c r="N69" i="9" s="1"/>
  <c r="C6" i="74"/>
  <c r="D6" i="74"/>
  <c r="C80" i="9"/>
  <c r="E80" i="9" s="1"/>
  <c r="E81" i="9" s="1"/>
  <c r="N58" i="9" l="1"/>
  <c r="C81" i="9"/>
  <c r="N59" i="9"/>
  <c r="N61" i="9" s="1"/>
  <c r="H112" i="9" s="1"/>
  <c r="D21" i="53" s="1"/>
  <c r="B39" i="72" s="1"/>
  <c r="H111" i="9"/>
  <c r="N60" i="9"/>
  <c r="D19" i="53" l="1"/>
  <c r="D126" i="9"/>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<sst xmlns="http://schemas.openxmlformats.org/spreadsheetml/2006/main" count="10192" uniqueCount="4083">
  <si>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</si>
  <si>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</si>
  <si>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</si>
  <si>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</si>
  <si>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</si>
  <si>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</si>
  <si>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</si>
  <si>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</si>
  <si>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</si>
  <si>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</si>
  <si>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</si>
  <si>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</si>
  <si>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</si>
  <si>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</si>
  <si>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</si>
  <si>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</si>
  <si>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</si>
  <si>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</si>
  <si>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</si>
  <si>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</si>
  <si>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</si>
  <si>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</si>
  <si>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</si>
  <si>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</si>
  <si>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</si>
  <si>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</si>
  <si>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</si>
  <si>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</si>
  <si>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</si>
  <si>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</si>
  <si>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</si>
  <si>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</si>
  <si>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</si>
  <si>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</si>
  <si>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</si>
  <si>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</si>
  <si>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</si>
  <si>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</si>
  <si>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</si>
  <si>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</si>
  <si>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</si>
  <si>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</si>
  <si>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</si>
  <si>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</si>
  <si>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</si>
  <si>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</si>
  <si>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</si>
  <si>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</si>
  <si>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</si>
  <si>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</si>
  <si>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</si>
  <si>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</si>
  <si>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</si>
  <si>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</si>
  <si>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</si>
  <si>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</si>
  <si>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</si>
  <si>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</si>
  <si>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</si>
  <si>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</si>
  <si>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</si>
  <si>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</si>
  <si>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</si>
  <si>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</si>
  <si>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</si>
  <si>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</si>
  <si>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</si>
  <si>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</si>
  <si>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</si>
  <si>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</si>
  <si>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</si>
  <si>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</si>
  <si>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</si>
  <si>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</si>
  <si>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</si>
  <si>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</si>
  <si>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</si>
  <si>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</si>
  <si>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</si>
  <si>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</si>
  <si>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</si>
  <si>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</si>
  <si>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</si>
  <si>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</si>
  <si>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</si>
  <si>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</si>
  <si>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</si>
  <si>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</si>
  <si>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</si>
  <si>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</si>
  <si>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</si>
  <si>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</si>
  <si>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</si>
  <si>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</si>
  <si>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</si>
  <si>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</si>
  <si>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</si>
  <si>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</si>
  <si>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</si>
  <si>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</si>
  <si>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</si>
  <si>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</si>
  <si>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</si>
  <si>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</si>
  <si>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</si>
  <si>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</si>
  <si>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</si>
  <si>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</si>
  <si>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</si>
  <si>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</si>
  <si>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</si>
  <si>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</si>
  <si>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</si>
  <si>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</si>
  <si>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</si>
  <si>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</si>
  <si>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</si>
  <si>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</si>
  <si>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</si>
  <si>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</si>
  <si>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</si>
  <si>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</si>
  <si>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</si>
  <si>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</si>
  <si>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</si>
  <si>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</si>
  <si>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</si>
  <si>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</si>
  <si>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</si>
  <si>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</si>
  <si>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</si>
  <si>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</si>
  <si>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</si>
  <si>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</si>
  <si>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</si>
  <si>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</si>
  <si>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</si>
  <si>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</si>
  <si>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</si>
  <si>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</si>
  <si>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</si>
  <si>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</si>
  <si>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</si>
  <si>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</si>
  <si>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</si>
  <si>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</si>
  <si>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</si>
  <si>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</si>
  <si>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</si>
  <si>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</si>
  <si>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</si>
  <si>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</si>
  <si>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</si>
  <si>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</si>
  <si>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</si>
  <si>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</si>
  <si>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</si>
  <si>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</si>
  <si>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</si>
  <si>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</si>
  <si>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</si>
  <si>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</si>
  <si>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</si>
  <si>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</si>
  <si>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</si>
  <si>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</si>
  <si>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</si>
  <si>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</si>
  <si>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</si>
  <si>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</si>
  <si>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</si>
  <si>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</si>
  <si>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</si>
  <si>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</si>
  <si>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</si>
  <si>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</si>
  <si>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</si>
  <si>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</si>
  <si>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</si>
  <si>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</si>
  <si>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</si>
  <si>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</si>
  <si>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</si>
  <si>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</si>
  <si>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</si>
  <si>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</si>
  <si>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</si>
  <si>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</si>
  <si>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</si>
  <si>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</si>
  <si>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</si>
  <si>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</si>
  <si>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</si>
  <si>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</si>
  <si>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</si>
  <si>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</si>
  <si>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</si>
  <si>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</si>
  <si>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</si>
  <si>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</si>
  <si>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</si>
  <si>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</si>
  <si>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</si>
  <si>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</si>
  <si>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</si>
  <si>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</si>
  <si>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</si>
  <si>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</si>
  <si>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</si>
  <si>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</si>
  <si>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</si>
  <si>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</si>
  <si>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</si>
  <si>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</si>
  <si>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</si>
  <si>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</si>
  <si>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</si>
  <si>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</si>
  <si>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</si>
  <si>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</si>
  <si>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</si>
  <si>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</si>
  <si>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</si>
  <si>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</si>
  <si>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</si>
  <si>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</si>
  <si>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</si>
  <si>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</si>
  <si>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</si>
  <si>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</si>
  <si>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</si>
  <si>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</si>
  <si>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</si>
  <si>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</si>
  <si>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</si>
  <si>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</si>
  <si>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</si>
  <si>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</si>
  <si>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</si>
  <si>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</si>
  <si>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</si>
  <si>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</si>
  <si>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</si>
  <si>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</si>
  <si>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</si>
  <si>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</si>
  <si>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</si>
  <si>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</si>
  <si>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</si>
  <si>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</si>
  <si>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</si>
  <si>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</si>
  <si>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</si>
  <si>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</si>
  <si>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</si>
  <si>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</si>
  <si>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</si>
  <si>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</si>
  <si>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</si>
  <si>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</si>
  <si>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</si>
  <si>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</si>
  <si>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</si>
  <si>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</si>
  <si>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</si>
  <si>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</si>
  <si>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</si>
  <si>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</si>
  <si>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</si>
  <si>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</si>
  <si>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</si>
  <si>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</si>
  <si>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</si>
  <si>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</si>
  <si>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</si>
  <si>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</si>
  <si>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</si>
  <si>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</si>
  <si>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</si>
  <si>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</si>
  <si>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</si>
  <si>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</si>
  <si>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</si>
  <si>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</si>
  <si>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</si>
  <si>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</si>
  <si>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</si>
  <si>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</si>
  <si>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</si>
  <si>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</si>
  <si>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</si>
  <si>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</si>
  <si>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</si>
  <si>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</si>
  <si>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</si>
  <si>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</si>
  <si>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</si>
  <si>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</si>
  <si>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</si>
  <si>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</si>
  <si>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</si>
  <si>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</si>
  <si>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</si>
  <si>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</si>
  <si>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</si>
  <si>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</si>
  <si>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</si>
  <si>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</si>
  <si>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</si>
  <si>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</si>
  <si>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</si>
  <si>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</si>
  <si>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</si>
  <si>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</si>
  <si>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</si>
  <si>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</si>
  <si>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</si>
  <si>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</si>
  <si>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</si>
  <si>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</si>
  <si>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</si>
  <si>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</si>
  <si>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</si>
  <si>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</si>
  <si>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</si>
  <si>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</si>
  <si>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</si>
  <si>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</si>
  <si>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</si>
  <si>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</si>
  <si>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</si>
  <si>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</si>
  <si>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</si>
  <si>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</si>
  <si>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</si>
  <si>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</si>
  <si>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</si>
  <si>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</si>
  <si>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</si>
  <si>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</si>
  <si>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</si>
  <si>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</si>
  <si>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</si>
  <si>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</si>
  <si>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</si>
  <si>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</si>
  <si>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</si>
  <si>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</si>
  <si>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</si>
  <si>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</si>
  <si>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</si>
  <si>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</si>
  <si>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</si>
  <si>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</si>
  <si>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</si>
  <si>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</si>
  <si>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</si>
  <si>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</si>
  <si>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</si>
  <si>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</si>
  <si>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</si>
  <si>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</si>
  <si>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</si>
  <si>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</si>
  <si>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</si>
  <si>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</si>
  <si>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</si>
  <si>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</si>
  <si>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</si>
  <si>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</si>
  <si>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</si>
  <si>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</si>
  <si>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</si>
  <si>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</si>
  <si>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</si>
  <si>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</si>
  <si>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</si>
  <si>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</si>
  <si>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</si>
  <si>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</si>
  <si>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</si>
  <si>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</si>
  <si>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</si>
  <si>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</si>
  <si>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</si>
  <si>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</si>
  <si>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</si>
  <si>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</si>
  <si>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</si>
  <si>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</si>
  <si>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</si>
  <si>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</si>
  <si>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</si>
  <si>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</si>
  <si>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</si>
  <si>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</si>
  <si>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</si>
  <si>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</si>
  <si>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</si>
  <si>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</si>
  <si>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</si>
  <si>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</si>
  <si>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</si>
  <si>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</si>
  <si>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</si>
  <si>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</si>
  <si>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</si>
  <si>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</si>
  <si>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</si>
  <si>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</si>
  <si>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</si>
  <si>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</si>
  <si>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</si>
  <si>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</si>
  <si>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</si>
  <si>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</si>
  <si>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</si>
  <si>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</si>
  <si>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</si>
  <si>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</si>
  <si>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</si>
  <si>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</si>
  <si>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</si>
  <si>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</si>
  <si>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</si>
  <si>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</si>
  <si>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</si>
  <si>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</si>
  <si>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</si>
  <si>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</si>
  <si>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</si>
  <si>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</si>
  <si>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</si>
  <si>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</si>
  <si>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</si>
  <si>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</si>
  <si>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</si>
  <si>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</si>
  <si>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</si>
  <si>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</si>
  <si>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</si>
  <si>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</si>
  <si>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</si>
  <si>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</si>
  <si>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</si>
  <si>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</si>
  <si>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</si>
  <si>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</si>
  <si>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</si>
  <si>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</si>
  <si>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</si>
  <si>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</si>
  <si>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</si>
  <si>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</si>
  <si>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</si>
  <si>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</si>
  <si>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</si>
  <si>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</si>
  <si>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</si>
  <si>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</si>
  <si>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</si>
  <si>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</si>
  <si>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</si>
  <si>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</si>
  <si>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</si>
  <si>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</si>
  <si>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</si>
  <si>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</si>
  <si>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</si>
  <si>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</si>
  <si>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</si>
  <si>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</si>
  <si>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</si>
  <si>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</si>
  <si>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</si>
  <si>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</si>
  <si>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</si>
  <si>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</si>
  <si>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</si>
  <si>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</si>
  <si>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</si>
  <si>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</si>
  <si>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</si>
  <si>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</si>
  <si>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</si>
  <si>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</si>
  <si>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</si>
  <si>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</si>
  <si>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</si>
  <si>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</si>
  <si>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</si>
  <si>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</si>
  <si>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</si>
  <si>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</si>
  <si>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</si>
  <si>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</si>
  <si>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</si>
  <si>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</si>
  <si>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</si>
  <si>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</si>
  <si>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</si>
  <si>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</si>
  <si>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</si>
  <si>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</si>
  <si>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</si>
  <si>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</si>
  <si>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</si>
  <si>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</si>
  <si>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</si>
  <si>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</si>
  <si>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</si>
  <si>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</si>
  <si>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</si>
  <si>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</si>
  <si>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</si>
  <si>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</si>
  <si>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</si>
  <si>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</si>
  <si>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</si>
  <si>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</si>
  <si>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</si>
  <si>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</si>
  <si>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</si>
  <si>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</si>
  <si>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</si>
  <si>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</si>
  <si>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</si>
  <si>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</si>
  <si>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</si>
  <si>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</si>
  <si>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</si>
  <si>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</si>
  <si>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</si>
  <si>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</si>
  <si>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</si>
  <si>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</si>
  <si>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</si>
  <si>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</si>
  <si>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</si>
  <si>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</si>
  <si>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</si>
  <si>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</si>
  <si>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</si>
  <si>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</si>
  <si>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</si>
  <si>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</si>
  <si>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</si>
  <si>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</si>
  <si>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</si>
  <si>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</si>
  <si>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</si>
  <si>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</si>
  <si>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</si>
  <si>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</si>
  <si>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</si>
  <si>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</si>
  <si>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</si>
  <si>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</si>
  <si>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</si>
  <si>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</si>
  <si>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</si>
  <si>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</si>
  <si>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</si>
  <si>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</si>
  <si>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</si>
  <si>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</si>
  <si>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</si>
  <si>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</si>
  <si>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</si>
  <si>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</si>
  <si>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</si>
  <si>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</si>
  <si>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</si>
  <si>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</si>
  <si>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</si>
  <si>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</si>
  <si>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</si>
  <si>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</si>
  <si>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</si>
  <si>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</si>
  <si>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</si>
  <si>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</si>
  <si>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</si>
  <si>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</si>
  <si>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</si>
  <si>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</si>
  <si>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</si>
  <si>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</si>
  <si>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</si>
  <si>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</si>
  <si>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</si>
  <si>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</si>
  <si>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</si>
  <si>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</si>
  <si>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</si>
  <si>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</si>
  <si>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</si>
  <si>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</si>
  <si>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</si>
  <si>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</si>
  <si>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</si>
  <si>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</si>
  <si>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</si>
  <si>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</si>
  <si>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</si>
  <si>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</si>
  <si>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</si>
  <si>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</si>
  <si>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</si>
  <si>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</si>
  <si>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</si>
  <si>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</si>
  <si>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</si>
  <si>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</si>
  <si>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</si>
  <si>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</si>
  <si>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</si>
  <si>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</si>
  <si>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</si>
  <si>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</si>
  <si>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</si>
  <si>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</si>
  <si>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</si>
  <si>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</si>
  <si>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</si>
  <si>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</si>
  <si>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</si>
  <si>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</si>
  <si>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</si>
  <si>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</si>
  <si>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</si>
  <si>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</si>
  <si>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</si>
  <si>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</si>
  <si>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</si>
  <si>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</si>
  <si>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</si>
  <si>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</si>
  <si>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</si>
  <si>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</si>
  <si>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</si>
  <si>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</si>
  <si>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</si>
  <si>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</si>
  <si>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</si>
  <si>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</si>
  <si>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</si>
  <si>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</si>
  <si>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</si>
  <si>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</si>
  <si>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</si>
  <si>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</si>
  <si>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</si>
  <si>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</si>
  <si>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</si>
  <si>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</si>
  <si>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</si>
  <si>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</si>
  <si>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</si>
  <si>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</si>
  <si>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</si>
  <si>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</si>
  <si>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</si>
  <si>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</si>
  <si>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</si>
  <si>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</si>
  <si>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</si>
  <si>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</si>
  <si>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</si>
  <si>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</si>
  <si>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</si>
  <si>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</si>
  <si>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</si>
  <si>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</si>
  <si>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</si>
  <si>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</si>
  <si>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</si>
  <si>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</si>
  <si>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</si>
  <si>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</si>
  <si>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</si>
  <si>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</si>
  <si>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</si>
  <si>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</si>
  <si>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</si>
  <si>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</si>
  <si>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</si>
  <si>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</si>
  <si>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</si>
  <si>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</si>
  <si>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</si>
  <si>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</si>
  <si>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</si>
  <si>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</si>
  <si>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</si>
  <si>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</si>
  <si>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</si>
  <si>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</si>
  <si>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</si>
  <si>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</si>
  <si>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</si>
  <si>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</si>
  <si>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</si>
  <si>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</si>
  <si>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</si>
  <si>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</si>
  <si>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</si>
  <si>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</si>
  <si>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</si>
  <si>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</si>
  <si>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</si>
  <si>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</si>
  <si>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</si>
  <si>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</si>
  <si>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</si>
  <si>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</si>
  <si>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</si>
  <si>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</si>
  <si>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</si>
  <si>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</si>
  <si>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</si>
  <si>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</si>
  <si>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</si>
  <si>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</si>
  <si>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</si>
  <si>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</si>
  <si>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</si>
  <si>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</si>
  <si>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</si>
  <si>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</si>
  <si>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</si>
  <si>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</si>
  <si>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</si>
  <si>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</si>
  <si>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</si>
  <si>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</si>
  <si>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</si>
  <si>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</si>
  <si>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</si>
  <si>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</si>
  <si>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</si>
  <si>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</si>
  <si>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</si>
  <si>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</si>
  <si>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</si>
  <si>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</si>
  <si>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</si>
  <si>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</si>
  <si>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</si>
  <si>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</si>
  <si>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</si>
  <si>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</si>
  <si>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</si>
  <si>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</si>
  <si>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</si>
  <si>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</si>
  <si>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</si>
  <si>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</si>
  <si>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</si>
  <si>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</si>
  <si>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</si>
  <si>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</si>
  <si>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</si>
  <si>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</si>
  <si>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</si>
  <si>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</si>
  <si>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</si>
  <si>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</si>
  <si>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</si>
  <si>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</si>
  <si>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</si>
  <si>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</si>
  <si>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</si>
  <si>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</si>
  <si>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</si>
  <si>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</si>
  <si>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</si>
  <si>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</si>
  <si>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</si>
  <si>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</si>
  <si>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</si>
  <si>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</si>
  <si>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</si>
  <si>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</si>
  <si>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</si>
  <si>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</si>
  <si>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</si>
  <si>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</si>
  <si>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</si>
  <si>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</si>
  <si>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</si>
  <si>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</si>
  <si>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</si>
  <si>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</si>
  <si>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</si>
  <si>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</si>
  <si>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</si>
  <si>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</si>
  <si>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</si>
  <si>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</si>
  <si>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</si>
  <si>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</si>
  <si>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</si>
  <si>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</si>
  <si>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</si>
  <si>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</si>
  <si>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</si>
  <si>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</si>
  <si>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</si>
  <si>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</si>
  <si>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</si>
  <si>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</si>
  <si>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</si>
  <si>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</si>
  <si>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</si>
  <si>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</si>
  <si>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</si>
  <si>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</si>
  <si>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</si>
  <si>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</si>
  <si>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</si>
  <si>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</si>
  <si>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</si>
  <si>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</si>
  <si>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</si>
  <si>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</si>
  <si>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</si>
  <si>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</si>
  <si>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</si>
  <si>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</si>
  <si>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</si>
  <si>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</si>
  <si>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</si>
  <si>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</si>
  <si>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</si>
  <si>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</si>
  <si>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</si>
  <si>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</si>
  <si>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</si>
  <si>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</si>
  <si>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</si>
  <si>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</si>
  <si>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</si>
  <si>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</si>
  <si>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</si>
  <si>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</si>
  <si>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</si>
  <si>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</si>
  <si>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</si>
  <si>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</si>
  <si>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</si>
  <si>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</si>
  <si>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</si>
  <si>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</si>
  <si>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</si>
  <si>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</si>
  <si>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</si>
  <si>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</si>
  <si>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</si>
  <si>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</si>
  <si>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</si>
  <si>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</si>
  <si>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</si>
  <si>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</si>
  <si>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</si>
  <si>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</si>
  <si>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</si>
  <si>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</si>
  <si>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</si>
  <si>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</si>
  <si>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</si>
  <si>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</si>
  <si>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</si>
  <si>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</si>
  <si>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</si>
  <si>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</si>
  <si>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</si>
  <si>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</si>
  <si>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</si>
  <si>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</si>
  <si>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</si>
  <si>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</si>
  <si>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</si>
  <si>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</si>
  <si>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</si>
  <si>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</si>
  <si>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</si>
  <si>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</si>
  <si>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</si>
  <si>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</si>
  <si>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</si>
  <si>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</si>
  <si>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</si>
  <si>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</si>
  <si>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</si>
  <si>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</si>
  <si>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</si>
  <si>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</si>
  <si>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</si>
  <si>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</si>
  <si>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</si>
  <si>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</si>
  <si>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</si>
  <si>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</si>
  <si>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</si>
  <si>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</si>
  <si>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</si>
  <si>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</si>
  <si>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</si>
  <si>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</si>
  <si>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</si>
  <si>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</si>
  <si>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</si>
  <si>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</si>
  <si>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</si>
  <si>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</si>
  <si>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</si>
  <si>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</si>
  <si>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</si>
  <si>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</si>
  <si>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</si>
  <si>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</si>
  <si>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</si>
  <si>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</si>
  <si>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</si>
  <si>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</si>
  <si>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</si>
  <si>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</si>
  <si>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</si>
  <si>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</si>
  <si>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</si>
  <si>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</si>
  <si>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</si>
  <si>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</si>
  <si>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</si>
  <si>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</si>
  <si>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</si>
  <si>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</si>
  <si>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</si>
  <si>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</si>
  <si>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</si>
  <si>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</si>
  <si>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</si>
  <si>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</si>
  <si>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</si>
  <si>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</si>
  <si>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</si>
  <si>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</si>
  <si>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</si>
  <si>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</si>
  <si>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</si>
  <si>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</si>
  <si>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</si>
  <si>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</si>
  <si>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</si>
  <si>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</si>
  <si>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</si>
  <si>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</si>
  <si>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</si>
  <si>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</si>
  <si>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</si>
  <si>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</si>
  <si>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</si>
  <si>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</si>
  <si>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</si>
  <si>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</si>
  <si>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</si>
  <si>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</si>
  <si>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</si>
  <si>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</si>
  <si>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</si>
  <si>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</si>
  <si>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</si>
  <si>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</si>
  <si>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</si>
  <si>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</si>
  <si>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</si>
  <si>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</si>
  <si>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</si>
  <si>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</si>
  <si>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</si>
  <si>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</si>
  <si>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</si>
  <si>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</si>
  <si>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</si>
  <si>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</si>
  <si>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</si>
  <si>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</si>
  <si>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</si>
  <si>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</si>
  <si>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</si>
  <si>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</si>
  <si>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</si>
  <si>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</si>
  <si>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</si>
  <si>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</si>
  <si>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</si>
  <si>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</si>
  <si>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</si>
  <si>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</si>
  <si>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</si>
  <si>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</si>
  <si>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</si>
  <si>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</si>
  <si>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</si>
  <si>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</si>
  <si>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</si>
  <si>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</si>
  <si>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</si>
  <si>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</si>
  <si>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</si>
  <si>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</si>
  <si>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</si>
  <si>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</si>
  <si>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</si>
  <si>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</si>
  <si>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</si>
  <si>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</si>
  <si>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</si>
  <si>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</si>
  <si>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</si>
  <si>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</si>
  <si>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</si>
  <si>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</si>
  <si>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</si>
  <si>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</si>
  <si>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</si>
  <si>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</si>
  <si>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</si>
  <si>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</si>
  <si>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</si>
  <si>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</si>
  <si>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</si>
  <si>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</si>
  <si>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</si>
  <si>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</si>
  <si>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</si>
  <si>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</si>
  <si>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</si>
  <si>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</si>
  <si>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</si>
  <si>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</si>
  <si>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</si>
  <si>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</si>
  <si>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</si>
  <si>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</si>
  <si>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</si>
  <si>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</si>
  <si>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</si>
  <si>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</si>
  <si>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</si>
  <si>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</si>
  <si>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</si>
  <si>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</si>
  <si>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</si>
  <si>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</si>
  <si>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</si>
  <si>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</si>
  <si>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</si>
  <si>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</si>
  <si>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</si>
  <si>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</si>
  <si>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</si>
  <si>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</si>
  <si>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</si>
  <si>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</si>
  <si>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</si>
  <si>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</si>
  <si>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</si>
  <si>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</si>
  <si>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</si>
  <si>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</si>
  <si>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</si>
  <si>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</si>
  <si>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</si>
  <si>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</si>
  <si>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</si>
  <si>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</si>
  <si>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</si>
  <si>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</si>
  <si>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</si>
  <si>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</si>
  <si>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</si>
  <si>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</si>
  <si>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</si>
  <si>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</si>
  <si>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</si>
  <si>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</si>
  <si>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</si>
  <si>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</si>
  <si>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</si>
  <si>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</si>
  <si>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</si>
  <si>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</si>
  <si>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</si>
  <si>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</si>
  <si>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</si>
  <si>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</si>
  <si>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</si>
  <si>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</si>
  <si>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</si>
  <si>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</si>
  <si>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</si>
  <si>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</si>
  <si>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</si>
  <si>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</si>
  <si>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</si>
  <si>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</si>
  <si>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</si>
  <si>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</si>
  <si>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</si>
  <si>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</si>
  <si>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</si>
  <si>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</si>
  <si>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</si>
  <si>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</si>
  <si>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</si>
  <si>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</si>
  <si>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</si>
  <si>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</si>
  <si>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</si>
  <si>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</si>
  <si>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</si>
  <si>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</si>
  <si>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</si>
  <si>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</si>
  <si>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</si>
  <si>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</si>
  <si>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</si>
  <si>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</si>
  <si>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</si>
  <si>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</si>
  <si>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</si>
  <si>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</si>
  <si>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</si>
  <si>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</si>
  <si>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</si>
  <si>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</si>
  <si>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</si>
  <si>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</si>
  <si>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</si>
  <si>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</si>
  <si>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</si>
  <si>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</si>
  <si>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</si>
  <si>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</si>
  <si>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</si>
  <si>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</si>
  <si>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</si>
  <si>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</si>
  <si>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</si>
  <si>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</si>
  <si>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</si>
  <si>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</si>
  <si>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</si>
  <si>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</si>
  <si>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</si>
  <si>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</si>
  <si>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</si>
  <si>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</si>
  <si>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</si>
  <si>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</si>
  <si>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</si>
  <si>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</si>
  <si>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</si>
  <si>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</si>
  <si>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</si>
  <si>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</si>
  <si>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</si>
  <si>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</si>
  <si>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</si>
  <si>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</si>
  <si>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</si>
  <si>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</si>
  <si>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</si>
  <si>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</si>
  <si>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</si>
  <si>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</si>
  <si>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</si>
  <si>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</si>
  <si>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</si>
  <si>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</si>
  <si>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</si>
  <si>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</si>
  <si>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</si>
  <si>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</si>
  <si>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</si>
  <si>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</si>
  <si>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</si>
  <si>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</si>
  <si>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</si>
  <si>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</si>
  <si>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</si>
  <si>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</si>
  <si>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</si>
  <si>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</si>
  <si>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</si>
  <si>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</si>
  <si>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</si>
  <si>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</si>
  <si>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</si>
  <si>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</si>
  <si>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</si>
  <si>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</si>
  <si>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</si>
  <si>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</si>
  <si>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</si>
  <si>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</si>
  <si>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</si>
  <si>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</si>
  <si>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</si>
  <si>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</si>
  <si>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</si>
  <si>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</si>
  <si>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</si>
  <si>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</si>
  <si>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</si>
  <si>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</si>
  <si>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</si>
  <si>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</si>
  <si>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</si>
  <si>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</si>
  <si>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</si>
  <si>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</si>
  <si>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</si>
  <si>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</si>
  <si>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</si>
  <si>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</si>
  <si>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</si>
  <si>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</si>
  <si>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</si>
  <si>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</si>
  <si>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</si>
  <si>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</si>
  <si>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</si>
  <si>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</si>
  <si>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</si>
  <si>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</si>
  <si>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</si>
  <si>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</si>
  <si>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</si>
  <si>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</si>
  <si>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</si>
  <si>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</si>
  <si>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</si>
  <si>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</si>
  <si>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</si>
  <si>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</si>
  <si>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</si>
  <si>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</si>
  <si>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</si>
  <si>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</si>
  <si>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</si>
  <si>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</si>
  <si>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</si>
  <si>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</si>
  <si>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</si>
  <si>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</si>
  <si>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</si>
  <si>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</si>
  <si>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</si>
  <si>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</si>
  <si>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</si>
  <si>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</si>
  <si>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</si>
  <si>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</si>
  <si>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</si>
  <si>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</si>
  <si>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</si>
  <si>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</si>
  <si>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</si>
  <si>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</si>
  <si>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</si>
  <si>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</si>
  <si>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</si>
  <si>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</si>
  <si>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</si>
  <si>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</si>
  <si>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</si>
  <si>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</si>
  <si>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</si>
  <si>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</si>
  <si>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</si>
  <si>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</si>
  <si>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</si>
  <si>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</si>
  <si>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</si>
  <si>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</si>
  <si>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</si>
  <si>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</si>
  <si>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</si>
  <si>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</si>
  <si>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</si>
  <si>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</si>
  <si>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</si>
  <si>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</si>
  <si>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</si>
  <si>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</si>
  <si>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</si>
  <si>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</si>
  <si>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</si>
  <si>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</si>
  <si>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</si>
  <si>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</si>
  <si>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</si>
  <si>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</si>
  <si>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</si>
  <si>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</si>
  <si>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</si>
  <si>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</si>
  <si>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</si>
  <si>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</si>
  <si>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</si>
  <si>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</si>
  <si>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</si>
  <si>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</si>
  <si>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</si>
  <si>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</si>
  <si>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</si>
  <si>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</si>
  <si>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</si>
  <si>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</si>
  <si>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</si>
  <si>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</si>
  <si>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</si>
  <si>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</si>
  <si>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</si>
  <si>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</si>
  <si>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</si>
  <si>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</si>
  <si>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</si>
  <si>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</si>
  <si>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</si>
  <si>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</si>
  <si>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</si>
  <si>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</si>
  <si>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</si>
  <si>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</si>
  <si>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</si>
  <si>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</si>
  <si>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</si>
  <si>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</si>
  <si>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</si>
  <si>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</si>
  <si>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</si>
  <si>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</si>
  <si>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</si>
  <si>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</si>
  <si>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</si>
  <si>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</si>
  <si>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</si>
  <si>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</si>
  <si>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</si>
  <si>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</si>
  <si>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</si>
  <si>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</si>
  <si>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</si>
  <si>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</si>
  <si>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</si>
  <si>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</si>
  <si>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</si>
  <si>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</si>
  <si>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</si>
  <si>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</si>
  <si>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</si>
  <si>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</si>
  <si>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</si>
  <si>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</si>
  <si>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</si>
  <si>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</si>
  <si>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</si>
  <si>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</si>
  <si>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</si>
  <si>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</si>
  <si>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</si>
  <si>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</si>
  <si>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</si>
  <si>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</si>
  <si>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</si>
  <si>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</si>
  <si>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</si>
  <si>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</si>
  <si>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</si>
  <si>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</si>
  <si>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</si>
  <si>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</si>
  <si>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</si>
  <si>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</si>
  <si>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</si>
  <si>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</si>
  <si>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</si>
  <si>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</si>
  <si>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</si>
  <si>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</si>
  <si>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</si>
  <si>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</si>
  <si>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</si>
  <si>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</si>
  <si>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</si>
  <si>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</si>
  <si>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</si>
  <si>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</si>
  <si>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</si>
  <si>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</si>
  <si>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</si>
  <si>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</si>
  <si>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</si>
  <si>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</si>
  <si>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</si>
  <si>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</si>
  <si>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</si>
  <si>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</si>
  <si>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</si>
  <si>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</si>
  <si>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</si>
  <si>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</si>
  <si>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</si>
  <si>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</si>
  <si>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</si>
  <si>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</si>
  <si>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</si>
  <si>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</si>
  <si>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</si>
  <si>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</si>
  <si>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</si>
  <si>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</si>
  <si>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</si>
  <si>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</si>
  <si>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</si>
  <si>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</si>
  <si>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</si>
  <si>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</si>
  <si>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</si>
  <si>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</si>
  <si>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</si>
  <si>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</si>
  <si>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</si>
  <si>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</si>
  <si>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</si>
  <si>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</si>
  <si>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</si>
  <si>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</si>
  <si>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</si>
  <si>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</si>
  <si>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</si>
  <si>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</si>
  <si>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</si>
  <si>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</si>
  <si>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</si>
  <si>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</si>
  <si>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</si>
  <si>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</si>
  <si>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</si>
  <si>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</si>
  <si>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</si>
  <si>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</si>
  <si>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</si>
  <si>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</si>
  <si>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</si>
  <si>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</si>
  <si>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</si>
  <si>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</si>
  <si>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</si>
  <si>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</si>
  <si>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</si>
  <si>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</si>
  <si>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</si>
  <si>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</si>
  <si>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</si>
  <si>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</si>
  <si>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</si>
  <si>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</si>
  <si>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</si>
  <si>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</si>
  <si>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</si>
  <si>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</si>
  <si>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</si>
  <si>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</si>
  <si>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</si>
  <si>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</si>
  <si>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</si>
  <si>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</si>
  <si>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</si>
  <si>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</si>
  <si>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</si>
  <si>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</si>
  <si>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</si>
  <si>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</si>
  <si>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</si>
  <si>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</si>
  <si>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</si>
  <si>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</si>
  <si>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</si>
  <si>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</si>
  <si>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</si>
  <si>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</si>
  <si>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</si>
  <si>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</si>
  <si>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</si>
  <si>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</si>
  <si>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</si>
  <si>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</si>
  <si>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</si>
  <si>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</si>
  <si>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</si>
  <si>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</si>
  <si>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</si>
  <si>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</si>
  <si>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</si>
  <si>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</si>
  <si>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</si>
  <si>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</si>
  <si>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</si>
  <si>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</si>
  <si>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</si>
  <si>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</si>
  <si>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</si>
  <si>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</si>
  <si>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</si>
  <si>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</si>
  <si>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</si>
  <si>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</si>
  <si>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</si>
  <si>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</si>
  <si>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</si>
  <si>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</si>
  <si>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</si>
  <si>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</si>
  <si>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</si>
  <si>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</si>
  <si>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</si>
  <si>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</si>
  <si>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</si>
  <si>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</si>
  <si>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</si>
  <si>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</si>
  <si>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</si>
  <si>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</si>
  <si>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</si>
  <si>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</si>
  <si>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</si>
  <si>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</si>
  <si>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</si>
  <si>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</si>
  <si>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</si>
  <si>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</si>
  <si>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</si>
  <si>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</si>
  <si>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</si>
  <si>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</si>
  <si>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</si>
  <si>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</si>
  <si>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</si>
  <si>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</si>
  <si>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</si>
  <si>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</si>
  <si>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</si>
  <si>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</si>
  <si>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</si>
  <si>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</si>
  <si>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</si>
  <si>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</si>
  <si>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</si>
  <si>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</si>
  <si>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</si>
  <si>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</si>
  <si>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</si>
  <si>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</si>
  <si>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</si>
  <si>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</si>
  <si>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</si>
  <si>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</si>
  <si>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</si>
  <si>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</si>
  <si>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</si>
  <si>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</si>
  <si>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</si>
  <si>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</si>
  <si>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</si>
  <si>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</si>
  <si>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</si>
  <si>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</si>
  <si>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</si>
  <si>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</si>
  <si>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</si>
  <si>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</si>
  <si>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</si>
  <si>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</si>
  <si>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</si>
  <si>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</si>
  <si>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</si>
  <si>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</si>
  <si>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</si>
  <si>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</si>
  <si>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</si>
  <si>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</si>
  <si>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</si>
  <si>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</si>
  <si>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</si>
  <si>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</si>
  <si>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</si>
  <si>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</si>
  <si>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</si>
  <si>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</si>
  <si>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</si>
  <si>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</si>
  <si>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</si>
  <si>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</si>
  <si>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</si>
  <si>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</si>
  <si>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</si>
  <si>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</si>
  <si>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</si>
  <si>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</si>
  <si>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</si>
  <si>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</si>
  <si>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</si>
  <si>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</si>
  <si>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</si>
  <si>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</si>
  <si>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</si>
  <si>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</si>
  <si>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</si>
  <si>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</si>
  <si>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</si>
  <si>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</si>
  <si>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</si>
  <si>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</si>
  <si>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</si>
  <si>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</si>
  <si>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</si>
  <si>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</si>
  <si>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</si>
  <si>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</si>
  <si>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</si>
  <si>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</si>
  <si>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</si>
  <si>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</si>
  <si>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</si>
  <si>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</si>
  <si>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</si>
  <si>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</si>
  <si>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</si>
  <si>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</si>
  <si>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</si>
  <si>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</si>
  <si>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</si>
  <si>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</si>
  <si>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</si>
  <si>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</si>
  <si>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</si>
  <si>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</si>
  <si>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</si>
  <si>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</si>
  <si>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</si>
  <si>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</si>
  <si>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</si>
  <si>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</si>
  <si>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</si>
  <si>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</si>
  <si>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</si>
  <si>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</si>
  <si>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</si>
  <si>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</si>
  <si>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</si>
  <si>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</si>
  <si>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</si>
  <si>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</si>
  <si>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</si>
  <si>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</si>
  <si>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</si>
  <si>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</si>
  <si>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</si>
  <si>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</si>
  <si>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</si>
  <si>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</si>
  <si>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</si>
  <si>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</si>
  <si>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</si>
  <si>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</si>
  <si>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</si>
  <si>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</si>
  <si>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</si>
  <si>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</si>
  <si>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</si>
  <si>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</si>
  <si>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</si>
  <si>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</si>
  <si>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</si>
  <si>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</si>
  <si>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</si>
  <si>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</si>
  <si>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</si>
  <si>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</si>
  <si>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</si>
  <si>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</si>
  <si>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</si>
  <si>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</si>
  <si>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</si>
  <si>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</si>
  <si>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</si>
  <si>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</si>
  <si>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</si>
  <si>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</si>
  <si>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</si>
  <si>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</si>
  <si>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</si>
  <si>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</si>
  <si>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</si>
  <si>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</si>
  <si>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</si>
  <si>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</si>
  <si>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</si>
  <si>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</si>
  <si>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</si>
  <si>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</si>
  <si>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</si>
  <si>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</si>
  <si>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</si>
  <si>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</si>
  <si>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</si>
  <si>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</si>
  <si>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</si>
  <si>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</si>
  <si>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</si>
  <si>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</si>
  <si>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</si>
  <si>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</si>
  <si>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</si>
  <si>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</si>
  <si>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</si>
  <si>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</si>
  <si>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</si>
  <si>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</si>
  <si>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</si>
  <si>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</si>
  <si>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</si>
  <si>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</si>
  <si>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</si>
  <si>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</si>
  <si>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</si>
  <si>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</si>
  <si>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</si>
  <si>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</si>
  <si>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</si>
  <si>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</si>
  <si>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</si>
  <si>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</si>
  <si>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</si>
  <si>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</si>
  <si>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</si>
  <si>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</si>
  <si>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</si>
  <si>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</si>
  <si>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</si>
  <si>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</si>
  <si>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</si>
  <si>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</si>
  <si>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</si>
  <si>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</si>
  <si>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</si>
  <si>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</si>
  <si>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</si>
  <si>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</si>
  <si>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</si>
  <si>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</si>
  <si>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</si>
  <si>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</si>
  <si>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</si>
  <si>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</si>
  <si>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</si>
  <si>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</si>
  <si>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</si>
  <si>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</si>
  <si>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</si>
  <si>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</si>
  <si>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</si>
  <si>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</si>
  <si>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</si>
  <si>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</si>
  <si>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</si>
  <si>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</si>
  <si>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</si>
  <si>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</si>
  <si>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</si>
  <si>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</si>
  <si>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</si>
  <si>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</si>
  <si>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</si>
  <si>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</si>
  <si>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</si>
  <si>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</si>
  <si>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</si>
  <si>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</si>
  <si>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</si>
  <si>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</si>
  <si>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</si>
  <si>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</si>
  <si>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</si>
  <si>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</si>
  <si>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</si>
  <si>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</si>
  <si>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</si>
  <si>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</si>
  <si>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</si>
  <si>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</si>
  <si>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</si>
  <si>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</si>
  <si>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</si>
  <si>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</si>
  <si>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</si>
  <si>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</si>
  <si>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</si>
  <si>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</si>
  <si>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</si>
  <si>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</si>
  <si>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</si>
  <si>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</si>
  <si>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</si>
  <si>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</si>
  <si>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</si>
  <si>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</si>
  <si>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</si>
  <si>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</si>
  <si>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</si>
  <si>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</si>
  <si>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</si>
  <si>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</si>
  <si>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</si>
  <si>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</si>
  <si>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</si>
  <si>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</si>
  <si>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</si>
  <si>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</si>
  <si>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</si>
  <si>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</si>
  <si>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</si>
  <si>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</si>
  <si>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</si>
  <si>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</si>
  <si>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</si>
  <si>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</si>
  <si>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</si>
  <si>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</si>
  <si>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</si>
  <si>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</si>
  <si>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</si>
  <si>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</si>
  <si>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</si>
  <si>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</si>
  <si>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</si>
  <si>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</si>
  <si>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</si>
  <si>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</si>
  <si>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</si>
  <si>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</si>
  <si>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</si>
  <si>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</si>
  <si>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</si>
  <si>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</si>
  <si>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</si>
  <si>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</si>
  <si>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</si>
  <si>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</si>
  <si>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</si>
  <si>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</si>
  <si>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</si>
  <si>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</si>
  <si>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</si>
  <si>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</si>
  <si>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</si>
  <si>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</si>
  <si>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</si>
  <si>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</si>
  <si>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</si>
  <si>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</si>
  <si>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</si>
  <si>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</si>
  <si>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</si>
  <si>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</si>
  <si>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</si>
  <si>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</si>
  <si>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</si>
  <si>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</si>
  <si>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</si>
  <si>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</si>
  <si>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</si>
  <si>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</si>
  <si>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</si>
  <si>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</si>
  <si>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</si>
  <si>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</si>
  <si>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</si>
  <si>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</si>
  <si>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</si>
  <si>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</si>
  <si>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</si>
  <si>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</si>
  <si>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</si>
  <si>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</si>
  <si>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</si>
  <si>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</si>
  <si>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</si>
  <si>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</si>
  <si>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</si>
  <si>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</si>
  <si>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</si>
  <si>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</si>
  <si>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</si>
  <si>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</si>
  <si>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</si>
  <si>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</si>
  <si>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</si>
  <si>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</si>
  <si>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</si>
  <si>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</si>
  <si>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</si>
  <si>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</si>
  <si>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</si>
  <si>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</si>
  <si>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</si>
  <si>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</si>
  <si>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</si>
  <si>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</si>
  <si>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</si>
  <si>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</si>
  <si>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</si>
  <si>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</si>
  <si>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</si>
  <si>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</si>
  <si>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</si>
  <si>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</si>
  <si>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</si>
  <si>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</si>
  <si>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</si>
  <si>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</si>
  <si>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</si>
  <si>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</si>
  <si>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</si>
  <si>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</si>
  <si>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</si>
  <si>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</si>
  <si>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</si>
  <si>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</si>
  <si>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</si>
  <si>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</si>
  <si>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</si>
  <si>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</si>
  <si>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</si>
  <si>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</si>
  <si>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</si>
  <si>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</si>
  <si>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</si>
  <si>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</si>
  <si>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</si>
  <si>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</si>
  <si>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</si>
  <si>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</si>
  <si>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</si>
  <si>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</si>
  <si>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</si>
  <si>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</si>
  <si>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</si>
  <si>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</si>
  <si>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</si>
  <si>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</si>
  <si>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</si>
  <si>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</si>
  <si>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</si>
  <si>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</si>
  <si>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</si>
  <si>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</si>
  <si>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</si>
  <si>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</si>
  <si>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</si>
  <si>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</si>
  <si>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</si>
  <si>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</si>
  <si>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</si>
  <si>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</si>
  <si>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</si>
  <si>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</si>
  <si>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</si>
  <si>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</si>
  <si>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</si>
  <si>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</si>
  <si>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</si>
  <si>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</si>
  <si>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</si>
  <si>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</si>
  <si>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</si>
  <si>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</si>
  <si>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</si>
  <si>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</si>
  <si>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</si>
  <si>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</si>
  <si>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</si>
  <si>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</si>
  <si>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</si>
  <si>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</si>
  <si>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</si>
  <si>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</si>
  <si>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</si>
  <si>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</si>
  <si>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</si>
  <si>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</si>
  <si>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</si>
  <si>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</si>
  <si>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</si>
  <si>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</si>
  <si>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</si>
  <si>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</si>
  <si>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</si>
  <si>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</si>
  <si>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</si>
  <si>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</si>
  <si>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</si>
  <si>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</si>
  <si>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</si>
  <si>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</si>
  <si>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</si>
  <si>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</si>
  <si>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</si>
  <si>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</si>
  <si>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</si>
  <si>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</si>
  <si>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</si>
  <si>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</si>
  <si>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</si>
  <si>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</si>
  <si>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</si>
  <si>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</si>
  <si>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</si>
  <si>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</si>
  <si>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</si>
  <si>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</si>
  <si>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</si>
  <si>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</si>
  <si>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</si>
  <si>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</si>
  <si>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</si>
  <si>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</si>
  <si>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</si>
  <si>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</si>
  <si>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</si>
  <si>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</si>
  <si>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</si>
  <si>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</si>
  <si>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</si>
  <si>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</si>
  <si>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</si>
  <si>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</si>
  <si>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</si>
  <si>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</si>
  <si>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</si>
  <si>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</si>
  <si>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</si>
  <si>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</si>
  <si>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</si>
  <si>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</si>
  <si>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</si>
  <si>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</si>
  <si>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</si>
  <si>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</si>
  <si>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</si>
  <si>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</si>
  <si>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</si>
  <si>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</si>
  <si>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</si>
  <si>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</si>
  <si>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</si>
  <si>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</si>
  <si>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</si>
  <si>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</si>
  <si>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</si>
  <si>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</si>
  <si>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</si>
  <si>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</si>
  <si>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</si>
  <si>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</si>
  <si>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</si>
  <si>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</si>
  <si>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</si>
  <si>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</si>
  <si>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</si>
  <si>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</si>
  <si>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</si>
  <si>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</si>
  <si>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</si>
  <si>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</si>
  <si>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</si>
  <si>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</si>
  <si>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</si>
  <si>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</si>
  <si>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</si>
  <si>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</si>
  <si>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</si>
  <si>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</si>
  <si>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</si>
  <si>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</si>
  <si>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</si>
  <si>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</si>
  <si>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</si>
  <si>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</si>
  <si>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</si>
  <si>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</si>
  <si>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</si>
  <si>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</si>
  <si>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</si>
  <si>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</si>
  <si>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</si>
  <si>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</si>
  <si>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</si>
  <si>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</si>
  <si>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</si>
  <si>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</si>
  <si>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</si>
  <si>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</si>
  <si>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</si>
  <si>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</si>
  <si>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</si>
  <si>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</si>
  <si>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</si>
  <si>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</si>
  <si>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</si>
  <si>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</si>
  <si>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</si>
  <si>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</si>
  <si>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</si>
  <si>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</si>
  <si>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</si>
  <si>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</si>
  <si>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</si>
  <si>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</si>
  <si>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</si>
  <si>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</si>
  <si>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</si>
  <si>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</si>
  <si>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</si>
  <si>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</si>
  <si>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</si>
  <si>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</si>
  <si>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</si>
  <si>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</si>
  <si>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</si>
  <si>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</si>
  <si>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</si>
  <si>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</si>
  <si>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</si>
  <si>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</si>
  <si>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</si>
  <si>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</si>
  <si>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</si>
  <si>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</si>
  <si>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</si>
  <si>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</si>
  <si>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</si>
  <si>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</si>
  <si>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</si>
  <si>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</si>
  <si>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</si>
  <si>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</si>
  <si>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</si>
  <si>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</si>
  <si>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</si>
  <si>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</si>
  <si>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</si>
  <si>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</si>
  <si>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</si>
  <si>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</si>
  <si>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</si>
  <si>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</si>
  <si>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</si>
  <si>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</si>
  <si>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</si>
  <si>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</si>
  <si>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</si>
  <si>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</si>
  <si>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</si>
  <si>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</si>
  <si>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</si>
  <si>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</si>
  <si>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</si>
  <si>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</si>
  <si>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</si>
  <si>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</si>
  <si>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</si>
  <si>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</si>
  <si>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</si>
  <si>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</si>
  <si>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</si>
  <si>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</si>
  <si>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</si>
  <si>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</si>
  <si>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</si>
  <si>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</si>
  <si>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</si>
  <si>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</si>
  <si>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</si>
  <si>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</si>
  <si>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</si>
  <si>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</si>
  <si>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</si>
  <si>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</si>
  <si>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</si>
  <si>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</si>
  <si>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</si>
  <si>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</si>
  <si>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</si>
  <si>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</si>
  <si>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</si>
  <si>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</si>
  <si>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</si>
  <si>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</si>
  <si>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</si>
  <si>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</si>
  <si>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</si>
  <si>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</si>
  <si>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</si>
  <si>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</si>
  <si>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</si>
  <si>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</si>
  <si>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</si>
  <si>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</si>
  <si>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</si>
  <si>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</si>
  <si>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</si>
  <si>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</si>
  <si>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</si>
  <si>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</si>
  <si>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</si>
  <si>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</si>
  <si>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</si>
  <si>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</si>
  <si>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</si>
  <si>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</si>
  <si>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</si>
  <si>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</si>
  <si>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</si>
  <si>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</si>
  <si>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</si>
  <si>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</si>
  <si>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</si>
  <si>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</si>
  <si>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</si>
  <si>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</si>
  <si>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</si>
  <si>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</si>
  <si>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</si>
  <si>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</si>
  <si>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</si>
  <si>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</si>
  <si>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</si>
  <si>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</si>
  <si>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</si>
  <si>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</si>
  <si>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</si>
  <si>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</si>
  <si>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</si>
  <si>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</si>
  <si>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</si>
  <si>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</si>
  <si>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</si>
  <si>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</si>
  <si>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</si>
  <si>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</si>
  <si>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</si>
  <si>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</si>
  <si>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</si>
  <si>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</si>
  <si>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</si>
  <si>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</si>
  <si>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</si>
  <si>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</si>
  <si>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</si>
  <si>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</si>
  <si>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</si>
  <si>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</si>
  <si>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</si>
  <si>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</si>
  <si>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</si>
  <si>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</si>
  <si>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</si>
  <si>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</si>
  <si>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</si>
  <si>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</si>
  <si>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</si>
  <si>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</si>
  <si>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</si>
  <si>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</si>
  <si>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</si>
  <si>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</si>
  <si>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</si>
  <si>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</si>
  <si>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</si>
  <si>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</si>
  <si>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</si>
  <si>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</si>
  <si>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</si>
  <si>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</si>
  <si>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</si>
  <si>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</si>
  <si>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</si>
  <si>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</si>
  <si>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</si>
  <si>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</si>
  <si>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</si>
  <si>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</si>
  <si>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</si>
  <si>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</si>
  <si>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</si>
  <si>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</si>
  <si>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</si>
  <si>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</si>
  <si>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</si>
  <si>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</si>
  <si>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</si>
  <si>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</si>
  <si>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</si>
  <si>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</si>
  <si>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</si>
  <si>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</si>
  <si>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</si>
  <si>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</si>
  <si>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</si>
  <si>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</si>
  <si>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</si>
  <si>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</si>
  <si>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</si>
  <si>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</si>
  <si>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</si>
  <si>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</si>
  <si>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</si>
  <si>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</si>
  <si>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</si>
  <si>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</si>
  <si>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</si>
  <si>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</si>
  <si>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</si>
  <si>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</si>
  <si>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</si>
  <si>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</si>
  <si>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</si>
  <si>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</si>
  <si>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</si>
  <si>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</si>
  <si>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</si>
  <si>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</si>
  <si>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</si>
  <si>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</si>
  <si>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</si>
  <si>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</si>
  <si>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</si>
  <si>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</si>
  <si>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</si>
  <si>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</si>
  <si>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</si>
  <si>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</si>
  <si>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</si>
  <si>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</si>
  <si>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</si>
  <si>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</si>
  <si>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</si>
  <si>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</si>
  <si>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</si>
  <si>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</si>
  <si>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</si>
  <si>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</si>
  <si>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</si>
  <si>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</si>
  <si>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</si>
  <si>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</si>
  <si>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</si>
  <si>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</si>
  <si>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</si>
  <si>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</si>
  <si>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</si>
  <si>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</si>
  <si>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</si>
  <si>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</si>
  <si>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</si>
  <si>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</si>
  <si>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</si>
  <si>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</si>
  <si>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</si>
  <si>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</si>
  <si>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</si>
  <si>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</si>
  <si>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</si>
  <si>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</si>
  <si>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</si>
  <si>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</si>
  <si>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</si>
  <si>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</si>
  <si>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</si>
  <si>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</si>
  <si>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</si>
  <si>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</si>
  <si>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</si>
  <si>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</si>
  <si>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</si>
  <si>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</si>
  <si>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</si>
  <si>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</si>
  <si>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</si>
  <si>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</si>
  <si>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</si>
  <si>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</si>
  <si>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</si>
  <si>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</si>
  <si>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</si>
  <si>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</si>
  <si>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</si>
  <si>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</si>
  <si>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</si>
  <si>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</si>
  <si>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</si>
  <si>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</si>
  <si>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</si>
  <si>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</si>
  <si>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</si>
  <si>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</si>
  <si>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</si>
  <si>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</si>
  <si>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</si>
  <si>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</si>
  <si>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</si>
  <si>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</si>
  <si>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</si>
  <si>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</si>
  <si>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</si>
  <si>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</si>
  <si>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</si>
  <si>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</si>
  <si>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</si>
  <si>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</si>
  <si>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</si>
  <si>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</si>
  <si>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</si>
  <si>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</si>
  <si>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</si>
  <si>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</si>
  <si>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</si>
  <si>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</si>
  <si>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</si>
  <si>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</si>
  <si>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</si>
  <si>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</si>
  <si>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</si>
  <si>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</si>
  <si>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</si>
  <si>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</si>
  <si>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</si>
  <si>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</si>
  <si>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</si>
  <si>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</si>
  <si>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</si>
  <si>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</si>
  <si>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</si>
  <si>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</si>
  <si>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</si>
  <si>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</si>
  <si>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</si>
  <si>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</si>
  <si>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</si>
  <si>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</si>
  <si>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</si>
  <si>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</si>
  <si>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</si>
  <si>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</si>
  <si>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</si>
  <si>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</si>
  <si>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</si>
  <si>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</si>
  <si>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</si>
  <si>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</si>
  <si>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</si>
  <si>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</si>
  <si>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</si>
  <si>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</si>
  <si>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</si>
  <si>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</si>
  <si>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</si>
  <si>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</si>
  <si>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</si>
  <si>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</si>
  <si>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</si>
  <si>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</si>
  <si>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</si>
  <si>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</si>
  <si>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</si>
  <si>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</si>
  <si>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</si>
  <si>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</si>
  <si>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</si>
  <si>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</si>
  <si>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</si>
  <si>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</si>
  <si>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</si>
  <si>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</si>
  <si>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</si>
  <si>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</si>
  <si>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</si>
  <si>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</si>
  <si>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</si>
  <si>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</si>
  <si>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</si>
  <si>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</si>
  <si>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</si>
  <si>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</si>
  <si>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</si>
  <si>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</si>
  <si>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</si>
  <si>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</si>
  <si>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</si>
  <si>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</si>
  <si>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</si>
  <si>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</si>
  <si>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</si>
  <si>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</si>
  <si>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</si>
  <si>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</si>
  <si>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</si>
  <si>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</si>
  <si>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</si>
  <si>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</si>
  <si>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</si>
  <si>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</si>
  <si>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</si>
  <si>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</si>
  <si>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</si>
  <si>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</si>
  <si>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</si>
  <si>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</si>
  <si>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</si>
  <si>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</si>
  <si>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</si>
  <si>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</si>
  <si>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</si>
  <si>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</si>
  <si>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</si>
  <si>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</si>
  <si>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</si>
  <si>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</si>
  <si>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</si>
  <si>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</si>
  <si>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</si>
  <si>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</si>
  <si>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</si>
  <si>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</si>
  <si>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</si>
  <si>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</si>
  <si>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</si>
  <si>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</si>
  <si>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</si>
  <si>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</si>
  <si>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</si>
  <si>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</si>
  <si>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</si>
  <si>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</si>
  <si>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</si>
  <si>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</si>
  <si>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</si>
  <si>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</si>
  <si>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</si>
  <si>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</si>
  <si>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</si>
  <si>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</si>
  <si>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</si>
  <si>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</si>
  <si>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</si>
  <si>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</si>
  <si>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</si>
  <si>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</si>
  <si>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</si>
  <si>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</si>
  <si>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</si>
  <si>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</si>
  <si>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</si>
  <si>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</si>
  <si>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</si>
  <si>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</si>
  <si>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</si>
  <si>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</si>
  <si>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</si>
  <si>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</si>
  <si>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</si>
  <si>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</si>
  <si>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</si>
  <si>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</si>
  <si>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</si>
  <si>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</si>
  <si>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</si>
  <si>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</si>
  <si>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</si>
  <si>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</si>
  <si>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</si>
  <si>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</si>
  <si>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</si>
  <si>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</si>
  <si>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</si>
  <si>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</si>
  <si>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</si>
  <si>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</si>
  <si>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</si>
  <si>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</si>
  <si>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</si>
  <si>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</si>
  <si>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</si>
  <si>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</si>
  <si>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</si>
  <si>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</si>
  <si>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</si>
  <si>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</si>
  <si>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</si>
  <si>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</si>
  <si>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</si>
  <si>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</si>
  <si>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</si>
  <si>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</si>
  <si>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</si>
  <si>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</si>
  <si>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</si>
  <si>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</si>
  <si>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</si>
  <si>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</si>
  <si>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</si>
  <si>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</si>
  <si>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</si>
  <si>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</si>
  <si>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</si>
  <si>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</si>
  <si>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</si>
  <si>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</si>
  <si>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</si>
  <si>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</si>
  <si>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</si>
  <si>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</si>
  <si>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</si>
  <si>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</si>
  <si>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</si>
  <si>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</si>
  <si>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</si>
  <si>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</si>
  <si>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</si>
  <si>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</si>
  <si>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</si>
  <si>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</si>
  <si>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</si>
  <si>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</si>
  <si>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</si>
  <si>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</si>
  <si>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</si>
  <si>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</si>
  <si>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</si>
  <si>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</si>
  <si>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</si>
  <si>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</si>
  <si>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</si>
  <si>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</si>
  <si>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</si>
  <si>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</si>
  <si>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</si>
  <si>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</si>
  <si>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</si>
  <si>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</si>
  <si>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</si>
  <si>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</si>
  <si>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</si>
  <si>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</si>
  <si>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</si>
  <si>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</si>
  <si>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</si>
  <si>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</si>
  <si>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</si>
  <si>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</si>
  <si>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</si>
  <si>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</si>
  <si>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</si>
  <si>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</si>
  <si>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</si>
  <si>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</si>
  <si>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</si>
  <si>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</si>
  <si>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</si>
  <si>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</si>
  <si>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</si>
  <si>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</si>
  <si>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</si>
  <si>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</si>
  <si>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</si>
  <si>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</si>
  <si>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</si>
  <si>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</si>
  <si>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</si>
  <si>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</si>
  <si>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</si>
  <si>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</si>
  <si>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</si>
  <si>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</si>
  <si>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</si>
  <si>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</si>
  <si>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</si>
  <si>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</si>
  <si>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</si>
  <si>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</si>
  <si>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</si>
  <si>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</si>
  <si>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</si>
  <si>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</si>
  <si>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</si>
  <si>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</si>
  <si>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</si>
  <si>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</si>
  <si>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</si>
  <si>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</si>
  <si>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</si>
  <si>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</si>
  <si>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</si>
  <si>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</si>
  <si>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</si>
  <si>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</si>
  <si>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</si>
  <si>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</si>
  <si>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</si>
  <si>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</si>
  <si>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</si>
  <si>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</si>
  <si>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</si>
  <si>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</si>
  <si>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</si>
  <si>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</si>
  <si>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</si>
  <si>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</si>
  <si>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</si>
  <si>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</si>
  <si>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</si>
  <si>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</si>
  <si>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</si>
  <si>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</si>
  <si>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</si>
  <si>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</si>
  <si>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</si>
  <si>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</si>
  <si>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</si>
  <si>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</si>
  <si>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</si>
  <si>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</si>
  <si>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</si>
  <si>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</si>
  <si>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</si>
  <si>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</si>
  <si>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</si>
  <si>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</si>
  <si>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</si>
  <si>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</si>
  <si>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</si>
  <si>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</si>
  <si>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</si>
  <si>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</si>
  <si>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</si>
  <si>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</si>
  <si>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</si>
  <si>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</si>
  <si>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</si>
  <si>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</si>
  <si>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</si>
  <si>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</si>
  <si>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</si>
  <si>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</si>
  <si>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</si>
  <si>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</si>
  <si>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</si>
  <si>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</si>
  <si>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</si>
  <si>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</si>
  <si>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</si>
  <si>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</si>
  <si>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</si>
  <si>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</si>
  <si>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</si>
  <si>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</si>
  <si>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</si>
  <si>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</si>
  <si>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</si>
  <si>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</si>
  <si>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</si>
  <si>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</si>
  <si>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</si>
  <si>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</si>
  <si>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</si>
  <si>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</si>
  <si>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</si>
  <si>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</si>
  <si>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</si>
  <si>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</si>
  <si>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</si>
  <si>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</si>
  <si>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</si>
  <si>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</si>
  <si>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</si>
  <si>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</si>
  <si>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</si>
  <si>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</si>
  <si>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</si>
  <si>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</si>
  <si>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</si>
  <si>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</si>
  <si>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</si>
  <si>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</si>
  <si>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</si>
  <si>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</si>
  <si>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</si>
  <si>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</si>
  <si>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</si>
  <si>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</si>
  <si>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</si>
  <si>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</si>
  <si>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</si>
  <si>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</si>
  <si>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</si>
  <si>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</si>
  <si>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</si>
  <si>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</si>
  <si>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</si>
  <si>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</si>
  <si>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</si>
  <si>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</si>
  <si>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</si>
  <si>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</si>
  <si>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</si>
  <si>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</si>
  <si>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</si>
  <si>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</si>
  <si>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</si>
  <si>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</si>
  <si>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</si>
  <si>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</si>
  <si>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</si>
  <si>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</si>
  <si>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</si>
  <si>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</si>
  <si>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</si>
  <si>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</si>
  <si>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</si>
  <si>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</si>
  <si>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</si>
  <si>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</si>
  <si>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</si>
  <si>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</si>
  <si>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</si>
  <si>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</si>
  <si>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</si>
  <si>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</si>
  <si>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</si>
  <si>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</si>
  <si>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</si>
  <si>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</si>
  <si>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</si>
  <si>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</si>
  <si>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</si>
  <si>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</si>
  <si>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</si>
  <si>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</si>
  <si>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</si>
  <si>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</si>
  <si>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</si>
  <si>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</si>
  <si>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</si>
  <si>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</si>
  <si>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</si>
  <si>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</si>
  <si>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</si>
  <si>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</si>
  <si>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</si>
  <si>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</si>
  <si>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</si>
  <si>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</si>
  <si>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</si>
  <si>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</si>
  <si>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</si>
  <si>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</si>
  <si>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</si>
  <si>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</si>
  <si>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</si>
  <si>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</si>
  <si>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</si>
  <si>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</si>
  <si>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</si>
  <si>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</si>
  <si>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</si>
  <si>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</si>
  <si>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</si>
  <si>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</si>
  <si>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</si>
  <si>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</si>
  <si>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</si>
  <si>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</si>
  <si>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</si>
  <si>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</si>
  <si>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</si>
  <si>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</si>
  <si>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</si>
  <si>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</si>
  <si>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</si>
  <si>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</si>
  <si>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</si>
  <si>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</si>
  <si>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</si>
  <si>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</si>
  <si>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</si>
  <si>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</si>
  <si>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</si>
  <si>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</si>
  <si>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</si>
  <si>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</si>
  <si>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</si>
  <si>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</si>
  <si>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</si>
  <si>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</si>
  <si>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</si>
  <si>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</si>
  <si>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</si>
  <si>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</si>
  <si>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</si>
  <si>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</si>
  <si>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</si>
  <si>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</si>
  <si>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</si>
  <si>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</si>
  <si>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</si>
  <si>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</si>
  <si>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</si>
  <si>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</si>
  <si>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</si>
  <si>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</si>
  <si>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</si>
  <si>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</si>
  <si>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</si>
  <si>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</si>
  <si>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</si>
  <si>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</si>
  <si>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</si>
  <si>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</si>
  <si>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</si>
  <si>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</si>
  <si>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</si>
  <si>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</si>
  <si>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</si>
  <si>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</si>
  <si>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</si>
  <si>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</si>
  <si>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</si>
  <si>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</si>
  <si>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</si>
  <si>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</si>
  <si>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</si>
  <si>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</si>
  <si>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</si>
  <si>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</si>
  <si>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</si>
  <si>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</si>
  <si>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</si>
  <si>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</si>
  <si>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</si>
  <si>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</si>
  <si>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</si>
  <si>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</si>
  <si>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</si>
  <si>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</si>
  <si>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</si>
  <si>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</si>
  <si>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</si>
  <si>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</si>
  <si>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</si>
  <si>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</si>
  <si>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</si>
  <si>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</si>
  <si>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</si>
  <si>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</si>
  <si>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</si>
  <si>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</si>
  <si>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</si>
  <si>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</si>
  <si>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</si>
  <si>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</si>
  <si>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</si>
  <si>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</si>
  <si>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</si>
  <si>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</si>
  <si>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</si>
  <si>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</si>
  <si>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</si>
  <si>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</si>
  <si>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</si>
  <si>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</si>
  <si>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</si>
  <si>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</si>
  <si>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</si>
  <si>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</si>
  <si>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</si>
  <si>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</si>
  <si>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</si>
  <si>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</si>
  <si>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</si>
  <si>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</si>
  <si>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</si>
  <si>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</si>
  <si>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</si>
  <si>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</si>
  <si>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</si>
  <si>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</si>
  <si>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</si>
  <si>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</si>
  <si>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</si>
  <si>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</si>
  <si>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</si>
  <si>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</si>
  <si>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</si>
  <si>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</si>
  <si>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</si>
  <si>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</si>
  <si>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</si>
  <si>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</si>
  <si>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</si>
  <si>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</si>
  <si>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</si>
  <si>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</si>
  <si>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</si>
  <si>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</si>
  <si>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</si>
  <si>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</si>
  <si>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</si>
  <si>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</si>
  <si>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</si>
  <si>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</si>
  <si>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</si>
  <si>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</si>
  <si>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</si>
  <si>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</si>
  <si>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</si>
  <si>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</si>
  <si>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</si>
  <si>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</si>
  <si>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</si>
  <si>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</si>
  <si>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</si>
  <si>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</si>
  <si>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</si>
  <si>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</si>
  <si>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</si>
  <si>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</si>
  <si>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</si>
  <si>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</si>
  <si>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</si>
  <si>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</si>
  <si>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</si>
  <si>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</si>
  <si>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</si>
  <si>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</si>
  <si>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</si>
  <si>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</si>
  <si>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</si>
  <si>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</si>
  <si>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</si>
  <si>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</si>
  <si>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</si>
  <si>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</si>
  <si>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</si>
  <si>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</si>
  <si>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</si>
  <si>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</si>
  <si>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</si>
  <si>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</si>
  <si>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</si>
  <si>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</si>
  <si>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</si>
  <si>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</si>
  <si>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</si>
  <si>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</si>
  <si>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</si>
  <si>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</si>
  <si>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</si>
  <si>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</si>
  <si>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</si>
  <si>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</si>
  <si>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</si>
  <si>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</si>
  <si>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</si>
  <si>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</si>
  <si>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</si>
  <si>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</si>
  <si>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</si>
  <si>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</si>
  <si>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</si>
  <si>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</si>
  <si>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</si>
  <si>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</si>
  <si>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</si>
  <si>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</si>
  <si>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</si>
  <si>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</si>
  <si>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</si>
  <si>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</si>
  <si>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</si>
  <si>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</si>
  <si>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</si>
  <si>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</si>
  <si>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</si>
  <si>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</si>
  <si>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</si>
  <si>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</si>
  <si>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</si>
  <si>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</si>
  <si>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</si>
  <si>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</si>
  <si>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</si>
  <si>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</si>
  <si>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</si>
  <si>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</si>
  <si>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</si>
  <si>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</si>
  <si>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</si>
  <si>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</si>
  <si>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</si>
  <si>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</si>
  <si>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</si>
  <si>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</si>
  <si>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</si>
  <si>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</si>
  <si>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</si>
  <si>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</si>
  <si>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</si>
  <si>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</si>
  <si>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</si>
  <si>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</si>
  <si>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</si>
  <si>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</si>
  <si>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</si>
  <si>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</si>
  <si>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</si>
  <si>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</si>
  <si>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</si>
  <si>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</si>
  <si>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</si>
  <si>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</si>
  <si>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</si>
  <si>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</si>
  <si>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</si>
  <si>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</si>
  <si>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</si>
  <si>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</si>
  <si>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</si>
  <si>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</si>
  <si>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</si>
  <si>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</si>
  <si>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</si>
  <si>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</si>
  <si>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</si>
  <si>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</si>
  <si>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</si>
  <si>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</si>
  <si>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</si>
  <si>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</si>
  <si>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</si>
  <si>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</si>
  <si>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</si>
  <si>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</si>
  <si>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</si>
  <si>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</si>
  <si>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</si>
  <si>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</si>
  <si>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</si>
  <si>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</si>
  <si>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</si>
  <si>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</si>
  <si>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</si>
  <si>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</si>
  <si>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</si>
  <si>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</si>
  <si>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</si>
  <si>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</si>
  <si>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</si>
  <si>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</si>
  <si>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</si>
  <si>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</si>
  <si>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</si>
  <si>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</si>
  <si>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</si>
  <si>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</si>
  <si>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</si>
  <si>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</si>
  <si>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</si>
  <si>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</si>
  <si>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</si>
  <si>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</si>
  <si>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</si>
  <si>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</si>
  <si>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</si>
  <si>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</si>
  <si>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</si>
  <si>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</si>
  <si>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</si>
  <si>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</si>
  <si>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</si>
  <si>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</si>
  <si>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</si>
  <si>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</si>
  <si>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</si>
  <si>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</si>
  <si>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</si>
  <si>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</si>
  <si>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</si>
  <si>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</si>
  <si>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</si>
  <si>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</si>
  <si>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</si>
  <si>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</si>
  <si>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</si>
  <si>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</si>
  <si>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</si>
  <si>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</si>
  <si>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</si>
  <si>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</si>
  <si>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</si>
  <si>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</si>
  <si>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</si>
  <si>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</si>
  <si>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</si>
  <si>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</si>
  <si>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</si>
  <si>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</si>
  <si>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</si>
  <si>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</si>
  <si>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</si>
  <si>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</si>
  <si>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</si>
  <si>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</si>
  <si>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</si>
  <si>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</si>
  <si>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</si>
  <si>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</si>
  <si>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</si>
  <si>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</si>
  <si>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</si>
  <si>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</si>
  <si>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</si>
  <si>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</si>
  <si>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</si>
  <si>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</si>
  <si>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</si>
  <si>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</si>
  <si>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</si>
  <si>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</si>
  <si>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</si>
  <si>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</si>
  <si>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</si>
  <si>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</si>
  <si>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</si>
  <si>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</si>
  <si>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</si>
  <si>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</si>
  <si>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</si>
  <si>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</si>
  <si>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</si>
  <si>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</si>
  <si>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</si>
  <si>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</si>
  <si>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</si>
  <si>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</si>
  <si>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</si>
  <si>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</si>
  <si>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</si>
  <si>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</si>
  <si>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</si>
  <si>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</si>
  <si>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</si>
  <si>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</si>
  <si>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</si>
  <si>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</si>
  <si>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</si>
  <si>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</si>
  <si>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</si>
  <si>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</si>
  <si>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</si>
  <si>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</si>
  <si>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</si>
  <si>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</si>
  <si>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</si>
  <si>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</si>
  <si>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</si>
  <si>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</si>
  <si>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</si>
  <si>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</si>
  <si>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</si>
  <si>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</si>
  <si>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</si>
  <si>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</si>
  <si>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</si>
  <si>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</si>
  <si>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</si>
  <si>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</si>
  <si>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</si>
  <si>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</si>
  <si>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</si>
  <si>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</si>
  <si>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</si>
  <si>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</si>
  <si>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</si>
  <si>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</si>
  <si>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</si>
  <si>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</si>
  <si>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</si>
  <si>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</si>
  <si>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</si>
  <si>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</si>
  <si>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</si>
  <si>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</si>
  <si>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</si>
  <si>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</si>
  <si>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</si>
  <si>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</si>
  <si>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</si>
  <si>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</si>
  <si>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</si>
  <si>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</si>
  <si>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</si>
  <si>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</si>
  <si>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</si>
  <si>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</si>
  <si>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</si>
  <si>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</si>
  <si>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</si>
  <si>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</si>
  <si>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</si>
  <si>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</si>
  <si>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</si>
  <si>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</si>
  <si>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</si>
  <si>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</si>
  <si>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</si>
  <si>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</si>
  <si>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</si>
  <si>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</si>
  <si>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</si>
  <si>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</si>
  <si>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</si>
  <si>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</si>
  <si>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</si>
  <si>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</si>
  <si>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</si>
  <si>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</si>
  <si>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</si>
  <si>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</si>
  <si>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</si>
  <si>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</si>
  <si>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</si>
  <si>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</si>
  <si>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</si>
  <si>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</si>
  <si>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</si>
  <si>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</si>
  <si>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</si>
  <si>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</si>
  <si>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</si>
  <si>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</si>
  <si>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</si>
  <si>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</si>
  <si>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</si>
  <si>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</si>
  <si>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</si>
  <si>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</si>
  <si>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</si>
  <si>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</si>
  <si>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</si>
  <si>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</si>
  <si>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</si>
  <si>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</si>
  <si>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</si>
  <si>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</si>
  <si>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</si>
  <si>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</si>
  <si>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</si>
  <si>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</si>
  <si>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</si>
  <si>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</si>
  <si>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</si>
  <si>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</si>
  <si>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</si>
  <si>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</si>
  <si>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</si>
  <si>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</si>
  <si>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</si>
  <si>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</si>
  <si>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</si>
  <si>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</si>
  <si>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</si>
  <si>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</si>
  <si>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</si>
  <si>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</si>
  <si>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</si>
  <si>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</si>
  <si>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</si>
  <si>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</si>
  <si>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</si>
  <si>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</si>
  <si>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</si>
  <si>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</si>
  <si>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</si>
  <si>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</si>
  <si>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</si>
  <si>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</si>
  <si>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</si>
  <si>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</si>
  <si>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</si>
  <si>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</si>
  <si>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</si>
  <si>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其他：</t>
  </si>
  <si>
    <t>香河</t>
    <phoneticPr fontId="6" type="noConversion"/>
  </si>
  <si>
    <t>香河开发区第一城城内</t>
    <phoneticPr fontId="116" type="noConversion"/>
  </si>
  <si>
    <t>商业</t>
    <phoneticPr fontId="6" type="noConversion"/>
  </si>
  <si>
    <t>《房屋所有权证》[]</t>
    <phoneticPr fontId="6" type="noConversion"/>
  </si>
  <si>
    <t>《国有土地使用证》[]</t>
    <phoneticPr fontId="6" type="noConversion"/>
  </si>
  <si>
    <t>商业项目</t>
  </si>
  <si>
    <t>燃气</t>
  </si>
  <si>
    <t>车库消防队综合楼（公司大库、消防队）</t>
  </si>
  <si>
    <t>汽车队一层库房（生活区平房）</t>
  </si>
  <si>
    <t>洗衣房（5号楼）</t>
  </si>
  <si>
    <t>草种子库（8号楼）</t>
  </si>
  <si>
    <t>一号宿舍楼（1号楼）</t>
  </si>
  <si>
    <t>二号宿舍楼（女宿舍楼）</t>
  </si>
  <si>
    <t>食堂配送中心（6号楼）</t>
  </si>
  <si>
    <t>高尔夫综合楼1、2527.86    2、2539.00（7号楼）</t>
  </si>
  <si>
    <t>广场东厕所</t>
  </si>
  <si>
    <t>广场西厕所</t>
  </si>
  <si>
    <t>角亭（2个）1、313.97   2、313.97（酒窖东侧）</t>
  </si>
  <si>
    <t>小船12个（酒窖东侧）</t>
  </si>
  <si>
    <t>御舫苑（酒窖）</t>
  </si>
  <si>
    <t>老北京四合院5号院（北院）</t>
  </si>
  <si>
    <t>老北京四合院6号院（北院）</t>
  </si>
  <si>
    <t>老北京四合院8号院（北院）</t>
  </si>
  <si>
    <t>老北京四合院7号院（北院）</t>
  </si>
  <si>
    <t>老北京四合院1号院（南院）</t>
  </si>
  <si>
    <t>老北京四合院2号院（南院）</t>
  </si>
  <si>
    <t>老北京四合院3号院（南院）</t>
  </si>
  <si>
    <t>老北京四合院4号院（南院）</t>
  </si>
  <si>
    <t>亲王府</t>
  </si>
  <si>
    <t>大安宫;1、10693.15  2、2345.68</t>
  </si>
  <si>
    <t>永安宫</t>
  </si>
  <si>
    <t>合和茶房</t>
  </si>
  <si>
    <t>大安寺</t>
  </si>
  <si>
    <t>郡王府</t>
  </si>
  <si>
    <t>洗浴中心与西区客房连廊</t>
  </si>
  <si>
    <t>电瓶车站（福安宫西侧三间房）</t>
  </si>
  <si>
    <t>正大光明殿厕所</t>
  </si>
  <si>
    <t>福海波光别墅（平湖3号院）</t>
  </si>
  <si>
    <t>秋深月皎别墅（平湖2号院）</t>
  </si>
  <si>
    <t>别墅畅怀堂宴会厅（平湖餐厅）</t>
  </si>
  <si>
    <t>平湖秋月别墅（平湖1号院）</t>
  </si>
  <si>
    <t>平湖秋月工作间</t>
  </si>
  <si>
    <t>正大光明殿</t>
  </si>
  <si>
    <t>上下天光</t>
  </si>
  <si>
    <t>九州清宴</t>
  </si>
  <si>
    <t>远瀛观、大水法</t>
  </si>
  <si>
    <t>福安宫大酒店</t>
  </si>
  <si>
    <t>会议中心与东区客房连廊</t>
  </si>
  <si>
    <t>广渠门北侧库房及南侧接待厅</t>
  </si>
  <si>
    <t>外城东南角楼</t>
  </si>
  <si>
    <t>外城西南角楼</t>
  </si>
  <si>
    <t>左安门城楼</t>
  </si>
  <si>
    <t>东便门城楼</t>
  </si>
  <si>
    <t>右安门城楼</t>
  </si>
  <si>
    <t>广渠门城楼</t>
  </si>
  <si>
    <t>广安门城楼</t>
  </si>
  <si>
    <t>西便门城楼</t>
  </si>
  <si>
    <t>广安门－西便门客房</t>
  </si>
  <si>
    <t>广渠门－东便门客房</t>
  </si>
  <si>
    <t>右安门-西闸门客房</t>
  </si>
  <si>
    <t>左安门－东南角楼客房</t>
  </si>
  <si>
    <t>西南角楼－右安门客房</t>
  </si>
  <si>
    <t>东闸门－左安门客房</t>
  </si>
  <si>
    <t>东南角楼-广渠门客房</t>
  </si>
  <si>
    <t>西南角楼-广安门客房</t>
  </si>
  <si>
    <t>东便门西段</t>
  </si>
  <si>
    <t>西便门东段</t>
  </si>
  <si>
    <t>永定门翁城东半部</t>
  </si>
  <si>
    <t>永定门翁城西半部</t>
  </si>
  <si>
    <t>永定门箭楼</t>
  </si>
  <si>
    <t>永定门城楼</t>
  </si>
  <si>
    <t>敦煌艺术博物馆（正安宫瓮城东侧二层）</t>
  </si>
  <si>
    <t>瓮城东半部商品厅（正安宫瓮城东侧一层）</t>
  </si>
  <si>
    <t>中国玉器珍藏馆（瓷器馆）</t>
    <phoneticPr fontId="253" type="noConversion"/>
  </si>
  <si>
    <t>中国佛教艺术博物馆（金佛殿）</t>
  </si>
  <si>
    <t>国务礼品博物馆（正安宫瓮城西侧二层）</t>
  </si>
  <si>
    <t>正阳门箭楼</t>
  </si>
  <si>
    <t>正阳门大酒楼（正安宫酒店）</t>
  </si>
  <si>
    <t>正阳门瓮城连廊（千步廊）</t>
  </si>
  <si>
    <t>康体健身中心（影视基地）</t>
  </si>
  <si>
    <t>鸡尾酒花园</t>
  </si>
  <si>
    <t>国际会议中心</t>
  </si>
  <si>
    <t>崇文门城楼</t>
  </si>
  <si>
    <t>艺术品展卖馆（金色大厅）</t>
  </si>
  <si>
    <t>戏水中心</t>
  </si>
  <si>
    <t>宣武门城楼</t>
  </si>
  <si>
    <t>内城西南角楼</t>
  </si>
  <si>
    <t>德胜门城楼</t>
  </si>
  <si>
    <t>高尔夫练习场</t>
  </si>
  <si>
    <t>高尔夫球场办公房（德胜门北侧平房）</t>
  </si>
  <si>
    <t>7、10、46号公寓</t>
  </si>
  <si>
    <t>西直门城楼</t>
  </si>
  <si>
    <t>53-57号公寓</t>
  </si>
  <si>
    <t>26-27、58-63号公寓</t>
  </si>
  <si>
    <t>35、48-52号公寓</t>
  </si>
  <si>
    <t>13、15、19、47号公寓</t>
  </si>
  <si>
    <t>东直门-朝阳门</t>
  </si>
  <si>
    <t>朝阳门-会议中心</t>
  </si>
  <si>
    <t>东直门城楼</t>
  </si>
  <si>
    <t>阜成门城楼</t>
  </si>
  <si>
    <t>朝阳门城楼</t>
  </si>
  <si>
    <t>锅炉房（城外老锅炉房）</t>
  </si>
  <si>
    <t>地上商业</t>
    <phoneticPr fontId="7" type="noConversion"/>
  </si>
  <si>
    <t>直线折旧</t>
    <phoneticPr fontId="3" type="noConversion"/>
  </si>
  <si>
    <t>观察成新</t>
    <phoneticPr fontId="3" type="noConversion"/>
  </si>
  <si>
    <t>综合成新</t>
    <phoneticPr fontId="3" type="noConversion"/>
  </si>
  <si>
    <t>估价对象自身商业用地较多，周边较少，周边仅有平安超市等住宅配套商业，商业规模较小，综合评价商业繁华度较差</t>
    <phoneticPr fontId="3" type="noConversion"/>
  </si>
  <si>
    <t>估价对象所在区域公共配套，有银行、医院、邮局等，设施齐备度较好</t>
    <phoneticPr fontId="3" type="noConversion"/>
  </si>
  <si>
    <t>估价对象所在区域基础设施水平七通一平</t>
    <phoneticPr fontId="3" type="noConversion"/>
  </si>
  <si>
    <t>城市次干道——大香线</t>
    <phoneticPr fontId="3" type="noConversion"/>
  </si>
  <si>
    <t>地块名称</t>
  </si>
  <si>
    <t>城市</t>
  </si>
  <si>
    <t>用地性质</t>
  </si>
  <si>
    <t>区县</t>
  </si>
  <si>
    <t>板块</t>
  </si>
  <si>
    <t>土地位置</t>
  </si>
  <si>
    <t>土地四至</t>
  </si>
  <si>
    <t>出让方式</t>
  </si>
  <si>
    <t>开发程度</t>
  </si>
  <si>
    <t>地块编号</t>
  </si>
  <si>
    <t>建设用地面积(㎡)</t>
  </si>
  <si>
    <t>规划建筑面积(㎡)</t>
  </si>
  <si>
    <t>容积率</t>
  </si>
  <si>
    <t>商业比例</t>
  </si>
  <si>
    <t>保障房类型</t>
  </si>
  <si>
    <t>成交保障房面积(㎡)</t>
  </si>
  <si>
    <t>成交自住房面积(㎡)</t>
  </si>
  <si>
    <t>配建自住房情况</t>
  </si>
  <si>
    <t>截止日期</t>
  </si>
  <si>
    <t>成交日期</t>
  </si>
  <si>
    <t>公告编号</t>
  </si>
  <si>
    <t>交易状态</t>
  </si>
  <si>
    <t>受让单位</t>
  </si>
  <si>
    <t>起始价(万元)</t>
  </si>
  <si>
    <t>成交价(万元)</t>
  </si>
  <si>
    <t>成交土地单价(元/㎡)</t>
  </si>
  <si>
    <t>成交每亩价(万元/亩)</t>
  </si>
  <si>
    <t>成交楼面价(元/㎡)</t>
  </si>
  <si>
    <t>溢价率</t>
  </si>
  <si>
    <t>出让年限</t>
  </si>
  <si>
    <t>大香线西侧、规划纬二路南侧</t>
  </si>
  <si>
    <t>廊坊市</t>
  </si>
  <si>
    <t>商业/办公用地</t>
  </si>
  <si>
    <t>香河县</t>
  </si>
  <si>
    <t>挂牌</t>
  </si>
  <si>
    <t>2016-14</t>
  </si>
  <si>
    <t>＞1</t>
  </si>
  <si>
    <t>2017-01-03</t>
  </si>
  <si>
    <t>香国土资告字[2016]2号-16</t>
  </si>
  <si>
    <t>已成交</t>
  </si>
  <si>
    <t>香河京御房地产开发有限公司</t>
  </si>
  <si>
    <t>40年</t>
  </si>
  <si>
    <t>绣水街南侧、规划E5路西侧</t>
  </si>
  <si>
    <t>2015-144</t>
  </si>
  <si>
    <t>香国土资告字[2016]2号-4</t>
  </si>
  <si>
    <t>香河县华宇房地产开发有限公司</t>
  </si>
  <si>
    <t>新开大街北侧、永明路西侧</t>
    <phoneticPr fontId="3" type="noConversion"/>
  </si>
  <si>
    <t>新开大街北侧、永明路西侧</t>
  </si>
  <si>
    <t>2016-8</t>
  </si>
  <si>
    <t>2016-07-08</t>
  </si>
  <si>
    <t>香国土资告字[2016]2号-19</t>
  </si>
  <si>
    <t>香河县城镇房地产综合开发有限公司</t>
  </si>
  <si>
    <t>2015-120</t>
  </si>
  <si>
    <t>香国土资告字[2016]2号-1</t>
  </si>
  <si>
    <t>2016-9</t>
  </si>
  <si>
    <t>香国土资告字[2016]2号-20</t>
  </si>
  <si>
    <t>双安路北侧、大香线西侧</t>
  </si>
  <si>
    <t>2015-124</t>
  </si>
  <si>
    <t>大于1</t>
  </si>
  <si>
    <t>2016-03-12</t>
  </si>
  <si>
    <t>香国土资告字[2016]1号-5</t>
  </si>
  <si>
    <t>香河信基房地产开发有限公司</t>
  </si>
  <si>
    <t>2015-123</t>
  </si>
  <si>
    <t>香国土资告字[2016]1号-4</t>
  </si>
  <si>
    <t>富南路北侧、大香线东侧</t>
  </si>
  <si>
    <t>2014-131</t>
  </si>
  <si>
    <t>2015-11-04</t>
  </si>
  <si>
    <t>香国土资告字[2015]8号-3</t>
  </si>
  <si>
    <t>富力(香河)房地产开发有限公司</t>
  </si>
  <si>
    <t>富南路南侧、经二路东侧</t>
  </si>
  <si>
    <t>2015-122</t>
  </si>
  <si>
    <t>小于或等于2.5</t>
  </si>
  <si>
    <t>香国土资告字[2015]8号-11</t>
  </si>
  <si>
    <t>绣水街北侧、康宁路东侧</t>
  </si>
  <si>
    <t>2015-78</t>
  </si>
  <si>
    <t>2015-10-16</t>
  </si>
  <si>
    <t>香国土资告字[2015]7号-8</t>
  </si>
  <si>
    <t>京汉置业集团有限责任公司与香河金源诚顺房地产开发有限公司组成的联合体</t>
  </si>
  <si>
    <t>王谭路北侧、规划恒康路东侧</t>
  </si>
  <si>
    <t>2015-6</t>
  </si>
  <si>
    <t>大于1并且小于或等于1.6</t>
  </si>
  <si>
    <t>2015-08-26</t>
  </si>
  <si>
    <t>香国土资告字[2015]5号-12</t>
  </si>
  <si>
    <t>香河恒康房地产开发有限公司</t>
  </si>
  <si>
    <t>大香线东侧、富南路南侧</t>
  </si>
  <si>
    <t>2014-135</t>
  </si>
  <si>
    <t>2015-07-02</t>
  </si>
  <si>
    <t>香国土资告字[2015]4号-1</t>
  </si>
  <si>
    <t>廊坊瑞盛投资股份有限公司</t>
  </si>
  <si>
    <t>2015-11</t>
  </si>
  <si>
    <t>2015-05-15</t>
  </si>
  <si>
    <t>香国土资告字[2015]3号-5</t>
  </si>
  <si>
    <t>花园街北侧、安抚路东侧</t>
  </si>
  <si>
    <t>2014-117</t>
  </si>
  <si>
    <t>2015-03-24</t>
  </si>
  <si>
    <t>香国土资告字[2015]2号-3</t>
  </si>
  <si>
    <t>香河县汇美家具城B座</t>
  </si>
  <si>
    <t>北环路北侧</t>
  </si>
  <si>
    <t>2014-163</t>
  </si>
  <si>
    <t>香国土资告字[2015]2号-8</t>
  </si>
  <si>
    <t>香河县葆丰供热有限公司</t>
  </si>
  <si>
    <t>2015-10</t>
  </si>
  <si>
    <t>香国土资告字[2015]2号-14</t>
  </si>
  <si>
    <t>五一路东侧、新华大街北侧</t>
  </si>
  <si>
    <t>2014-72</t>
  </si>
  <si>
    <t>2015-01-12</t>
  </si>
  <si>
    <t>香国土资告字[2014]13号-9</t>
  </si>
  <si>
    <t>新开街南侧、永盛路东侧</t>
  </si>
  <si>
    <t>2014-81</t>
  </si>
  <si>
    <t>2014-09-25</t>
  </si>
  <si>
    <t>香国土资告字[2014]10号-1</t>
  </si>
  <si>
    <t>大香线西侧</t>
  </si>
  <si>
    <t>2014-43</t>
  </si>
  <si>
    <t>香国土资告字[2014]9号-8</t>
  </si>
  <si>
    <t>香河超达房地产开发有限公司</t>
  </si>
  <si>
    <t>2014-82</t>
  </si>
  <si>
    <t>香国土资告字[2014]10号-2</t>
  </si>
  <si>
    <t>五一路西侧</t>
  </si>
  <si>
    <t>2014-48</t>
  </si>
  <si>
    <t>2014-06-12</t>
  </si>
  <si>
    <t>香国土资告字[2014]7号-3</t>
  </si>
  <si>
    <t>2014-49</t>
  </si>
  <si>
    <t>香国土资告字[2014]7号-4</t>
  </si>
  <si>
    <t>绣水街南、规划W1路东</t>
  </si>
  <si>
    <t>2014-16</t>
  </si>
  <si>
    <t>小于或等于0.5</t>
  </si>
  <si>
    <t>2014-06-06</t>
  </si>
  <si>
    <t>香国土资告字[2014]6号-6</t>
  </si>
  <si>
    <t>邳振宇</t>
  </si>
  <si>
    <t>规划双恒路东侧、规划王谭路南侧</t>
  </si>
  <si>
    <t>2013-127</t>
  </si>
  <si>
    <t>小于0.8</t>
  </si>
  <si>
    <t>2014-05-28</t>
  </si>
  <si>
    <t>香国土资告字[2014]3-2号-2</t>
  </si>
  <si>
    <t>运河大道东侧、规划N5路北侧</t>
  </si>
  <si>
    <t>2013-170</t>
  </si>
  <si>
    <t>香国土资告字[2014]4号-2</t>
  </si>
  <si>
    <t>香河嘉华房地产开发有限公司</t>
  </si>
  <si>
    <t>规划N7路北侧、规划N8路西侧</t>
  </si>
  <si>
    <t>2014-07</t>
  </si>
  <si>
    <t>香国土资告字[2014]4号-3</t>
  </si>
  <si>
    <t>河北鹏森房地产开发股份有限公司</t>
  </si>
  <si>
    <t>年度</t>
  </si>
  <si>
    <t>季度</t>
  </si>
  <si>
    <t>综合</t>
  </si>
  <si>
    <t>商服</t>
  </si>
  <si>
    <t>商服</t>
    <phoneticPr fontId="206" type="noConversion"/>
  </si>
  <si>
    <r>
      <rPr>
        <sz val="11"/>
        <rFont val="楷体_GB2312"/>
        <family val="3"/>
        <charset val="134"/>
      </rPr>
      <t>城市次干道</t>
    </r>
    <r>
      <rPr>
        <sz val="11"/>
        <rFont val="Arial"/>
        <family val="2"/>
      </rPr>
      <t>——</t>
    </r>
    <r>
      <rPr>
        <sz val="11"/>
        <rFont val="楷体_GB2312"/>
        <family val="3"/>
        <charset val="134"/>
      </rPr>
      <t>大香线</t>
    </r>
    <phoneticPr fontId="3" type="noConversion"/>
  </si>
  <si>
    <t>商业</t>
    <phoneticPr fontId="3" type="noConversion"/>
  </si>
  <si>
    <t>40</t>
    <phoneticPr fontId="45" type="noConversion"/>
  </si>
  <si>
    <t>估价对象周边一定量商业用地，周边有世纪华联超市等商业设施，商业规模较小，综合评价商业繁华度较差</t>
    <phoneticPr fontId="3" type="noConversion"/>
  </si>
  <si>
    <t>区域自然环境：鲍丘河；人文环境：无；综合评价环境状况一般</t>
    <phoneticPr fontId="3" type="noConversion"/>
  </si>
  <si>
    <t>估价对象所在区域公共配套，有医院、邮局等，设施齐备度较差</t>
    <phoneticPr fontId="3" type="noConversion"/>
  </si>
  <si>
    <r>
      <rPr>
        <sz val="11"/>
        <rFont val="宋体"/>
        <family val="3"/>
        <charset val="134"/>
      </rPr>
      <t>估价对象周边有</t>
    </r>
    <r>
      <rPr>
        <sz val="11"/>
        <rFont val="Arial"/>
        <family val="2"/>
      </rPr>
      <t>816</t>
    </r>
    <r>
      <rPr>
        <sz val="11"/>
        <rFont val="宋体"/>
        <family val="3"/>
        <charset val="134"/>
      </rPr>
      <t>等公交线路，大香线等城市次干道，公共交通通达情况较差；项目自身有停车位、停车便捷程度较差，综合评价交通便捷度较差</t>
    </r>
    <phoneticPr fontId="3" type="noConversion"/>
  </si>
  <si>
    <r>
      <rPr>
        <sz val="11"/>
        <rFont val="楷体_GB2312"/>
        <family val="3"/>
        <charset val="134"/>
      </rPr>
      <t>城市次干道</t>
    </r>
    <r>
      <rPr>
        <sz val="11"/>
        <rFont val="Arial"/>
        <family val="2"/>
      </rPr>
      <t>——</t>
    </r>
    <r>
      <rPr>
        <sz val="11"/>
        <rFont val="楷体_GB2312"/>
        <family val="3"/>
        <charset val="134"/>
      </rPr>
      <t>大香线</t>
    </r>
    <phoneticPr fontId="3" type="noConversion"/>
  </si>
  <si>
    <t>估价对象所在区域基础设施水平七通一平</t>
  </si>
  <si>
    <t>估价对象周边量商业用地较多，周边有华联香百购物广场、华联超市等商业设施，商业规模较大，综合评价商业繁华度较好</t>
    <phoneticPr fontId="3" type="noConversion"/>
  </si>
  <si>
    <t>估价对象周边有938等公交线路，大香线等城市次干道，公共交通通达情况较差；项目自身有停车位、停车便捷程度较差，综合评价交通便捷度较差</t>
    <phoneticPr fontId="3" type="noConversion"/>
  </si>
  <si>
    <t>区域自然环境：五一劳动渠；人文环境：河北省农业广播电视学校；综合评价环境状况较好</t>
    <phoneticPr fontId="3" type="noConversion"/>
  </si>
  <si>
    <t>估价对象所在区域公共配套，有银行、医院、邮局等，设施齐备度较好</t>
  </si>
  <si>
    <r>
      <rPr>
        <sz val="11"/>
        <rFont val="楷体_GB2312"/>
        <family val="3"/>
        <charset val="134"/>
      </rPr>
      <t>城市次干道</t>
    </r>
    <r>
      <rPr>
        <sz val="11"/>
        <rFont val="Arial"/>
        <family val="2"/>
      </rPr>
      <t>——</t>
    </r>
    <r>
      <rPr>
        <sz val="11"/>
        <rFont val="楷体_GB2312"/>
        <family val="3"/>
        <charset val="134"/>
      </rPr>
      <t>秀水街</t>
    </r>
    <phoneticPr fontId="3" type="noConversion"/>
  </si>
  <si>
    <r>
      <rPr>
        <sz val="11"/>
        <rFont val="楷体_GB2312"/>
        <family val="3"/>
        <charset val="134"/>
      </rPr>
      <t>城市次干道</t>
    </r>
    <r>
      <rPr>
        <sz val="11"/>
        <rFont val="Arial"/>
        <family val="2"/>
      </rPr>
      <t>——</t>
    </r>
    <r>
      <rPr>
        <sz val="11"/>
        <rFont val="楷体_GB2312"/>
        <family val="3"/>
        <charset val="134"/>
      </rPr>
      <t>新开街</t>
    </r>
    <phoneticPr fontId="3" type="noConversion"/>
  </si>
  <si>
    <t>未包含在土地购买价格中</t>
  </si>
  <si>
    <t>建筑物价值</t>
  </si>
  <si>
    <t>土地面积</t>
  </si>
  <si>
    <t>建筑面积</t>
  </si>
  <si>
    <t>中信国安会议展览有限公司</t>
    <phoneticPr fontId="6" type="noConversion"/>
  </si>
  <si>
    <t>中信国安第一城国际会议展览有限公司土地面积统计表</t>
  </si>
  <si>
    <t>地号</t>
  </si>
  <si>
    <t>项目名称</t>
  </si>
  <si>
    <t>土地证批准文号</t>
  </si>
  <si>
    <t>土地用途</t>
  </si>
  <si>
    <t>终止日期</t>
    <phoneticPr fontId="253" type="noConversion"/>
  </si>
  <si>
    <t>证照取得日期</t>
    <phoneticPr fontId="253" type="noConversion"/>
  </si>
  <si>
    <t>地址</t>
    <phoneticPr fontId="253" type="noConversion"/>
  </si>
  <si>
    <t>地号</t>
    <phoneticPr fontId="253" type="noConversion"/>
  </si>
  <si>
    <t>图号</t>
    <phoneticPr fontId="253" type="noConversion"/>
  </si>
  <si>
    <t>亩</t>
  </si>
  <si>
    <t>平方米</t>
  </si>
  <si>
    <t>城前广场</t>
  </si>
  <si>
    <r>
      <t>香国用（</t>
    </r>
    <r>
      <rPr>
        <sz val="10"/>
        <rFont val="Times New Roman"/>
        <family val="1"/>
      </rPr>
      <t>2004</t>
    </r>
    <r>
      <rPr>
        <sz val="10"/>
        <rFont val="仿宋_GB2312"/>
        <family val="3"/>
        <charset val="134"/>
      </rPr>
      <t>）字第</t>
    </r>
    <r>
      <rPr>
        <sz val="10"/>
        <rFont val="Times New Roman"/>
        <family val="1"/>
      </rPr>
      <t>0234</t>
    </r>
    <r>
      <rPr>
        <sz val="10"/>
        <rFont val="仿宋_GB2312"/>
        <family val="3"/>
        <charset val="134"/>
      </rPr>
      <t>号</t>
    </r>
  </si>
  <si>
    <t>商业服务业</t>
  </si>
  <si>
    <t>香河开发区第一城内</t>
    <phoneticPr fontId="253" type="noConversion"/>
  </si>
  <si>
    <t>10-（16）-001</t>
    <phoneticPr fontId="253" type="noConversion"/>
  </si>
  <si>
    <t>J-50-6-55</t>
    <phoneticPr fontId="253" type="noConversion"/>
  </si>
  <si>
    <r>
      <t>永定门</t>
    </r>
    <r>
      <rPr>
        <sz val="10"/>
        <rFont val="Times New Roman"/>
        <family val="1"/>
      </rPr>
      <t>\</t>
    </r>
    <r>
      <rPr>
        <sz val="10"/>
        <rFont val="仿宋_GB2312"/>
        <family val="3"/>
        <charset val="134"/>
      </rPr>
      <t>商业街</t>
    </r>
  </si>
  <si>
    <r>
      <t>香国用（</t>
    </r>
    <r>
      <rPr>
        <sz val="10"/>
        <rFont val="Times New Roman"/>
        <family val="1"/>
      </rPr>
      <t>2004</t>
    </r>
    <r>
      <rPr>
        <sz val="10"/>
        <rFont val="仿宋_GB2312"/>
        <family val="3"/>
        <charset val="134"/>
      </rPr>
      <t>）字第</t>
    </r>
    <r>
      <rPr>
        <sz val="10"/>
        <rFont val="Times New Roman"/>
        <family val="1"/>
      </rPr>
      <t>0235</t>
    </r>
    <r>
      <rPr>
        <sz val="10"/>
        <rFont val="仿宋_GB2312"/>
        <family val="3"/>
        <charset val="134"/>
      </rPr>
      <t>号</t>
    </r>
  </si>
  <si>
    <t>10-（16）-002</t>
    <phoneticPr fontId="253" type="noConversion"/>
  </si>
  <si>
    <t>正安宫公寓</t>
  </si>
  <si>
    <r>
      <t>香国用（</t>
    </r>
    <r>
      <rPr>
        <sz val="10"/>
        <rFont val="Times New Roman"/>
        <family val="1"/>
      </rPr>
      <t>2004</t>
    </r>
    <r>
      <rPr>
        <sz val="10"/>
        <rFont val="仿宋_GB2312"/>
        <family val="3"/>
        <charset val="134"/>
      </rPr>
      <t>）字第</t>
    </r>
    <r>
      <rPr>
        <sz val="10"/>
        <rFont val="Times New Roman"/>
        <family val="1"/>
      </rPr>
      <t>0125</t>
    </r>
    <r>
      <rPr>
        <sz val="10"/>
        <rFont val="仿宋_GB2312"/>
        <family val="3"/>
        <charset val="134"/>
      </rPr>
      <t>号</t>
    </r>
  </si>
  <si>
    <t>10-（16）-003</t>
    <phoneticPr fontId="253" type="noConversion"/>
  </si>
  <si>
    <r>
      <t>康体中心</t>
    </r>
    <r>
      <rPr>
        <sz val="10"/>
        <rFont val="Times New Roman"/>
        <family val="1"/>
      </rPr>
      <t>\</t>
    </r>
    <r>
      <rPr>
        <sz val="10"/>
        <rFont val="仿宋_GB2312"/>
        <family val="3"/>
        <charset val="134"/>
      </rPr>
      <t>会议中心</t>
    </r>
  </si>
  <si>
    <r>
      <t>香国用（</t>
    </r>
    <r>
      <rPr>
        <sz val="10"/>
        <rFont val="Times New Roman"/>
        <family val="1"/>
      </rPr>
      <t>2004</t>
    </r>
    <r>
      <rPr>
        <sz val="10"/>
        <rFont val="仿宋_GB2312"/>
        <family val="3"/>
        <charset val="134"/>
      </rPr>
      <t>）字第</t>
    </r>
    <r>
      <rPr>
        <sz val="10"/>
        <rFont val="Times New Roman"/>
        <family val="1"/>
      </rPr>
      <t>0127</t>
    </r>
    <r>
      <rPr>
        <sz val="10"/>
        <rFont val="仿宋_GB2312"/>
        <family val="3"/>
        <charset val="134"/>
      </rPr>
      <t>号</t>
    </r>
  </si>
  <si>
    <t>10-（16）-004</t>
    <phoneticPr fontId="253" type="noConversion"/>
  </si>
  <si>
    <t>圆明景区（西）</t>
  </si>
  <si>
    <r>
      <t>香国用（</t>
    </r>
    <r>
      <rPr>
        <sz val="10"/>
        <rFont val="Times New Roman"/>
        <family val="1"/>
      </rPr>
      <t>2004</t>
    </r>
    <r>
      <rPr>
        <sz val="10"/>
        <rFont val="仿宋_GB2312"/>
        <family val="3"/>
        <charset val="134"/>
      </rPr>
      <t>）字第</t>
    </r>
    <r>
      <rPr>
        <sz val="10"/>
        <rFont val="Times New Roman"/>
        <family val="1"/>
      </rPr>
      <t>0236</t>
    </r>
    <r>
      <rPr>
        <sz val="10"/>
        <rFont val="仿宋_GB2312"/>
        <family val="3"/>
        <charset val="134"/>
      </rPr>
      <t>号</t>
    </r>
  </si>
  <si>
    <t>10-（16）-005</t>
    <phoneticPr fontId="253" type="noConversion"/>
  </si>
  <si>
    <t>圆明景区（东）</t>
  </si>
  <si>
    <r>
      <t>香国用（</t>
    </r>
    <r>
      <rPr>
        <sz val="10"/>
        <rFont val="Times New Roman"/>
        <family val="1"/>
      </rPr>
      <t>2004</t>
    </r>
    <r>
      <rPr>
        <sz val="10"/>
        <rFont val="仿宋_GB2312"/>
        <family val="3"/>
        <charset val="134"/>
      </rPr>
      <t>）字第</t>
    </r>
    <r>
      <rPr>
        <sz val="10"/>
        <rFont val="Times New Roman"/>
        <family val="1"/>
      </rPr>
      <t>0237</t>
    </r>
    <r>
      <rPr>
        <sz val="10"/>
        <rFont val="仿宋_GB2312"/>
        <family val="3"/>
        <charset val="134"/>
      </rPr>
      <t>号</t>
    </r>
  </si>
  <si>
    <t>10-（16）-006</t>
    <phoneticPr fontId="253" type="noConversion"/>
  </si>
  <si>
    <t>平湖秋月别墅</t>
  </si>
  <si>
    <r>
      <t>香国用（</t>
    </r>
    <r>
      <rPr>
        <sz val="10"/>
        <rFont val="Times New Roman"/>
        <family val="1"/>
      </rPr>
      <t>2004</t>
    </r>
    <r>
      <rPr>
        <sz val="10"/>
        <rFont val="仿宋_GB2312"/>
        <family val="3"/>
        <charset val="134"/>
      </rPr>
      <t>）字第</t>
    </r>
    <r>
      <rPr>
        <sz val="10"/>
        <rFont val="Times New Roman"/>
        <family val="1"/>
      </rPr>
      <t>0238</t>
    </r>
    <r>
      <rPr>
        <sz val="10"/>
        <rFont val="仿宋_GB2312"/>
        <family val="3"/>
        <charset val="134"/>
      </rPr>
      <t>号</t>
    </r>
  </si>
  <si>
    <t>10-（16）-007</t>
    <phoneticPr fontId="253" type="noConversion"/>
  </si>
  <si>
    <t>外城东区城墙公寓</t>
  </si>
  <si>
    <r>
      <t>香国用（</t>
    </r>
    <r>
      <rPr>
        <sz val="10"/>
        <rFont val="Times New Roman"/>
        <family val="1"/>
      </rPr>
      <t>2004</t>
    </r>
    <r>
      <rPr>
        <sz val="10"/>
        <rFont val="仿宋_GB2312"/>
        <family val="3"/>
        <charset val="134"/>
      </rPr>
      <t>）字第</t>
    </r>
    <r>
      <rPr>
        <sz val="10"/>
        <rFont val="Times New Roman"/>
        <family val="1"/>
      </rPr>
      <t>0239</t>
    </r>
    <r>
      <rPr>
        <sz val="10"/>
        <rFont val="仿宋_GB2312"/>
        <family val="3"/>
        <charset val="134"/>
      </rPr>
      <t>号</t>
    </r>
  </si>
  <si>
    <t>10-（16）-008</t>
    <phoneticPr fontId="253" type="noConversion"/>
  </si>
  <si>
    <t>员工生活区</t>
  </si>
  <si>
    <r>
      <t>香国用（</t>
    </r>
    <r>
      <rPr>
        <sz val="10"/>
        <rFont val="Times New Roman"/>
        <family val="1"/>
      </rPr>
      <t>2004</t>
    </r>
    <r>
      <rPr>
        <sz val="10"/>
        <rFont val="仿宋_GB2312"/>
        <family val="3"/>
        <charset val="134"/>
      </rPr>
      <t>）字第</t>
    </r>
    <r>
      <rPr>
        <sz val="10"/>
        <rFont val="Times New Roman"/>
        <family val="1"/>
      </rPr>
      <t>0241</t>
    </r>
    <r>
      <rPr>
        <sz val="10"/>
        <rFont val="仿宋_GB2312"/>
        <family val="3"/>
        <charset val="134"/>
      </rPr>
      <t>号</t>
    </r>
  </si>
  <si>
    <t>10-（16）-010</t>
    <phoneticPr fontId="253" type="noConversion"/>
  </si>
  <si>
    <t>儿童游乐场</t>
  </si>
  <si>
    <r>
      <t>香国用（</t>
    </r>
    <r>
      <rPr>
        <sz val="10"/>
        <rFont val="Times New Roman"/>
        <family val="1"/>
      </rPr>
      <t>2004</t>
    </r>
    <r>
      <rPr>
        <sz val="10"/>
        <rFont val="仿宋_GB2312"/>
        <family val="3"/>
        <charset val="134"/>
      </rPr>
      <t>）字第</t>
    </r>
    <r>
      <rPr>
        <sz val="10"/>
        <rFont val="Times New Roman"/>
        <family val="1"/>
      </rPr>
      <t>0242</t>
    </r>
    <r>
      <rPr>
        <sz val="10"/>
        <rFont val="仿宋_GB2312"/>
        <family val="3"/>
        <charset val="134"/>
      </rPr>
      <t>号</t>
    </r>
  </si>
  <si>
    <t>10-（16）-012</t>
    <phoneticPr fontId="253" type="noConversion"/>
  </si>
  <si>
    <t>德胜门会所</t>
  </si>
  <si>
    <r>
      <t>香国用（</t>
    </r>
    <r>
      <rPr>
        <sz val="10"/>
        <rFont val="Times New Roman"/>
        <family val="1"/>
      </rPr>
      <t>2004</t>
    </r>
    <r>
      <rPr>
        <sz val="10"/>
        <rFont val="仿宋_GB2312"/>
        <family val="3"/>
        <charset val="134"/>
      </rPr>
      <t>）字第</t>
    </r>
    <r>
      <rPr>
        <sz val="10"/>
        <rFont val="Times New Roman"/>
        <family val="1"/>
      </rPr>
      <t>0243</t>
    </r>
    <r>
      <rPr>
        <sz val="10"/>
        <rFont val="仿宋_GB2312"/>
        <family val="3"/>
        <charset val="134"/>
      </rPr>
      <t>号</t>
    </r>
  </si>
  <si>
    <t>10-（16）-013</t>
    <phoneticPr fontId="253" type="noConversion"/>
  </si>
  <si>
    <r>
      <t>金色大厅</t>
    </r>
    <r>
      <rPr>
        <sz val="10"/>
        <rFont val="Times New Roman"/>
        <family val="1"/>
      </rPr>
      <t>\</t>
    </r>
    <r>
      <rPr>
        <sz val="10"/>
        <rFont val="仿宋_GB2312"/>
        <family val="3"/>
        <charset val="134"/>
      </rPr>
      <t>戏水中心</t>
    </r>
  </si>
  <si>
    <r>
      <t>香国用（</t>
    </r>
    <r>
      <rPr>
        <sz val="10"/>
        <rFont val="Times New Roman"/>
        <family val="1"/>
      </rPr>
      <t>2004</t>
    </r>
    <r>
      <rPr>
        <sz val="10"/>
        <rFont val="仿宋_GB2312"/>
        <family val="3"/>
        <charset val="134"/>
      </rPr>
      <t>）字第</t>
    </r>
    <r>
      <rPr>
        <sz val="10"/>
        <rFont val="Times New Roman"/>
        <family val="1"/>
      </rPr>
      <t>0126</t>
    </r>
    <r>
      <rPr>
        <sz val="10"/>
        <rFont val="仿宋_GB2312"/>
        <family val="3"/>
        <charset val="134"/>
      </rPr>
      <t>号</t>
    </r>
  </si>
  <si>
    <t>10-（16）-019</t>
    <phoneticPr fontId="253" type="noConversion"/>
  </si>
  <si>
    <t>金佛殿配套工程</t>
  </si>
  <si>
    <r>
      <t>香国用（</t>
    </r>
    <r>
      <rPr>
        <sz val="10"/>
        <rFont val="Times New Roman"/>
        <family val="1"/>
      </rPr>
      <t>2004</t>
    </r>
    <r>
      <rPr>
        <sz val="10"/>
        <rFont val="仿宋_GB2312"/>
        <family val="3"/>
        <charset val="134"/>
      </rPr>
      <t>）字第</t>
    </r>
    <r>
      <rPr>
        <sz val="10"/>
        <rFont val="Times New Roman"/>
        <family val="1"/>
      </rPr>
      <t>0246</t>
    </r>
  </si>
  <si>
    <t>10-（16）-018</t>
    <phoneticPr fontId="253" type="noConversion"/>
  </si>
  <si>
    <t>外城西区王府</t>
  </si>
  <si>
    <r>
      <t>香国用（</t>
    </r>
    <r>
      <rPr>
        <sz val="10"/>
        <rFont val="Times New Roman"/>
        <family val="1"/>
      </rPr>
      <t>2004</t>
    </r>
    <r>
      <rPr>
        <sz val="10"/>
        <rFont val="仿宋_GB2312"/>
        <family val="3"/>
        <charset val="134"/>
      </rPr>
      <t>）字第</t>
    </r>
    <r>
      <rPr>
        <sz val="10"/>
        <rFont val="Times New Roman"/>
        <family val="1"/>
      </rPr>
      <t>0247</t>
    </r>
  </si>
  <si>
    <t>茶艺馆</t>
  </si>
  <si>
    <r>
      <t>香国用（</t>
    </r>
    <r>
      <rPr>
        <sz val="10"/>
        <rFont val="Times New Roman"/>
        <family val="1"/>
      </rPr>
      <t>2004</t>
    </r>
    <r>
      <rPr>
        <sz val="10"/>
        <rFont val="仿宋_GB2312"/>
        <family val="3"/>
        <charset val="134"/>
      </rPr>
      <t>）字第</t>
    </r>
    <r>
      <rPr>
        <sz val="10"/>
        <rFont val="Times New Roman"/>
        <family val="1"/>
      </rPr>
      <t>0248</t>
    </r>
  </si>
  <si>
    <t>10-（16）-020</t>
    <phoneticPr fontId="253" type="noConversion"/>
  </si>
  <si>
    <r>
      <t>船坞</t>
    </r>
    <r>
      <rPr>
        <sz val="10"/>
        <rFont val="Times New Roman"/>
        <family val="1"/>
      </rPr>
      <t>\</t>
    </r>
    <r>
      <rPr>
        <sz val="10"/>
        <rFont val="仿宋_GB2312"/>
        <family val="3"/>
        <charset val="134"/>
      </rPr>
      <t>四合院</t>
    </r>
  </si>
  <si>
    <r>
      <t>香国用（</t>
    </r>
    <r>
      <rPr>
        <sz val="10"/>
        <rFont val="Times New Roman"/>
        <family val="1"/>
      </rPr>
      <t>2004</t>
    </r>
    <r>
      <rPr>
        <sz val="10"/>
        <rFont val="仿宋_GB2312"/>
        <family val="3"/>
        <charset val="134"/>
      </rPr>
      <t>）字第</t>
    </r>
    <r>
      <rPr>
        <sz val="10"/>
        <rFont val="Times New Roman"/>
        <family val="1"/>
      </rPr>
      <t>0249</t>
    </r>
  </si>
  <si>
    <t>10-（16）-021</t>
    <phoneticPr fontId="253" type="noConversion"/>
  </si>
  <si>
    <t>外城西区城墙公寓</t>
  </si>
  <si>
    <r>
      <t>香国用（</t>
    </r>
    <r>
      <rPr>
        <sz val="10"/>
        <rFont val="Times New Roman"/>
        <family val="1"/>
      </rPr>
      <t>2004</t>
    </r>
    <r>
      <rPr>
        <sz val="10"/>
        <rFont val="仿宋_GB2312"/>
        <family val="3"/>
        <charset val="134"/>
      </rPr>
      <t>）字第</t>
    </r>
    <r>
      <rPr>
        <sz val="10"/>
        <rFont val="Times New Roman"/>
        <family val="1"/>
      </rPr>
      <t>0250</t>
    </r>
  </si>
  <si>
    <t>10-（16）-022</t>
    <phoneticPr fontId="253" type="noConversion"/>
  </si>
  <si>
    <t>国安税科公司</t>
  </si>
  <si>
    <r>
      <t>香国用（</t>
    </r>
    <r>
      <rPr>
        <sz val="10"/>
        <rFont val="Times New Roman"/>
        <family val="1"/>
      </rPr>
      <t>2004</t>
    </r>
    <r>
      <rPr>
        <sz val="10"/>
        <rFont val="仿宋_GB2312"/>
        <family val="3"/>
        <charset val="134"/>
      </rPr>
      <t>）字第</t>
    </r>
    <r>
      <rPr>
        <sz val="10"/>
        <rFont val="Times New Roman"/>
        <family val="1"/>
      </rPr>
      <t>0255</t>
    </r>
    <r>
      <rPr>
        <sz val="10"/>
        <rFont val="仿宋_GB2312"/>
        <family val="3"/>
        <charset val="134"/>
      </rPr>
      <t>号</t>
    </r>
  </si>
  <si>
    <t>10-（16）-027</t>
    <phoneticPr fontId="253" type="noConversion"/>
  </si>
  <si>
    <t>锅炉房</t>
  </si>
  <si>
    <r>
      <t>香国用（</t>
    </r>
    <r>
      <rPr>
        <sz val="10"/>
        <rFont val="Times New Roman"/>
        <family val="1"/>
      </rPr>
      <t>2004</t>
    </r>
    <r>
      <rPr>
        <sz val="10"/>
        <rFont val="仿宋_GB2312"/>
        <family val="3"/>
        <charset val="134"/>
      </rPr>
      <t>）字第</t>
    </r>
    <r>
      <rPr>
        <sz val="10"/>
        <rFont val="Times New Roman"/>
        <family val="1"/>
      </rPr>
      <t>0256</t>
    </r>
    <r>
      <rPr>
        <sz val="10"/>
        <rFont val="仿宋_GB2312"/>
        <family val="3"/>
        <charset val="134"/>
      </rPr>
      <t>号</t>
    </r>
  </si>
  <si>
    <t>10-（16）-028</t>
    <phoneticPr fontId="253" type="noConversion"/>
  </si>
  <si>
    <t>中信国安第一城国际会议展览有限公司</t>
  </si>
  <si>
    <t>香国用（2005）字第0313号</t>
  </si>
  <si>
    <t>综合用地</t>
    <phoneticPr fontId="253" type="noConversion"/>
  </si>
  <si>
    <t>刘宋北务屯</t>
    <phoneticPr fontId="253" type="noConversion"/>
  </si>
  <si>
    <t>17-（18）-024</t>
    <phoneticPr fontId="253" type="noConversion"/>
  </si>
  <si>
    <t>J-50-7-59</t>
    <phoneticPr fontId="253" type="noConversion"/>
  </si>
  <si>
    <t>香国用（2005）字第0314号</t>
  </si>
  <si>
    <t>17-（18）-025</t>
    <phoneticPr fontId="253" type="noConversion"/>
  </si>
  <si>
    <t>香国用（2011）字第0108号</t>
  </si>
  <si>
    <t>住宅</t>
    <phoneticPr fontId="253" type="noConversion"/>
  </si>
  <si>
    <t>刘宋镇北务屯村南</t>
    <phoneticPr fontId="253" type="noConversion"/>
  </si>
  <si>
    <t>17-（18）-029</t>
    <phoneticPr fontId="253" type="noConversion"/>
  </si>
  <si>
    <t>——</t>
    <phoneticPr fontId="253" type="noConversion"/>
  </si>
  <si>
    <t>房屋所有权证目录（含皇家庄园）</t>
    <phoneticPr fontId="206" type="noConversion"/>
  </si>
  <si>
    <t>房屋名称</t>
  </si>
  <si>
    <t>批准证号</t>
  </si>
  <si>
    <t>坐落</t>
    <phoneticPr fontId="253" type="noConversion"/>
  </si>
  <si>
    <t>幢号</t>
    <phoneticPr fontId="253" type="noConversion"/>
  </si>
  <si>
    <t>结构</t>
    <phoneticPr fontId="253" type="noConversion"/>
  </si>
  <si>
    <t>总层数</t>
    <phoneticPr fontId="253" type="noConversion"/>
  </si>
  <si>
    <t>所在层数</t>
    <phoneticPr fontId="253" type="noConversion"/>
  </si>
  <si>
    <r>
      <rPr>
        <b/>
        <sz val="10"/>
        <rFont val="仿宋_GB2312"/>
        <family val="3"/>
        <charset val="134"/>
      </rPr>
      <t>建筑面积（M</t>
    </r>
    <r>
      <rPr>
        <b/>
        <vertAlign val="superscript"/>
        <sz val="10"/>
        <rFont val="仿宋_GB2312"/>
        <family val="3"/>
        <charset val="134"/>
      </rPr>
      <t>2</t>
    </r>
    <r>
      <rPr>
        <b/>
        <sz val="10"/>
        <rFont val="仿宋_GB2312"/>
        <family val="3"/>
        <charset val="134"/>
      </rPr>
      <t>）</t>
    </r>
  </si>
  <si>
    <t>所占地号</t>
  </si>
  <si>
    <t>土地证号</t>
    <phoneticPr fontId="206" type="noConversion"/>
  </si>
  <si>
    <t>使用年限</t>
  </si>
  <si>
    <t>规划用途</t>
    <phoneticPr fontId="253" type="noConversion"/>
  </si>
  <si>
    <t>现状</t>
    <phoneticPr fontId="206" type="noConversion"/>
  </si>
  <si>
    <t>是否已设定抵押</t>
    <phoneticPr fontId="206" type="noConversion"/>
  </si>
  <si>
    <t>廊房权证香E字第477号</t>
  </si>
  <si>
    <t>香河开发区第一城城内</t>
    <phoneticPr fontId="253" type="noConversion"/>
  </si>
  <si>
    <t>（1）</t>
    <phoneticPr fontId="253" type="noConversion"/>
  </si>
  <si>
    <t>钢混</t>
    <phoneticPr fontId="253" type="noConversion"/>
  </si>
  <si>
    <t>1-3</t>
    <phoneticPr fontId="253" type="noConversion"/>
  </si>
  <si>
    <t>10号</t>
  </si>
  <si>
    <t>香国用（2004）字第0241号</t>
  </si>
  <si>
    <t>商业</t>
    <phoneticPr fontId="253" type="noConversion"/>
  </si>
  <si>
    <t>廊房权证香E字第478号</t>
  </si>
  <si>
    <t>混合</t>
    <phoneticPr fontId="253" type="noConversion"/>
  </si>
  <si>
    <t>廊房权证香E字第479号</t>
  </si>
  <si>
    <t>1-4</t>
    <phoneticPr fontId="253" type="noConversion"/>
  </si>
  <si>
    <t>廊房权证香E字第480号</t>
  </si>
  <si>
    <t>廊房权证香E字第481号</t>
  </si>
  <si>
    <t>1-6</t>
    <phoneticPr fontId="253" type="noConversion"/>
  </si>
  <si>
    <t>廊房权证香E字第482号</t>
  </si>
  <si>
    <t>廊房权证香E字第483号</t>
  </si>
  <si>
    <t>廊房权证香E字第484号</t>
  </si>
  <si>
    <t>1-2</t>
    <phoneticPr fontId="253" type="noConversion"/>
  </si>
  <si>
    <t>（2）</t>
    <phoneticPr fontId="253" type="noConversion"/>
  </si>
  <si>
    <t>廊房权证香E字第493号</t>
  </si>
  <si>
    <t>9号</t>
  </si>
  <si>
    <t>香国用（2004）字第0240号</t>
  </si>
  <si>
    <t>廊房权证香E字第494号</t>
  </si>
  <si>
    <t>23号</t>
  </si>
  <si>
    <t>香国用（2004）字第0251号</t>
  </si>
  <si>
    <t>商业街东侧店铺</t>
  </si>
  <si>
    <t>廊房权证香E字第495号</t>
  </si>
  <si>
    <t>2号</t>
  </si>
  <si>
    <t>香国用（2004）字第0235号</t>
  </si>
  <si>
    <t>已拆</t>
    <phoneticPr fontId="253" type="noConversion"/>
  </si>
  <si>
    <t>廊房权证香E字第496号</t>
  </si>
  <si>
    <t>廊房权证香E字第497号</t>
  </si>
  <si>
    <t>廊房权证香E字第498号</t>
  </si>
  <si>
    <t>廊房权证香E字第499号</t>
  </si>
  <si>
    <t>廊房权证香E字第500号</t>
  </si>
  <si>
    <t>廊房权证香E字第506号</t>
  </si>
  <si>
    <t>商业街西侧店铺</t>
  </si>
  <si>
    <t>廊房权证香E字第501号</t>
  </si>
  <si>
    <t>廊房权证香E字第502号</t>
  </si>
  <si>
    <t>廊房权证香E字第503号</t>
  </si>
  <si>
    <t>廊房权证香E字第504号</t>
  </si>
  <si>
    <t>廊房权证香E字第505号</t>
  </si>
  <si>
    <t>廊房权证香E字第515号</t>
  </si>
  <si>
    <t>廊房权证香E字第516号</t>
  </si>
  <si>
    <t>廊房权证香E字第517号</t>
  </si>
  <si>
    <t>廊房权证香E字第518号</t>
  </si>
  <si>
    <t>廊房权证香E字第519号</t>
  </si>
  <si>
    <t>廊房权证香E字第485号</t>
  </si>
  <si>
    <t>21号</t>
  </si>
  <si>
    <t>香国用（2004）字第0249</t>
  </si>
  <si>
    <t>廊房权证香E字第486号</t>
  </si>
  <si>
    <t>（1-12）</t>
    <phoneticPr fontId="253" type="noConversion"/>
  </si>
  <si>
    <t>廊房权证香E字第558号</t>
  </si>
  <si>
    <t>廊房权证香E字第507号</t>
  </si>
  <si>
    <t>廊房权证香E字第508号</t>
  </si>
  <si>
    <t>廊房权证香E字第509号</t>
  </si>
  <si>
    <t>廊房权证香E字第510号</t>
  </si>
  <si>
    <t>廊房权证香E字第511号</t>
  </si>
  <si>
    <t>廊房权证香E字第512号</t>
  </si>
  <si>
    <t>廊房权证香E字第513号</t>
  </si>
  <si>
    <t>廊房权证香E字第514号</t>
  </si>
  <si>
    <t>廊房权证香E字第540号</t>
  </si>
  <si>
    <t>19号</t>
  </si>
  <si>
    <t>香国用（2004）字第0247</t>
  </si>
  <si>
    <t>廊房权证香E字第548号</t>
  </si>
  <si>
    <t>1-5</t>
    <phoneticPr fontId="253" type="noConversion"/>
  </si>
  <si>
    <t>廊房权证香E字第549号</t>
  </si>
  <si>
    <t>廊房权证香E字第555号</t>
  </si>
  <si>
    <t>20号</t>
  </si>
  <si>
    <t>香国用（2004）字第0248</t>
  </si>
  <si>
    <t>廊房权证香E字第681号</t>
  </si>
  <si>
    <t>（1-25）</t>
    <phoneticPr fontId="253" type="noConversion"/>
  </si>
  <si>
    <t>钢及钢混</t>
    <phoneticPr fontId="253" type="noConversion"/>
  </si>
  <si>
    <t>18号</t>
  </si>
  <si>
    <t>香国用（2004）字第0246</t>
  </si>
  <si>
    <t>廊房权证香E字第531号</t>
  </si>
  <si>
    <t>廊房权证香E字第563号</t>
  </si>
  <si>
    <t>17号</t>
  </si>
  <si>
    <t>香国用（2004）字第0126号</t>
  </si>
  <si>
    <t>廊房权证香E字第488号</t>
  </si>
  <si>
    <t>6号</t>
  </si>
  <si>
    <t>香国用（2004）字第0237号</t>
  </si>
  <si>
    <t>廊房权证香E字第491号</t>
  </si>
  <si>
    <t>5号</t>
  </si>
  <si>
    <t>香国用（2004）字第0236号</t>
  </si>
  <si>
    <t>廊房权证香E字第521号</t>
  </si>
  <si>
    <t>7号</t>
  </si>
  <si>
    <t>香国用（2004）字第0238号</t>
  </si>
  <si>
    <t>廊房权证香E字第533号</t>
  </si>
  <si>
    <t>廊房权证香E字第551号</t>
  </si>
  <si>
    <t>廊房权证香E字第559号</t>
  </si>
  <si>
    <t>廊房权证香E字第552号</t>
  </si>
  <si>
    <t>（1-3）</t>
    <phoneticPr fontId="253" type="noConversion"/>
  </si>
  <si>
    <t>廊房权证香E字第535号</t>
  </si>
  <si>
    <t>廊房权证香E字第537号</t>
  </si>
  <si>
    <t>廊房权证香E字第538号</t>
  </si>
  <si>
    <t>廊房权证香E字第541号</t>
  </si>
  <si>
    <t>廊房权证香E字第851号</t>
  </si>
  <si>
    <t>1-16</t>
    <phoneticPr fontId="253" type="noConversion"/>
  </si>
  <si>
    <t>6号</t>
    <phoneticPr fontId="206" type="noConversion"/>
  </si>
  <si>
    <t>商业服务</t>
    <phoneticPr fontId="253" type="noConversion"/>
  </si>
  <si>
    <t>廊房权证香E字第562号</t>
  </si>
  <si>
    <t>4号</t>
  </si>
  <si>
    <t>香国用（2004）字第0127号</t>
  </si>
  <si>
    <t>廊房权证香E字第487号</t>
  </si>
  <si>
    <t>8号</t>
  </si>
  <si>
    <t>香国用（2004）字第0239号</t>
  </si>
  <si>
    <t>廊房权证香E字第522号</t>
  </si>
  <si>
    <t>廊房权证香E字第523号</t>
  </si>
  <si>
    <t>22号</t>
  </si>
  <si>
    <t>香国用（2004）字第0250</t>
  </si>
  <si>
    <t>廊房权证香E字第524号</t>
  </si>
  <si>
    <t>香国用（2004）字第0239号</t>
    <phoneticPr fontId="206" type="noConversion"/>
  </si>
  <si>
    <t>廊房权证香E字第526号</t>
  </si>
  <si>
    <t>廊房权证香E字第528号</t>
  </si>
  <si>
    <t>廊房权证香E字第530号</t>
  </si>
  <si>
    <t>廊房权证香E字第536号</t>
  </si>
  <si>
    <t>廊房权证香E字第539号</t>
  </si>
  <si>
    <t>廊房权证香E字第542号</t>
  </si>
  <si>
    <t>廊房权证香E字第543号</t>
  </si>
  <si>
    <t>廊房权证香E字第544号</t>
  </si>
  <si>
    <t>廊房权证香E字第545号</t>
  </si>
  <si>
    <t>廊房权证香E字第546号</t>
  </si>
  <si>
    <t>廊房权证香E字第547号</t>
  </si>
  <si>
    <t>廊房权证香E字第550号</t>
  </si>
  <si>
    <t>廊房权证香E字第556号</t>
  </si>
  <si>
    <t>廊房权证香E字第564号</t>
  </si>
  <si>
    <t>廊房权证香E字第565号</t>
  </si>
  <si>
    <t>廊房权证香E字第525号</t>
  </si>
  <si>
    <t>廊房权证香E字第527号</t>
  </si>
  <si>
    <t>廊房权证香E字第529号</t>
  </si>
  <si>
    <t>廊房权证香E字第532号</t>
  </si>
  <si>
    <t>廊房权证香G字第239号</t>
  </si>
  <si>
    <t>3号</t>
  </si>
  <si>
    <t>香国用（2004）字第0125号</t>
  </si>
  <si>
    <t>廊房权证香E字第241号</t>
  </si>
  <si>
    <t>廊房权证香G字第242号</t>
  </si>
  <si>
    <t>廊房权证香G字第243号</t>
  </si>
  <si>
    <t>钢</t>
    <phoneticPr fontId="253" type="noConversion"/>
  </si>
  <si>
    <t>廊房权证香G字第244号</t>
  </si>
  <si>
    <t>廊房权证香G字第245号</t>
  </si>
  <si>
    <t>廊房权证香G字第246号</t>
  </si>
  <si>
    <t>（3）</t>
    <phoneticPr fontId="253" type="noConversion"/>
  </si>
  <si>
    <t>3-12</t>
    <phoneticPr fontId="253" type="noConversion"/>
  </si>
  <si>
    <t>廊房权证香G字第278号</t>
  </si>
  <si>
    <t>廊房权证香G字第209号</t>
  </si>
  <si>
    <t>1</t>
    <phoneticPr fontId="253" type="noConversion"/>
  </si>
  <si>
    <t>2</t>
    <phoneticPr fontId="253" type="noConversion"/>
  </si>
  <si>
    <t>廊房权证香G字第210号</t>
  </si>
  <si>
    <t>廊房权证香G字第238号</t>
  </si>
  <si>
    <t>廊房权证香G字第248号</t>
  </si>
  <si>
    <t>廊房权证香G字第208号</t>
  </si>
  <si>
    <t>廊房权证香G字第211号</t>
  </si>
  <si>
    <t>廊房权证香G字第249号</t>
  </si>
  <si>
    <t>3-6</t>
    <phoneticPr fontId="253" type="noConversion"/>
  </si>
  <si>
    <t>廊房权证香G字第240号</t>
  </si>
  <si>
    <t>廊房权证香E字第554号</t>
  </si>
  <si>
    <t>13号</t>
  </si>
  <si>
    <t>香国用（2004）字第0243号</t>
  </si>
  <si>
    <t>廊房权证香E字第560号</t>
    <phoneticPr fontId="253" type="noConversion"/>
  </si>
  <si>
    <t>12号</t>
  </si>
  <si>
    <t>香国用（2004）字第0242号</t>
  </si>
  <si>
    <t>廊房权证香E字第567号</t>
  </si>
  <si>
    <t>（1-2）</t>
    <phoneticPr fontId="253" type="noConversion"/>
  </si>
  <si>
    <t>廊房权证香B字第599号</t>
  </si>
  <si>
    <t>20070321</t>
  </si>
  <si>
    <t>廊房权证香B字第601号</t>
  </si>
  <si>
    <t>廊房权证香B字第605号</t>
  </si>
  <si>
    <t>廊房权证香B字第606号</t>
  </si>
  <si>
    <r>
      <t>2</t>
    </r>
    <r>
      <rPr>
        <sz val="10"/>
        <rFont val="仿宋_GB2312"/>
        <family val="3"/>
        <charset val="134"/>
      </rPr>
      <t>6-27</t>
    </r>
    <phoneticPr fontId="253" type="noConversion"/>
  </si>
  <si>
    <t>廊房权证香B字第607号</t>
  </si>
  <si>
    <t>廊房权证香B字第610号</t>
  </si>
  <si>
    <r>
      <t>1</t>
    </r>
    <r>
      <rPr>
        <sz val="10"/>
        <rFont val="仿宋_GB2312"/>
        <family val="3"/>
        <charset val="134"/>
      </rPr>
      <t>3-15</t>
    </r>
    <phoneticPr fontId="253" type="noConversion"/>
  </si>
  <si>
    <t>廊房权证香B字第0599号</t>
  </si>
  <si>
    <t>廊房权证香B字第0605号</t>
  </si>
  <si>
    <t>廊房权证香B字第0611号</t>
  </si>
  <si>
    <t>廊房权证香B字第0613号</t>
  </si>
  <si>
    <t>廊房权证香B字第0614号</t>
  </si>
  <si>
    <t>廊房权证香E字第557号</t>
  </si>
  <si>
    <t>28号</t>
  </si>
  <si>
    <t>商业街东厕所</t>
  </si>
  <si>
    <t>廊房权证香E字第489号</t>
  </si>
  <si>
    <t>商业街广场西厕所</t>
  </si>
  <si>
    <t>廊房权证香E字第490号</t>
  </si>
  <si>
    <t>永定门瓮城票房</t>
  </si>
  <si>
    <t>廊房权证香E字第553号</t>
  </si>
  <si>
    <t>不评</t>
    <phoneticPr fontId="253" type="noConversion"/>
  </si>
  <si>
    <t>第一城娱乐有限公司（皇家庄园俱乐部）</t>
  </si>
  <si>
    <t>廊房权证香G字第328号</t>
  </si>
  <si>
    <t>第一城娱乐有限公司（皇家庄园服务楼）</t>
  </si>
  <si>
    <t>廊房权证香G字第331号</t>
  </si>
  <si>
    <t>中信国安第一城国际会议展览有限公司（皇家庄园四合院）</t>
  </si>
  <si>
    <t>廊房权证香E字第710号</t>
  </si>
  <si>
    <t>东直门城楼</t>
    <phoneticPr fontId="253" type="noConversion"/>
  </si>
  <si>
    <t>阜成门城楼</t>
    <phoneticPr fontId="253" type="noConversion"/>
  </si>
  <si>
    <t>朝阳门城楼</t>
    <phoneticPr fontId="253" type="noConversion"/>
  </si>
  <si>
    <t>宣武门城楼</t>
    <phoneticPr fontId="253" type="noConversion"/>
  </si>
  <si>
    <t>表2---主营业务收入</t>
  </si>
  <si>
    <r>
      <rPr>
        <b/>
        <sz val="10"/>
        <rFont val="宋体"/>
        <family val="3"/>
        <charset val="134"/>
      </rPr>
      <t>销售类别</t>
    </r>
  </si>
  <si>
    <r>
      <rPr>
        <b/>
        <sz val="10"/>
        <rFont val="宋体"/>
        <family val="3"/>
        <charset val="134"/>
      </rPr>
      <t>计量单位</t>
    </r>
  </si>
  <si>
    <r>
      <rPr>
        <b/>
        <sz val="10"/>
        <rFont val="宋体"/>
        <family val="3"/>
        <charset val="134"/>
      </rPr>
      <t>销售数量</t>
    </r>
  </si>
  <si>
    <r>
      <rPr>
        <b/>
        <sz val="10"/>
        <rFont val="宋体"/>
        <family val="3"/>
        <charset val="134"/>
      </rPr>
      <t>销售单价</t>
    </r>
  </si>
  <si>
    <r>
      <t>2014年</t>
    </r>
    <r>
      <rPr>
        <b/>
        <sz val="10"/>
        <rFont val="宋体"/>
        <family val="3"/>
        <charset val="134"/>
      </rPr>
      <t/>
    </r>
  </si>
  <si>
    <t>餐厅</t>
  </si>
  <si>
    <t>会议室</t>
  </si>
  <si>
    <t>会员卡</t>
  </si>
  <si>
    <r>
      <rPr>
        <b/>
        <sz val="10"/>
        <rFont val="宋体"/>
        <family val="3"/>
        <charset val="134"/>
      </rPr>
      <t>合</t>
    </r>
    <r>
      <rPr>
        <b/>
        <sz val="10"/>
        <rFont val="Arial Narrow"/>
        <family val="2"/>
      </rPr>
      <t xml:space="preserve">   </t>
    </r>
    <r>
      <rPr>
        <b/>
        <sz val="10"/>
        <rFont val="宋体"/>
        <family val="3"/>
        <charset val="134"/>
      </rPr>
      <t>计</t>
    </r>
  </si>
  <si>
    <r>
      <t>2015</t>
    </r>
    <r>
      <rPr>
        <b/>
        <sz val="10"/>
        <rFont val="宋体"/>
        <family val="3"/>
        <charset val="134"/>
      </rPr>
      <t>年</t>
    </r>
    <phoneticPr fontId="3" type="noConversion"/>
  </si>
  <si>
    <r>
      <t>2016</t>
    </r>
    <r>
      <rPr>
        <b/>
        <sz val="10"/>
        <rFont val="宋体"/>
        <family val="3"/>
        <charset val="134"/>
      </rPr>
      <t>年</t>
    </r>
    <phoneticPr fontId="3" type="noConversion"/>
  </si>
  <si>
    <t>门票</t>
    <phoneticPr fontId="3" type="noConversion"/>
  </si>
  <si>
    <t>元</t>
    <phoneticPr fontId="3" type="noConversion"/>
  </si>
  <si>
    <t>客房</t>
    <phoneticPr fontId="3" type="noConversion"/>
  </si>
  <si>
    <t>商品</t>
    <phoneticPr fontId="3" type="noConversion"/>
  </si>
  <si>
    <t>娱乐康体</t>
    <phoneticPr fontId="3" type="noConversion"/>
  </si>
  <si>
    <t>高尔夫球场</t>
    <phoneticPr fontId="3" type="noConversion"/>
  </si>
  <si>
    <t>场地费</t>
    <phoneticPr fontId="3" type="noConversion"/>
  </si>
  <si>
    <t>其他</t>
    <phoneticPr fontId="3" type="noConversion"/>
  </si>
  <si>
    <t>联营</t>
    <phoneticPr fontId="3" type="noConversion"/>
  </si>
  <si>
    <t>表7---其他业务利润预测表</t>
  </si>
  <si>
    <r>
      <rPr>
        <b/>
        <sz val="10"/>
        <rFont val="宋体"/>
        <family val="3"/>
        <charset val="134"/>
      </rPr>
      <t>业务项目</t>
    </r>
  </si>
  <si>
    <r>
      <t>2015</t>
    </r>
    <r>
      <rPr>
        <b/>
        <sz val="10"/>
        <rFont val="宋体"/>
        <family val="3"/>
        <charset val="134"/>
      </rPr>
      <t>年</t>
    </r>
    <phoneticPr fontId="3" type="noConversion"/>
  </si>
  <si>
    <r>
      <t>2016</t>
    </r>
    <r>
      <rPr>
        <b/>
        <sz val="10"/>
        <rFont val="宋体"/>
        <family val="3"/>
        <charset val="134"/>
      </rPr>
      <t>年</t>
    </r>
    <phoneticPr fontId="3" type="noConversion"/>
  </si>
  <si>
    <t>租赁收入</t>
  </si>
  <si>
    <t>其他</t>
  </si>
  <si>
    <t>字画收入</t>
    <phoneticPr fontId="3" type="noConversion"/>
  </si>
  <si>
    <r>
      <rPr>
        <sz val="10"/>
        <rFont val="宋体"/>
        <family val="3"/>
        <charset val="134"/>
      </rPr>
      <t>其他业务收入小计</t>
    </r>
    <r>
      <rPr>
        <sz val="10"/>
        <rFont val="Arial Narrow"/>
        <family val="2"/>
      </rPr>
      <t xml:space="preserve"> </t>
    </r>
  </si>
  <si>
    <r>
      <rPr>
        <sz val="10"/>
        <rFont val="宋体"/>
        <family val="3"/>
        <charset val="134"/>
      </rPr>
      <t>其他业务成本</t>
    </r>
    <r>
      <rPr>
        <sz val="10"/>
        <rFont val="Arial Narrow"/>
        <family val="2"/>
      </rPr>
      <t/>
    </r>
    <phoneticPr fontId="3" type="noConversion"/>
  </si>
  <si>
    <r>
      <rPr>
        <sz val="10"/>
        <rFont val="宋体"/>
        <family val="3"/>
        <charset val="134"/>
      </rPr>
      <t>其他业务成本小计</t>
    </r>
    <r>
      <rPr>
        <sz val="10"/>
        <rFont val="Arial Narrow"/>
        <family val="2"/>
      </rPr>
      <t xml:space="preserve"> </t>
    </r>
  </si>
  <si>
    <r>
      <rPr>
        <sz val="10"/>
        <rFont val="宋体"/>
        <family val="3"/>
        <charset val="134"/>
      </rPr>
      <t>其他业务利润净额</t>
    </r>
  </si>
  <si>
    <t>主营业务收入</t>
    <phoneticPr fontId="206" type="noConversion"/>
  </si>
  <si>
    <t>其他业务收入</t>
    <phoneticPr fontId="206" type="noConversion"/>
  </si>
  <si>
    <t>地上商业</t>
  </si>
  <si>
    <t>钢混结构建筑面积</t>
    <phoneticPr fontId="206" type="noConversion"/>
  </si>
  <si>
    <t>钢结构建筑面积</t>
    <phoneticPr fontId="206" type="noConversion"/>
  </si>
  <si>
    <t>混合结构建筑面积</t>
    <phoneticPr fontId="206" type="noConversion"/>
  </si>
  <si>
    <t>成新度</t>
    <phoneticPr fontId="206" type="noConversion"/>
  </si>
  <si>
    <t>综合成新率</t>
    <phoneticPr fontId="206" type="noConversion"/>
  </si>
  <si>
    <t>单价</t>
    <phoneticPr fontId="206" type="noConversion"/>
  </si>
  <si>
    <t>商业、工业</t>
  </si>
  <si>
    <t>商业、工业</t>
    <phoneticPr fontId="45" type="noConversion"/>
  </si>
  <si>
    <t>估价对象周边有938、香河1路等公交线路，大香线等城市次干道，公共交通通达情况一般；项目自身有停车位、停车便捷程度一般，综合评价交通便捷度一般</t>
    <phoneticPr fontId="3" type="noConversion"/>
  </si>
  <si>
    <t>区域自然环境：无；人文环境：亚太中医哮喘病研究所；综合评价环境状况一般</t>
    <phoneticPr fontId="3" type="noConversion"/>
  </si>
  <si>
    <t>用途</t>
  </si>
  <si>
    <t>最高年限</t>
  </si>
  <si>
    <t>剩余年限</t>
  </si>
  <si>
    <t>分项修正系数(k)</t>
    <phoneticPr fontId="3" type="noConversion"/>
  </si>
  <si>
    <t>还原利率(y)</t>
    <phoneticPr fontId="3" type="noConversion"/>
  </si>
  <si>
    <t>建面</t>
    <phoneticPr fontId="3" type="noConversion"/>
  </si>
  <si>
    <t>地下仓储</t>
    <phoneticPr fontId="3" type="noConversion"/>
  </si>
  <si>
    <t>分项修正系数(k)</t>
    <phoneticPr fontId="3" type="noConversion"/>
  </si>
  <si>
    <t>还原利率(y)</t>
    <phoneticPr fontId="3" type="noConversion"/>
  </si>
  <si>
    <t>地下仓储</t>
    <phoneticPr fontId="3" type="noConversion"/>
  </si>
  <si>
    <t>分项修正系数(k)</t>
    <phoneticPr fontId="3" type="noConversion"/>
  </si>
  <si>
    <t>还原利率(y)</t>
    <phoneticPr fontId="3" type="noConversion"/>
  </si>
  <si>
    <t>商业类</t>
    <phoneticPr fontId="3" type="noConversion"/>
  </si>
  <si>
    <t>40、50年总价</t>
    <phoneticPr fontId="3" type="noConversion"/>
  </si>
  <si>
    <t>需补缴出让金</t>
    <phoneticPr fontId="3" type="noConversion"/>
  </si>
  <si>
    <t>部位</t>
    <phoneticPr fontId="3" type="noConversion"/>
  </si>
  <si>
    <t>原</t>
    <phoneticPr fontId="3" type="noConversion"/>
  </si>
  <si>
    <t>评估总值</t>
    <phoneticPr fontId="3" type="noConversion"/>
  </si>
  <si>
    <t>合计</t>
    <phoneticPr fontId="3" type="noConversion"/>
  </si>
  <si>
    <t>抵押率</t>
    <phoneticPr fontId="3" type="noConversion"/>
  </si>
  <si>
    <t>需扣除的出让金</t>
    <phoneticPr fontId="3" type="noConversion"/>
  </si>
  <si>
    <t>扣除出让金后评估值</t>
    <phoneticPr fontId="3" type="noConversion"/>
  </si>
  <si>
    <t>地下仓储</t>
    <phoneticPr fontId="3" type="noConversion"/>
  </si>
  <si>
    <t>一层商业</t>
    <phoneticPr fontId="3" type="noConversion"/>
  </si>
  <si>
    <t>2-4层LOFT</t>
    <phoneticPr fontId="3" type="noConversion"/>
  </si>
  <si>
    <t>5-6层</t>
    <phoneticPr fontId="3" type="noConversion"/>
  </si>
  <si>
    <t>填入项</t>
    <phoneticPr fontId="3" type="noConversion"/>
  </si>
  <si>
    <t>总计</t>
    <phoneticPr fontId="3" type="noConversion"/>
  </si>
  <si>
    <t>不同年限间的换算</t>
    <phoneticPr fontId="3" type="noConversion"/>
  </si>
  <si>
    <t>N</t>
    <phoneticPr fontId="3" type="noConversion"/>
  </si>
  <si>
    <t>Y（N）</t>
    <phoneticPr fontId="3" type="noConversion"/>
  </si>
  <si>
    <r>
      <t>K</t>
    </r>
    <r>
      <rPr>
        <sz val="12"/>
        <rFont val="宋体"/>
        <family val="3"/>
        <charset val="134"/>
      </rPr>
      <t>(N)</t>
    </r>
    <phoneticPr fontId="3" type="noConversion"/>
  </si>
  <si>
    <t>n</t>
    <phoneticPr fontId="3" type="noConversion"/>
  </si>
  <si>
    <t>Y（n）</t>
    <phoneticPr fontId="3" type="noConversion"/>
  </si>
  <si>
    <r>
      <t>K</t>
    </r>
    <r>
      <rPr>
        <sz val="12"/>
        <rFont val="宋体"/>
        <family val="3"/>
        <charset val="134"/>
      </rPr>
      <t>(n)</t>
    </r>
    <phoneticPr fontId="3" type="noConversion"/>
  </si>
  <si>
    <t>V（N）</t>
    <phoneticPr fontId="3" type="noConversion"/>
  </si>
  <si>
    <t>V（n）</t>
    <phoneticPr fontId="3" type="noConversion"/>
  </si>
  <si>
    <t>商业40年</t>
    <phoneticPr fontId="6" type="noConversion"/>
  </si>
  <si>
    <t>国安建设公司生活区</t>
  </si>
  <si>
    <r>
      <t>香国用（</t>
    </r>
    <r>
      <rPr>
        <sz val="10"/>
        <rFont val="Times New Roman"/>
        <family val="1"/>
      </rPr>
      <t>2004</t>
    </r>
    <r>
      <rPr>
        <sz val="10"/>
        <rFont val="仿宋_GB2312"/>
        <family val="3"/>
        <charset val="134"/>
      </rPr>
      <t>）字第</t>
    </r>
    <r>
      <rPr>
        <sz val="10"/>
        <rFont val="Times New Roman"/>
        <family val="1"/>
      </rPr>
      <t>0252</t>
    </r>
    <r>
      <rPr>
        <sz val="10"/>
        <rFont val="仿宋_GB2312"/>
        <family val="3"/>
        <charset val="134"/>
      </rPr>
      <t>号</t>
    </r>
  </si>
  <si>
    <t>香河开发区第一城内</t>
    <phoneticPr fontId="253" type="noConversion"/>
  </si>
  <si>
    <t>10-（16）-024</t>
    <phoneticPr fontId="253" type="noConversion"/>
  </si>
  <si>
    <t>J-50-6-55</t>
    <phoneticPr fontId="253" type="noConversion"/>
  </si>
  <si>
    <t>总值</t>
    <phoneticPr fontId="8" type="noConversion"/>
  </si>
  <si>
    <t xml:space="preserve">建筑物 </t>
    <phoneticPr fontId="8" type="noConversion"/>
  </si>
  <si>
    <t>土地</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</si>
</sst>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_-;\-* #,##0.00_-;_-* &quot;-&quot;??_-;_-@_-"/>
    <numFmt numFmtId="176" formatCode="&quot;￥&quot;#,##0.00;[Red]&quot;￥&quot;\-#,##0.00"/>
    <numFmt numFmtId="177" formatCode="_ * #,##0_ ;_ * \-#,##0_ ;_ * &quot;-&quot;_ ;_ @_ "/>
    <numFmt numFmtId="178" formatCode="_ * #,##0.00_ ;_ * \-#,##0.00_ ;_ * &quot;-&quot;??_ ;_ @_ "/>
    <numFmt numFmtId="179" formatCode="0.00_);[Red]\(0.00\)"/>
    <numFmt numFmtId="180" formatCode="0_ "/>
    <numFmt numFmtId="181" formatCode="0.0_ "/>
    <numFmt numFmtId="182" formatCode="0.00_ "/>
    <numFmt numFmtId="183" formatCode="0.000_ "/>
    <numFmt numFmtId="184" formatCode="0.0%"/>
    <numFmt numFmtId="185" formatCode="[DBNum2][$-804]General"/>
    <numFmt numFmtId="186" formatCode="0.000%"/>
    <numFmt numFmtId="187" formatCode="yyyy&quot;年&quot;m&quot;月&quot;d&quot;日&quot;;@"/>
    <numFmt numFmtId="188" formatCode="0.0000%"/>
    <numFmt numFmtId="189" formatCode="0_);[Red]\(0\)"/>
    <numFmt numFmtId="190" formatCode="0.0000_ "/>
    <numFmt numFmtId="191" formatCode="0.000_);[Red]\(0.000\)"/>
    <numFmt numFmtId="192" formatCode="0.0_);[Red]\(0.0\)"/>
    <numFmt numFmtId="193" formatCode="yyyy&quot;年&quot;m&quot;月&quot;;@"/>
    <numFmt numFmtId="194" formatCode="0;_쐀"/>
    <numFmt numFmtId="195" formatCode="[$-F800]dddd\,\ mmmm\ dd\,\ yyyy"/>
    <numFmt numFmtId="196" formatCode="[DBNum1][$-804]General"/>
    <numFmt numFmtId="197" formatCode="[DBNum1][$-804]yyyy&quot;年&quot;m&quot;月&quot;d&quot;日&quot;;@"/>
    <numFmt numFmtId="198" formatCode="0_ ;[Red]\-0\ "/>
    <numFmt numFmtId="199" formatCode="yyyy/m/d;@"/>
    <numFmt numFmtId="200" formatCode="#,##0.00_ "/>
    <numFmt numFmtId="201" formatCode="&quot;Ç&quot;\ &quot;´&quot;&quot;´&quot;&quot;´&quot;&quot;´&quot;\ &quot;»&quot;&quot;»&quot;&quot;»&quot;&quot;»&quot;"/>
    <numFmt numFmtId="202" formatCode="#,##0.0\ ;\(#,##0.0\)"/>
    <numFmt numFmtId="203" formatCode="&quot;ð&quot;\%"/>
    <numFmt numFmtId="204" formatCode="0.0_)\%;\(0.0\)\%;0.0_)\%;@_)_%"/>
    <numFmt numFmtId="205" formatCode="#,##0.0_)_%;\(#,##0.0\)_%;0.0_)_%;@_)_%"/>
    <numFmt numFmtId="206" formatCode="#,##0.0_);\(#,##0.0\)"/>
    <numFmt numFmtId="207" formatCode="&quot;$&quot;_(#,##0.00_);&quot;$&quot;\(#,##0.00\)"/>
    <numFmt numFmtId="208" formatCode="&quot;£&quot;_(#,##0.00_);&quot;£&quot;\(#,##0.00\)"/>
    <numFmt numFmtId="209" formatCode="&quot;€&quot;_(#,##0.00_);&quot;€&quot;\(#,##0.00\);&quot;€&quot;_(0.00_);@_)"/>
    <numFmt numFmtId="210" formatCode="\&amp;\,\&amp;\&amp;&quot;ð&quot;.&quot;ð&quot;&quot;ð&quot;_);\(\&amp;\,\&amp;\&amp;&quot;ð&quot;.&quot;ð&quot;&quot;ð&quot;\)"/>
    <numFmt numFmtId="211" formatCode="#,##0.0_)\x;\(#,##0.0\)\x"/>
    <numFmt numFmtId="212" formatCode="#,##0.0_)_x;\(#,##0.0\)_x"/>
    <numFmt numFmtId="213" formatCode="0.0_)\%;\(0.0\)\%"/>
    <numFmt numFmtId="214" formatCode="#,##0.0_)_%;\(#,##0.0\)_%"/>
    <numFmt numFmtId="215" formatCode="_-#,##0_-;\(#,##0\);_-\ \ &quot;-&quot;_-;_-@_-"/>
    <numFmt numFmtId="216" formatCode="_-#,##0.00_-;\(#,##0.00\);_-\ \ &quot;-&quot;_-;_-@_-"/>
    <numFmt numFmtId="217" formatCode="mmm/dd/yyyy;_-\ &quot;N/A&quot;_-;_-\ &quot;-&quot;_-"/>
    <numFmt numFmtId="218" formatCode="mmm/yyyy;_-\ &quot;N/A&quot;_-;_-\ &quot;-&quot;_-"/>
    <numFmt numFmtId="219" formatCode="_-#,##0%_-;\(#,##0%\);_-\ &quot;-&quot;_-"/>
    <numFmt numFmtId="220" formatCode="_-#,###,_-;\(#,###,\);_-\ \ &quot;-&quot;_-;_-@_-"/>
    <numFmt numFmtId="221" formatCode="_-#,###.00,_-;\(#,###.00,\);_-\ \ &quot;-&quot;_-;_-@_-"/>
    <numFmt numFmtId="222" formatCode="_-#0&quot;.&quot;0,_-;\(#0&quot;.&quot;0,\);_-\ \ &quot;-&quot;_-;_-@_-"/>
    <numFmt numFmtId="223" formatCode="_-#0&quot;.&quot;0000_-;\(#0&quot;.&quot;0000\);_-\ \ &quot;-&quot;_-;_-@_-"/>
    <numFmt numFmtId="224" formatCode="&quot;cash&quot;;\(#,##0.0\)"/>
    <numFmt numFmtId="225" formatCode="_(* #,##0_);_(* \(#,##0\);_(* &quot;-&quot;_);_(@_)"/>
    <numFmt numFmtId="226" formatCode="#,##0;\-#,##0;&quot;-&quot;"/>
    <numFmt numFmtId="227" formatCode="###0.0;\(###0.0\)"/>
    <numFmt numFmtId="228" formatCode="&quot;\&quot;#,##0;[Red]&quot;\&quot;&quot;\&quot;&quot;\&quot;&quot;\&quot;&quot;\&quot;&quot;\&quot;&quot;\&quot;\-#,##0"/>
    <numFmt numFmtId="229" formatCode="#,##0.0"/>
    <numFmt numFmtId="230" formatCode="_(&quot;$&quot;* #,##0_);_(&quot;$&quot;* \(#,##0\);_(&quot;$&quot;* &quot;-&quot;_);_(@_)"/>
    <numFmt numFmtId="231" formatCode="&quot;$&quot;#,##0.00_);[Red]\(&quot;$&quot;#,##0.00\)"/>
    <numFmt numFmtId="232" formatCode="_(&quot;$&quot;* #,##0.00_);_(&quot;$&quot;* \(#,##0.00\);_(&quot;$&quot;* &quot;-&quot;??_);_(@_)"/>
    <numFmt numFmtId="233" formatCode="_(* #,##0.0_)_x_x_x;_(* \(#,##0.0\)_x_x_x;_(* &quot;-&quot;??_)_x_x_x;_(@_)_x_x_x"/>
    <numFmt numFmtId="234" formatCode="mmm\-yyyy"/>
    <numFmt numFmtId="235" formatCode="###0;\(###0\)"/>
    <numFmt numFmtId="236" formatCode="&quot;£&quot;#,##0;[Red]\-&quot;£&quot;#,##0"/>
    <numFmt numFmtId="237" formatCode="_([$€-2]* #,##0.00_);_([$€-2]* \(#,##0.00\);_([$€-2]* &quot;-&quot;??_)"/>
    <numFmt numFmtId="238" formatCode="#,##0\ &quot; &quot;;\(#,##0\)\ ;&quot;—&quot;&quot; &quot;&quot; &quot;&quot; &quot;&quot; &quot;"/>
    <numFmt numFmtId="239" formatCode="0.0&quot;x&quot;"/>
    <numFmt numFmtId="240" formatCode="0.00%;\(0.00%\)"/>
    <numFmt numFmtId="241" formatCode="#,##0.0;\(#,##0.0\)"/>
    <numFmt numFmtId="242" formatCode="#,##0.00;\(#,##0.00\)"/>
    <numFmt numFmtId="243" formatCode="###0.0&quot;x&quot;;\(###0.0\)&quot;x&quot;"/>
    <numFmt numFmtId="244" formatCode="###0.0_x;\(###0.0\)_x"/>
    <numFmt numFmtId="245" formatCode="#,##0.0\x;\(#,##0.0\x\)"/>
    <numFmt numFmtId="246" formatCode="#,##0\ ;\(#,##0\)"/>
    <numFmt numFmtId="247" formatCode="_-&quot;$&quot;* #,##0_-;\-&quot;$&quot;* #,##0_-;_-&quot;$&quot;* &quot;-&quot;??_-;_-@_-"/>
    <numFmt numFmtId="248" formatCode="#,##0;\(#,###\)"/>
    <numFmt numFmtId="249" formatCode="#,##0.0_)_x_x_x_x_x;\(#,##0.0\)_x_x_x_x_x;0_._0_)_x_x_x_x_x"/>
    <numFmt numFmtId="250" formatCode="0.0&quot;x&quot;;@_)"/>
    <numFmt numFmtId="251" formatCode="0.00_)"/>
    <numFmt numFmtId="252" formatCode="_(* #,##0.0_)_x_x_x_x;_(* \(#,##0.0\)_x_x_x_x;_(* &quot;-&quot;??_)_x_x_x_x;_(@_)_x_x_x_x"/>
    <numFmt numFmtId="253" formatCode="_-&quot;$&quot;* #,##0_-;\-&quot;$&quot;* #,##0_-;_-&quot;$&quot;* &quot;-&quot;_-;_-@_-"/>
    <numFmt numFmtId="254" formatCode="_-&quot;$&quot;* #,##0.00_-;\-&quot;$&quot;* #,##0.00_-;_-&quot;$&quot;* &quot;-&quot;??_-;_-@_-"/>
    <numFmt numFmtId="255" formatCode="0.0000000"/>
    <numFmt numFmtId="256" formatCode="0.000000"/>
    <numFmt numFmtId="257" formatCode="0.00000000"/>
    <numFmt numFmtId="258"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s>
  <fonts count="33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color theme="1"/>
      <name val="宋体"/>
      <family val="3"/>
      <charset val="134"/>
      <scheme val="minor"/>
    </font>
    <font>
      <sz val="9"/>
      <name val="仿宋_GB2312"/>
      <family val="3"/>
      <charset val="134"/>
    </font>
    <font>
      <sz val="10"/>
      <color rgb="FFFF0000"/>
      <name val="仿宋_GB2312"/>
      <family val="3"/>
      <charset val="134"/>
    </font>
    <font>
      <sz val="9"/>
      <name val="宋体"/>
      <family val="2"/>
      <charset val="134"/>
      <scheme val="minor"/>
    </font>
    <font>
      <sz val="9"/>
      <color rgb="FF707070"/>
      <name val="宋体"/>
      <family val="3"/>
      <charset val="134"/>
      <scheme val="minor"/>
    </font>
    <font>
      <sz val="12"/>
      <name val="Times New Roman"/>
      <family val="1"/>
    </font>
    <font>
      <b/>
      <sz val="18"/>
      <name val="宋体"/>
      <family val="3"/>
      <charset val="134"/>
    </font>
    <font>
      <sz val="10"/>
      <name val="Times New Roman"/>
      <family val="1"/>
    </font>
    <font>
      <b/>
      <sz val="22"/>
      <name val="仿宋_GB2312"/>
      <family val="3"/>
      <charset val="134"/>
    </font>
    <font>
      <b/>
      <sz val="10"/>
      <name val="仿宋_GB2312"/>
      <family val="3"/>
      <charset val="134"/>
    </font>
    <font>
      <b/>
      <sz val="11"/>
      <name val="仿宋_GB2312"/>
      <family val="3"/>
      <charset val="134"/>
    </font>
    <font>
      <b/>
      <vertAlign val="superscript"/>
      <sz val="10"/>
      <name val="仿宋_GB2312"/>
      <family val="3"/>
      <charset val="134"/>
    </font>
    <font>
      <sz val="10"/>
      <color theme="7"/>
      <name val="仿宋_GB2312"/>
      <family val="3"/>
      <charset val="134"/>
    </font>
    <font>
      <sz val="12"/>
      <color theme="7"/>
      <name val="宋体"/>
      <family val="3"/>
      <charset val="134"/>
    </font>
    <font>
      <sz val="10"/>
      <name val="Arial Narrow"/>
      <family val="2"/>
    </font>
    <font>
      <b/>
      <sz val="10"/>
      <name val="Arial Narrow"/>
      <family val="2"/>
    </font>
    <font>
      <sz val="12"/>
      <name val="Arial Narrow"/>
      <family val="2"/>
    </font>
    <font>
      <sz val="10"/>
      <name val="Helvetica"/>
      <family val="2"/>
    </font>
    <font>
      <sz val="9"/>
      <name val="Arial"/>
      <family val="2"/>
    </font>
    <font>
      <sz val="10"/>
      <name val="Helv"/>
      <family val="2"/>
    </font>
    <font>
      <sz val="10"/>
      <name val="Geneva"/>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8"/>
      <name val="Arial"/>
      <family val="2"/>
    </font>
    <font>
      <sz val="11"/>
      <name val="Times New Roman"/>
      <family val="1"/>
    </font>
    <font>
      <b/>
      <sz val="10"/>
      <color indexed="18"/>
      <name val="Arial Narrow"/>
      <family val="2"/>
    </font>
    <font>
      <b/>
      <sz val="10"/>
      <color indexed="9"/>
      <name val="Arial"/>
      <family val="2"/>
    </font>
    <font>
      <sz val="12"/>
      <name val="Tms Rmn"/>
      <family val="1"/>
    </font>
    <font>
      <sz val="8"/>
      <name val="Times New Roman"/>
      <family val="1"/>
    </font>
    <font>
      <b/>
      <sz val="10"/>
      <name val="MS Sans Serif"/>
      <family val="2"/>
    </font>
    <font>
      <i/>
      <sz val="12"/>
      <name val="Times New Roman"/>
      <family val="1"/>
    </font>
    <font>
      <b/>
      <sz val="8"/>
      <name val="Arial"/>
      <family val="2"/>
    </font>
    <font>
      <sz val="10"/>
      <name val="MS Sans Serif"/>
      <family val="2"/>
    </font>
    <font>
      <sz val="20"/>
      <name val="Letter Gothic (W1)"/>
      <family val="2"/>
    </font>
    <font>
      <sz val="11"/>
      <color indexed="12"/>
      <name val="Book Antiqua"/>
      <family val="1"/>
    </font>
    <font>
      <sz val="9"/>
      <name val="Times New Roman"/>
      <family val="1"/>
    </font>
    <font>
      <sz val="12"/>
      <color indexed="39"/>
      <name val="Times New Roman"/>
      <family val="1"/>
    </font>
    <font>
      <sz val="10.5"/>
      <name val="Times New Roman"/>
      <family val="1"/>
    </font>
    <font>
      <b/>
      <sz val="10"/>
      <color indexed="16"/>
      <name val="Arial Narrow"/>
      <family val="2"/>
    </font>
    <font>
      <u/>
      <sz val="10"/>
      <color indexed="12"/>
      <name val="Arial"/>
      <family val="2"/>
    </font>
    <font>
      <sz val="10"/>
      <color indexed="18"/>
      <name val="Palatino"/>
      <family val="2"/>
    </font>
    <font>
      <sz val="8"/>
      <color indexed="17"/>
      <name val="Times New Roman"/>
      <family val="1"/>
    </font>
    <font>
      <sz val="18"/>
      <name val="Times New Roman"/>
      <family val="1"/>
    </font>
    <font>
      <b/>
      <sz val="13"/>
      <name val="Times New Roman"/>
      <family val="1"/>
    </font>
    <font>
      <b/>
      <i/>
      <sz val="12"/>
      <name val="Times New Roman"/>
      <family val="1"/>
    </font>
    <font>
      <sz val="7"/>
      <name val="Small Fonts"/>
      <family val="2"/>
    </font>
    <font>
      <b/>
      <i/>
      <sz val="16"/>
      <name val="Helv"/>
      <family val="2"/>
    </font>
    <font>
      <sz val="10"/>
      <name val="Palatino"/>
      <family val="2"/>
    </font>
    <font>
      <sz val="10"/>
      <color indexed="8"/>
      <name val="MS Sans Serif"/>
      <family val="2"/>
    </font>
    <font>
      <sz val="11"/>
      <color indexed="8"/>
      <name val="Times New Roman"/>
      <family val="1"/>
    </font>
    <font>
      <b/>
      <sz val="26"/>
      <name val="Times New Roman"/>
      <family val="1"/>
    </font>
    <font>
      <b/>
      <sz val="18"/>
      <name val="Times New Roman"/>
      <family val="1"/>
    </font>
    <font>
      <sz val="8"/>
      <color indexed="16"/>
      <name val="Century Schoolbook"/>
      <family val="1"/>
    </font>
    <font>
      <b/>
      <i/>
      <sz val="10"/>
      <name val="Times New Roman"/>
      <family val="1"/>
    </font>
    <font>
      <b/>
      <sz val="14"/>
      <color indexed="9"/>
      <name val="Times New Roman"/>
      <family val="1"/>
    </font>
    <font>
      <b/>
      <sz val="12"/>
      <name val="MS Sans Serif"/>
      <family val="2"/>
    </font>
    <font>
      <sz val="12"/>
      <name val="MS Sans Serif"/>
      <family val="2"/>
    </font>
    <font>
      <b/>
      <sz val="9"/>
      <name val="Arial"/>
      <family val="2"/>
    </font>
    <font>
      <sz val="7"/>
      <name val="Times New Roman"/>
      <family val="1"/>
    </font>
    <font>
      <b/>
      <sz val="9"/>
      <name val="Times New Roman"/>
      <family val="1"/>
    </font>
    <font>
      <sz val="11"/>
      <name val="明朝"/>
      <charset val="134"/>
    </font>
    <font>
      <sz val="8"/>
      <name val="Century Schoolbook"/>
      <family val="1"/>
    </font>
    <font>
      <sz val="11"/>
      <color indexed="20"/>
      <name val="宋体"/>
      <family val="3"/>
      <charset val="134"/>
    </font>
    <font>
      <u/>
      <sz val="12"/>
      <color indexed="12"/>
      <name val="Times New Roman"/>
      <family val="1"/>
    </font>
    <font>
      <u/>
      <sz val="12"/>
      <color indexed="12"/>
      <name val="宋体"/>
      <family val="3"/>
      <charset val="134"/>
    </font>
    <font>
      <sz val="14"/>
      <name val="뼻뮝"/>
      <charset val="134"/>
    </font>
    <font>
      <b/>
      <sz val="12"/>
      <name val="Times New Roman"/>
      <family val="1"/>
    </font>
    <font>
      <sz val="12"/>
      <name val="뼻뮝"/>
      <charset val="134"/>
    </font>
    <font>
      <sz val="11"/>
      <color indexed="17"/>
      <name val="宋体"/>
      <family val="3"/>
      <charset val="134"/>
    </font>
    <font>
      <sz val="12"/>
      <name val="굴림체"/>
      <family val="3"/>
      <charset val="134"/>
    </font>
    <font>
      <sz val="12"/>
      <name val="新細明體"/>
      <family val="1"/>
      <charset val="134"/>
    </font>
    <font>
      <sz val="12"/>
      <name val="바탕체"/>
      <family val="3"/>
      <charset val="134"/>
    </font>
    <font>
      <sz val="10"/>
      <name val="굴림체"/>
      <family val="3"/>
      <charset val="134"/>
    </font>
    <font>
      <u/>
      <sz val="11"/>
      <color indexed="12"/>
      <name val="돋움"/>
      <charset val="134"/>
    </font>
    <font>
      <sz val="11"/>
      <name val="蹈框"/>
      <charset val="134"/>
    </font>
    <font>
      <sz val="11"/>
      <name val="宋体繁体"/>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
      <patternFill patternType="solid">
        <fgColor indexed="43"/>
        <bgColor indexed="64"/>
      </patternFill>
    </fill>
    <fill>
      <patternFill patternType="solid">
        <fgColor indexed="18"/>
        <bgColor indexed="64"/>
      </patternFill>
    </fill>
    <fill>
      <patternFill patternType="solid">
        <fgColor indexed="22"/>
        <bgColor indexed="64"/>
      </patternFill>
    </fill>
    <fill>
      <patternFill patternType="solid">
        <fgColor indexed="26"/>
        <bgColor indexed="64"/>
      </patternFill>
    </fill>
    <fill>
      <patternFill patternType="solid">
        <fgColor indexed="31"/>
        <bgColor indexed="64"/>
      </patternFill>
    </fill>
    <fill>
      <patternFill patternType="solid">
        <fgColor indexed="63"/>
        <bgColor indexed="64"/>
      </patternFill>
    </fill>
    <fill>
      <patternFill patternType="solid">
        <fgColor indexed="54"/>
        <bgColor indexed="64"/>
      </patternFill>
    </fill>
    <fill>
      <patternFill patternType="solid">
        <fgColor indexed="4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52"/>
        <bgColor indexed="64"/>
      </patternFill>
    </fill>
    <fill>
      <patternFill patternType="solid">
        <fgColor indexed="49"/>
        <bgColor indexed="64"/>
      </patternFill>
    </fill>
    <fill>
      <patternFill patternType="solid">
        <fgColor rgb="FFFFC000"/>
        <bgColor indexed="64"/>
      </patternFill>
    </fill>
    <fill>
      <patternFill patternType="solid">
        <fgColor rgb="FF00B0F0"/>
        <bgColor indexed="64"/>
      </patternFill>
    </fill>
    <fill>
      <patternFill patternType="solid">
        <fgColor indexed="55"/>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style="thin">
        <color indexed="8"/>
      </top>
      <bottom style="thin">
        <color indexed="8"/>
      </bottom>
      <diagonal/>
    </border>
    <border>
      <left/>
      <right/>
      <top/>
      <bottom style="medium">
        <color indexed="18"/>
      </bottom>
      <diagonal/>
    </border>
    <border>
      <left/>
      <right/>
      <top/>
      <bottom style="thick">
        <color indexed="8"/>
      </bottom>
      <diagonal/>
    </border>
    <border>
      <left/>
      <right/>
      <top/>
      <bottom style="thin">
        <color indexed="8"/>
      </bottom>
      <diagonal/>
    </border>
    <border>
      <left style="medium">
        <color indexed="9"/>
      </left>
      <right style="medium">
        <color indexed="9"/>
      </right>
      <top/>
      <bottom/>
      <diagonal/>
    </border>
    <border>
      <left/>
      <right/>
      <top/>
      <bottom style="thin">
        <color indexed="44"/>
      </bottom>
      <diagonal/>
    </border>
    <border>
      <left/>
      <right style="thin">
        <color indexed="8"/>
      </right>
      <top style="thin">
        <color indexed="8"/>
      </top>
      <bottom/>
      <diagonal/>
    </border>
  </borders>
  <cellStyleXfs count="491">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9" fontId="250" fillId="0" borderId="0" applyFont="0" applyFill="0" applyBorder="0" applyAlignment="0" applyProtection="0">
      <alignment vertical="center"/>
    </xf>
    <xf numFmtId="0" fontId="56" fillId="0" borderId="0"/>
    <xf numFmtId="0" fontId="56" fillId="0" borderId="0"/>
    <xf numFmtId="9" fontId="131" fillId="0" borderId="0" applyFont="0" applyFill="0" applyBorder="0" applyAlignment="0" applyProtection="0">
      <alignment vertical="center"/>
    </xf>
    <xf numFmtId="178" fontId="255" fillId="0" borderId="0" applyFont="0" applyFill="0" applyBorder="0" applyAlignment="0" applyProtection="0"/>
    <xf numFmtId="177" fontId="255" fillId="0" borderId="0" applyFont="0" applyFill="0" applyBorder="0" applyAlignment="0" applyProtection="0"/>
    <xf numFmtId="178" fontId="131" fillId="0" borderId="0" applyFont="0" applyFill="0" applyBorder="0" applyAlignment="0" applyProtection="0">
      <alignment vertical="center"/>
    </xf>
    <xf numFmtId="178" fontId="56" fillId="0" borderId="0" applyFont="0" applyFill="0" applyBorder="0" applyAlignment="0" applyProtection="0"/>
    <xf numFmtId="201" fontId="267" fillId="0" borderId="0"/>
    <xf numFmtId="202" fontId="268" fillId="0" borderId="0"/>
    <xf numFmtId="37" fontId="267" fillId="0" borderId="0"/>
    <xf numFmtId="203" fontId="267" fillId="0" borderId="0"/>
    <xf numFmtId="0" fontId="56" fillId="0" borderId="0"/>
    <xf numFmtId="0" fontId="56" fillId="0" borderId="0"/>
    <xf numFmtId="0" fontId="77" fillId="0" borderId="0"/>
    <xf numFmtId="49" fontId="257" fillId="0" borderId="0" applyProtection="0">
      <alignment horizontal="left"/>
    </xf>
    <xf numFmtId="204" fontId="77" fillId="0" borderId="0" applyFont="0" applyFill="0" applyBorder="0" applyAlignment="0" applyProtection="0"/>
    <xf numFmtId="205" fontId="77" fillId="0" borderId="0" applyFont="0" applyFill="0" applyBorder="0" applyAlignment="0" applyProtection="0"/>
    <xf numFmtId="0" fontId="77" fillId="0" borderId="0">
      <protection locked="0"/>
    </xf>
    <xf numFmtId="0" fontId="269" fillId="0" borderId="0"/>
    <xf numFmtId="0" fontId="269" fillId="0" borderId="0"/>
    <xf numFmtId="0" fontId="269" fillId="0" borderId="0"/>
    <xf numFmtId="37" fontId="73" fillId="3" borderId="56">
      <alignment horizontal="right"/>
    </xf>
    <xf numFmtId="0" fontId="77" fillId="0" borderId="0"/>
    <xf numFmtId="0" fontId="270" fillId="0" borderId="0"/>
    <xf numFmtId="0" fontId="77" fillId="0" borderId="0">
      <protection locked="0"/>
    </xf>
    <xf numFmtId="206" fontId="77" fillId="0" borderId="0" applyFont="0" applyFill="0" applyBorder="0" applyAlignment="0" applyProtection="0"/>
    <xf numFmtId="207" fontId="77" fillId="0" borderId="0" applyFont="0" applyFill="0" applyBorder="0" applyAlignment="0" applyProtection="0"/>
    <xf numFmtId="208" fontId="268" fillId="0" borderId="0" applyFont="0" applyFill="0" applyBorder="0" applyAlignment="0" applyProtection="0"/>
    <xf numFmtId="39" fontId="77" fillId="0" borderId="0" applyFont="0" applyFill="0" applyBorder="0" applyAlignment="0" applyProtection="0"/>
    <xf numFmtId="207" fontId="77" fillId="0" borderId="0" applyFont="0" applyFill="0" applyBorder="0" applyAlignment="0" applyProtection="0"/>
    <xf numFmtId="209" fontId="77" fillId="0" borderId="0" applyFont="0" applyFill="0" applyBorder="0" applyAlignment="0" applyProtection="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01" fontId="26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0" fontId="271" fillId="0" borderId="0" applyNumberFormat="0" applyFill="0" applyBorder="0" applyAlignment="0" applyProtection="0"/>
    <xf numFmtId="0" fontId="271" fillId="0" borderId="0" applyNumberFormat="0" applyFill="0" applyBorder="0" applyAlignment="0" applyProtection="0"/>
    <xf numFmtId="0" fontId="77" fillId="17" borderId="0" applyNumberFormat="0" applyFont="0" applyAlignment="0" applyProtection="0"/>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0" fontId="77" fillId="0" borderId="0"/>
    <xf numFmtId="211" fontId="77" fillId="0" borderId="0" applyFont="0" applyFill="0" applyBorder="0" applyAlignment="0" applyProtection="0"/>
    <xf numFmtId="212"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213" fontId="77" fillId="0" borderId="0" applyFont="0" applyFill="0" applyBorder="0" applyAlignment="0" applyProtection="0"/>
    <xf numFmtId="214" fontId="77" fillId="0" borderId="0" applyFont="0" applyFill="0" applyBorder="0" applyAlignment="0" applyProtection="0"/>
    <xf numFmtId="0" fontId="77" fillId="0" borderId="0">
      <protection locked="0"/>
    </xf>
    <xf numFmtId="0" fontId="77" fillId="0" borderId="0">
      <protection locked="0"/>
    </xf>
    <xf numFmtId="0" fontId="77" fillId="0" borderId="0">
      <protection locked="0"/>
    </xf>
    <xf numFmtId="0" fontId="272" fillId="0" borderId="0" applyNumberFormat="0" applyFill="0" applyBorder="0" applyProtection="0">
      <alignment vertical="top"/>
    </xf>
    <xf numFmtId="0" fontId="272" fillId="0" borderId="0" applyNumberFormat="0" applyFill="0" applyBorder="0" applyAlignment="0" applyProtection="0">
      <alignment vertical="top"/>
    </xf>
    <xf numFmtId="0" fontId="80" fillId="0" borderId="154" applyNumberFormat="0" applyFill="0" applyAlignment="0" applyProtection="0"/>
    <xf numFmtId="0" fontId="273" fillId="0" borderId="155" applyNumberFormat="0" applyFill="0" applyProtection="0">
      <alignment horizontal="center"/>
    </xf>
    <xf numFmtId="0" fontId="273" fillId="0" borderId="156" applyNumberFormat="0" applyFill="0" applyProtection="0">
      <alignment horizontal="center"/>
    </xf>
    <xf numFmtId="0" fontId="273" fillId="0" borderId="155" applyNumberFormat="0" applyFill="0" applyProtection="0">
      <alignment horizontal="center"/>
    </xf>
    <xf numFmtId="0" fontId="77" fillId="0" borderId="157" applyNumberFormat="0" applyFont="0" applyFill="0" applyAlignment="0" applyProtection="0"/>
    <xf numFmtId="0" fontId="273" fillId="0" borderId="0" applyNumberFormat="0" applyFill="0" applyBorder="0" applyProtection="0">
      <alignment horizontal="left"/>
    </xf>
    <xf numFmtId="0" fontId="273" fillId="0" borderId="0" applyNumberFormat="0" applyFill="0" applyBorder="0" applyProtection="0">
      <alignment horizontal="left"/>
    </xf>
    <xf numFmtId="0" fontId="274" fillId="0" borderId="0" applyNumberFormat="0" applyFill="0" applyProtection="0">
      <alignment horizontal="centerContinuous"/>
    </xf>
    <xf numFmtId="0" fontId="273" fillId="0" borderId="157" applyNumberFormat="0" applyFill="0" applyProtection="0">
      <alignment horizontal="centerContinuous"/>
    </xf>
    <xf numFmtId="0" fontId="274" fillId="0" borderId="0" applyNumberFormat="0" applyFill="0" applyBorder="0" applyProtection="0">
      <alignment horizontal="centerContinuous"/>
    </xf>
    <xf numFmtId="0" fontId="80" fillId="0" borderId="0" applyNumberFormat="0" applyFill="0" applyBorder="0" applyAlignment="0" applyProtection="0"/>
    <xf numFmtId="0" fontId="255" fillId="0" borderId="0"/>
    <xf numFmtId="0" fontId="77" fillId="0" borderId="0">
      <protection locked="0"/>
    </xf>
    <xf numFmtId="0" fontId="77" fillId="0" borderId="0"/>
    <xf numFmtId="0" fontId="255" fillId="0" borderId="0"/>
    <xf numFmtId="0" fontId="269" fillId="0" borderId="0"/>
    <xf numFmtId="0" fontId="77" fillId="0" borderId="0">
      <protection locked="0"/>
    </xf>
    <xf numFmtId="0" fontId="77" fillId="0" borderId="0"/>
    <xf numFmtId="0" fontId="71" fillId="0" borderId="0">
      <alignment vertical="top"/>
      <protection locked="0"/>
    </xf>
    <xf numFmtId="0" fontId="77" fillId="0" borderId="0"/>
    <xf numFmtId="0" fontId="77" fillId="0" borderId="0"/>
    <xf numFmtId="0" fontId="77" fillId="0" borderId="0" applyFont="0" applyFill="0" applyBorder="0" applyAlignment="0" applyProtection="0"/>
    <xf numFmtId="0" fontId="77" fillId="0" borderId="0"/>
    <xf numFmtId="0" fontId="255" fillId="0" borderId="0"/>
    <xf numFmtId="215" fontId="257" fillId="0" borderId="0" applyFill="0" applyBorder="0" applyProtection="0">
      <alignment horizontal="right"/>
    </xf>
    <xf numFmtId="216" fontId="257" fillId="0" borderId="0" applyFill="0" applyBorder="0" applyProtection="0">
      <alignment horizontal="right"/>
    </xf>
    <xf numFmtId="217" fontId="275" fillId="0" borderId="0" applyFill="0" applyBorder="0" applyProtection="0">
      <alignment horizontal="center"/>
    </xf>
    <xf numFmtId="218" fontId="275" fillId="0" borderId="0" applyFill="0" applyBorder="0" applyProtection="0">
      <alignment horizontal="center"/>
    </xf>
    <xf numFmtId="219" fontId="276" fillId="0" borderId="0" applyFill="0" applyBorder="0" applyProtection="0">
      <alignment horizontal="right"/>
    </xf>
    <xf numFmtId="220" fontId="257" fillId="0" borderId="0" applyFill="0" applyBorder="0" applyProtection="0">
      <alignment horizontal="right"/>
    </xf>
    <xf numFmtId="221" fontId="257" fillId="0" borderId="0" applyFill="0" applyBorder="0" applyProtection="0">
      <alignment horizontal="right"/>
    </xf>
    <xf numFmtId="222" fontId="257" fillId="0" borderId="0" applyFill="0" applyBorder="0" applyProtection="0">
      <alignment horizontal="right"/>
    </xf>
    <xf numFmtId="223" fontId="257" fillId="0" borderId="0" applyFill="0" applyBorder="0" applyProtection="0">
      <alignment horizontal="right"/>
    </xf>
    <xf numFmtId="0" fontId="255" fillId="0" borderId="0"/>
    <xf numFmtId="0" fontId="56" fillId="0" borderId="0"/>
    <xf numFmtId="0" fontId="56" fillId="0" borderId="0"/>
    <xf numFmtId="3" fontId="267" fillId="0" borderId="0"/>
    <xf numFmtId="224" fontId="77" fillId="0" borderId="0" applyBorder="0"/>
    <xf numFmtId="206" fontId="277" fillId="0" borderId="0"/>
    <xf numFmtId="37" fontId="257" fillId="0" borderId="0">
      <alignment horizontal="right"/>
    </xf>
    <xf numFmtId="225" fontId="278" fillId="0" borderId="0"/>
    <xf numFmtId="0" fontId="279" fillId="0" borderId="0" applyNumberFormat="0" applyFill="0" applyBorder="0" applyAlignment="0" applyProtection="0"/>
    <xf numFmtId="0" fontId="277" fillId="0" borderId="0" applyNumberFormat="0" applyFont="0" applyAlignment="0"/>
    <xf numFmtId="0" fontId="280" fillId="18" borderId="158">
      <alignment horizontal="center"/>
    </xf>
    <xf numFmtId="0" fontId="281" fillId="0" borderId="0" applyNumberFormat="0" applyFill="0" applyBorder="0" applyAlignment="0" applyProtection="0"/>
    <xf numFmtId="0" fontId="282" fillId="0" borderId="47" applyNumberFormat="0" applyFont="0" applyFill="0" applyAlignment="0" applyProtection="0"/>
    <xf numFmtId="0" fontId="282" fillId="0" borderId="159" applyNumberFormat="0" applyFont="0" applyFill="0" applyAlignment="0" applyProtection="0"/>
    <xf numFmtId="226" fontId="71" fillId="0" borderId="0" applyFill="0" applyBorder="0" applyAlignment="0"/>
    <xf numFmtId="227" fontId="77" fillId="0" borderId="0"/>
    <xf numFmtId="0" fontId="283" fillId="0" borderId="0" applyNumberFormat="0" applyFill="0" applyBorder="0" applyAlignment="0" applyProtection="0"/>
    <xf numFmtId="0" fontId="284" fillId="0" borderId="0" applyFill="0" applyBorder="0">
      <alignment horizontal="right"/>
    </xf>
    <xf numFmtId="0" fontId="255" fillId="0" borderId="0" applyFill="0" applyBorder="0">
      <alignment horizontal="right"/>
    </xf>
    <xf numFmtId="0" fontId="285" fillId="0" borderId="13">
      <alignment horizontal="center"/>
    </xf>
    <xf numFmtId="228" fontId="77" fillId="0" borderId="0"/>
    <xf numFmtId="228" fontId="77" fillId="0" borderId="0"/>
    <xf numFmtId="228" fontId="77" fillId="0" borderId="0"/>
    <xf numFmtId="228" fontId="77" fillId="0" borderId="0"/>
    <xf numFmtId="228" fontId="77" fillId="0" borderId="0"/>
    <xf numFmtId="228" fontId="77" fillId="0" borderId="0"/>
    <xf numFmtId="228" fontId="77" fillId="0" borderId="0"/>
    <xf numFmtId="228" fontId="77" fillId="0" borderId="0"/>
    <xf numFmtId="38" fontId="286" fillId="0" borderId="0" applyFont="0" applyFill="0" applyBorder="0" applyAlignment="0" applyProtection="0"/>
    <xf numFmtId="206" fontId="277" fillId="0" borderId="0"/>
    <xf numFmtId="43" fontId="257" fillId="0" borderId="0" applyFont="0" applyFill="0" applyBorder="0" applyAlignment="0" applyProtection="0"/>
    <xf numFmtId="229" fontId="257" fillId="0" borderId="0"/>
    <xf numFmtId="230" fontId="287" fillId="0" borderId="0" applyFont="0" applyFill="0" applyBorder="0" applyAlignment="0" applyProtection="0"/>
    <xf numFmtId="231" fontId="288" fillId="0" borderId="160">
      <protection locked="0"/>
    </xf>
    <xf numFmtId="232" fontId="287" fillId="0" borderId="0" applyFont="0" applyFill="0" applyBorder="0" applyAlignment="0" applyProtection="0"/>
    <xf numFmtId="233" fontId="268" fillId="0" borderId="0" applyFont="0" applyFill="0" applyBorder="0" applyProtection="0">
      <alignment horizontal="right"/>
    </xf>
    <xf numFmtId="234" fontId="285" fillId="0" borderId="0" applyFill="0" applyBorder="0">
      <alignment horizontal="right"/>
    </xf>
    <xf numFmtId="15" fontId="286" fillId="0" borderId="0"/>
    <xf numFmtId="235" fontId="77" fillId="0" borderId="0"/>
    <xf numFmtId="236" fontId="77" fillId="0" borderId="0"/>
    <xf numFmtId="0" fontId="281" fillId="0" borderId="0" applyNumberFormat="0" applyFill="0" applyBorder="0" applyAlignment="0" applyProtection="0"/>
    <xf numFmtId="0" fontId="289" fillId="0" borderId="0">
      <alignment horizontal="left"/>
    </xf>
    <xf numFmtId="0" fontId="277" fillId="2" borderId="1"/>
    <xf numFmtId="237" fontId="257" fillId="0" borderId="0" applyFont="0" applyFill="0" applyBorder="0" applyAlignment="0" applyProtection="0"/>
    <xf numFmtId="0" fontId="77" fillId="0" borderId="0"/>
    <xf numFmtId="238" fontId="278" fillId="0" borderId="0">
      <alignment horizontal="right"/>
    </xf>
    <xf numFmtId="0" fontId="77" fillId="0" borderId="0"/>
    <xf numFmtId="38" fontId="277" fillId="19" borderId="0" applyNumberFormat="0" applyBorder="0" applyAlignment="0" applyProtection="0"/>
    <xf numFmtId="239" fontId="77" fillId="20" borderId="1" applyNumberFormat="0" applyFont="0" applyAlignment="0"/>
    <xf numFmtId="0" fontId="290" fillId="0" borderId="0"/>
    <xf numFmtId="0" fontId="291" fillId="0" borderId="0" applyProtection="0">
      <alignment horizontal="right" vertical="top"/>
    </xf>
    <xf numFmtId="0" fontId="82" fillId="0" borderId="64" applyNumberFormat="0" applyAlignment="0" applyProtection="0">
      <alignment horizontal="left" vertical="center"/>
    </xf>
    <xf numFmtId="0" fontId="82" fillId="0" borderId="54">
      <alignment horizontal="left" vertical="center"/>
    </xf>
    <xf numFmtId="0" fontId="292" fillId="0" borderId="0" applyNumberFormat="0" applyFill="0" applyBorder="0" applyAlignment="0" applyProtection="0"/>
    <xf numFmtId="0" fontId="293" fillId="0" borderId="0" applyNumberFormat="0" applyFill="0" applyBorder="0" applyAlignment="0" applyProtection="0">
      <alignment vertical="top"/>
      <protection locked="0"/>
    </xf>
    <xf numFmtId="184" fontId="257" fillId="0" borderId="0" applyAlignment="0">
      <protection locked="0"/>
    </xf>
    <xf numFmtId="240" fontId="294" fillId="0" borderId="0"/>
    <xf numFmtId="241" fontId="294" fillId="0" borderId="0"/>
    <xf numFmtId="242" fontId="294" fillId="0" borderId="0"/>
    <xf numFmtId="10" fontId="277" fillId="3" borderId="1" applyNumberFormat="0" applyBorder="0" applyAlignment="0" applyProtection="0"/>
    <xf numFmtId="0" fontId="295" fillId="0" borderId="0" applyNumberFormat="0"/>
    <xf numFmtId="0" fontId="284" fillId="21" borderId="0" applyNumberFormat="0" applyFont="0" applyBorder="0" applyAlignment="0" applyProtection="0">
      <alignment horizontal="right"/>
    </xf>
    <xf numFmtId="38" fontId="296" fillId="0" borderId="0"/>
    <xf numFmtId="38" fontId="297" fillId="0" borderId="0"/>
    <xf numFmtId="38" fontId="298" fillId="0" borderId="0"/>
    <xf numFmtId="38" fontId="284" fillId="0" borderId="0"/>
    <xf numFmtId="0" fontId="278" fillId="0" borderId="0"/>
    <xf numFmtId="0" fontId="278" fillId="0" borderId="0"/>
    <xf numFmtId="0" fontId="255" fillId="0" borderId="0" applyFont="0" applyFill="0">
      <alignment horizontal="fill"/>
    </xf>
    <xf numFmtId="177" fontId="77" fillId="0" borderId="0" applyFont="0" applyFill="0" applyBorder="0" applyAlignment="0" applyProtection="0"/>
    <xf numFmtId="178" fontId="77" fillId="0" borderId="0" applyFont="0" applyFill="0" applyBorder="0" applyAlignment="0" applyProtection="0"/>
    <xf numFmtId="230" fontId="77" fillId="0" borderId="0" applyFont="0" applyFill="0" applyBorder="0" applyAlignment="0" applyProtection="0"/>
    <xf numFmtId="232" fontId="77" fillId="0" borderId="0" applyFont="0" applyFill="0" applyBorder="0" applyAlignment="0" applyProtection="0"/>
    <xf numFmtId="243" fontId="77" fillId="0" borderId="0"/>
    <xf numFmtId="0" fontId="257" fillId="0" borderId="0"/>
    <xf numFmtId="37" fontId="299" fillId="0" borderId="0"/>
    <xf numFmtId="244" fontId="77" fillId="0" borderId="0"/>
    <xf numFmtId="0" fontId="300" fillId="0" borderId="0"/>
    <xf numFmtId="240" fontId="301" fillId="0" borderId="0"/>
    <xf numFmtId="241" fontId="301" fillId="0" borderId="0"/>
    <xf numFmtId="242" fontId="301" fillId="0" borderId="0"/>
    <xf numFmtId="245" fontId="301" fillId="0" borderId="0">
      <alignment horizontal="right"/>
    </xf>
    <xf numFmtId="0" fontId="282" fillId="0" borderId="0"/>
    <xf numFmtId="0" fontId="302" fillId="0" borderId="0"/>
    <xf numFmtId="246" fontId="77" fillId="0" borderId="0"/>
    <xf numFmtId="40" fontId="303" fillId="3" borderId="0">
      <alignment horizontal="right"/>
    </xf>
    <xf numFmtId="0" fontId="304" fillId="0" borderId="0" applyFill="0" applyBorder="0" applyProtection="0">
      <alignment horizontal="left"/>
    </xf>
    <xf numFmtId="0" fontId="305" fillId="0" borderId="0" applyFill="0" applyBorder="0" applyProtection="0">
      <alignment horizontal="left"/>
    </xf>
    <xf numFmtId="247" fontId="77" fillId="0" borderId="0" applyFont="0" applyFill="0" applyBorder="0" applyAlignment="0"/>
    <xf numFmtId="248" fontId="77" fillId="0" borderId="0" applyFill="0" applyBorder="0"/>
    <xf numFmtId="10" fontId="77" fillId="0" borderId="0" applyFont="0" applyFill="0" applyBorder="0" applyAlignment="0" applyProtection="0"/>
    <xf numFmtId="249" fontId="268" fillId="0" borderId="0" applyFont="0" applyFill="0" applyBorder="0" applyProtection="0">
      <alignment horizontal="right"/>
    </xf>
    <xf numFmtId="184" fontId="270" fillId="0" borderId="0" applyFont="0" applyFill="0" applyBorder="0" applyAlignment="0" applyProtection="0"/>
    <xf numFmtId="9" fontId="257" fillId="0" borderId="0" applyFont="0" applyFill="0" applyBorder="0" applyAlignment="0" applyProtection="0"/>
    <xf numFmtId="0" fontId="277" fillId="19" borderId="1"/>
    <xf numFmtId="4" fontId="289" fillId="0" borderId="0">
      <alignment horizontal="right"/>
    </xf>
    <xf numFmtId="250" fontId="83" fillId="0" borderId="0" applyFont="0" applyFill="0" applyBorder="0" applyAlignment="0" applyProtection="0">
      <alignment horizontal="right"/>
    </xf>
    <xf numFmtId="37" fontId="73" fillId="3" borderId="56">
      <alignment horizontal="right"/>
    </xf>
    <xf numFmtId="4" fontId="306" fillId="0" borderId="0">
      <alignment horizontal="right"/>
    </xf>
    <xf numFmtId="0" fontId="56" fillId="0" borderId="0"/>
    <xf numFmtId="0" fontId="283" fillId="0" borderId="0" applyNumberFormat="0" applyFill="0" applyBorder="0" applyAlignment="0" applyProtection="0"/>
    <xf numFmtId="0" fontId="307" fillId="0" borderId="0">
      <alignment horizontal="left"/>
    </xf>
    <xf numFmtId="0" fontId="257" fillId="22" borderId="0" applyNumberFormat="0" applyFont="0" applyBorder="0" applyAlignment="0" applyProtection="0"/>
    <xf numFmtId="0" fontId="308" fillId="23" borderId="0" applyNumberFormat="0"/>
    <xf numFmtId="1" fontId="77" fillId="0" borderId="0"/>
    <xf numFmtId="0" fontId="77" fillId="0" borderId="0"/>
    <xf numFmtId="0" fontId="309" fillId="0" borderId="1">
      <alignment horizontal="center"/>
    </xf>
    <xf numFmtId="0" fontId="309" fillId="0" borderId="0">
      <alignment horizontal="center" vertical="center"/>
    </xf>
    <xf numFmtId="0" fontId="310" fillId="0" borderId="0" applyNumberFormat="0" applyFill="0">
      <alignment horizontal="left" vertical="center"/>
    </xf>
    <xf numFmtId="0" fontId="311" fillId="0" borderId="0" applyFill="0" applyBorder="0" applyProtection="0">
      <alignment horizontal="center" vertical="center"/>
    </xf>
    <xf numFmtId="0" fontId="311" fillId="0" borderId="0" applyFill="0" applyBorder="0" applyProtection="0"/>
    <xf numFmtId="0" fontId="79" fillId="0" borderId="0" applyFill="0" applyBorder="0" applyProtection="0">
      <alignment horizontal="left"/>
    </xf>
    <xf numFmtId="0" fontId="312" fillId="0" borderId="0" applyFill="0" applyBorder="0" applyProtection="0">
      <alignment horizontal="left" vertical="top"/>
    </xf>
    <xf numFmtId="0" fontId="313" fillId="0" borderId="0">
      <alignment horizontal="center"/>
    </xf>
    <xf numFmtId="251" fontId="268" fillId="0" borderId="0"/>
    <xf numFmtId="252" fontId="268" fillId="0" borderId="0" applyFont="0" applyFill="0" applyBorder="0" applyProtection="0">
      <alignment horizontal="right"/>
    </xf>
    <xf numFmtId="9" fontId="314" fillId="0" borderId="0" applyFont="0" applyFill="0" applyBorder="0" applyAlignment="0" applyProtection="0"/>
    <xf numFmtId="4" fontId="315" fillId="0" borderId="0">
      <alignment horizontal="right"/>
    </xf>
    <xf numFmtId="0" fontId="316" fillId="24" borderId="0" applyNumberFormat="0" applyBorder="0" applyAlignment="0" applyProtection="0">
      <alignment vertical="center"/>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40" fontId="319" fillId="0" borderId="0" applyFont="0" applyFill="0" applyBorder="0" applyAlignment="0" applyProtection="0"/>
    <xf numFmtId="38" fontId="319" fillId="0" borderId="0" applyFont="0" applyFill="0" applyBorder="0" applyAlignment="0" applyProtection="0"/>
    <xf numFmtId="0" fontId="320" fillId="0" borderId="0" applyNumberFormat="0" applyFill="0" applyBorder="0" applyAlignment="0" applyProtection="0"/>
    <xf numFmtId="0" fontId="56" fillId="0" borderId="0" applyNumberFormat="0" applyFill="0" applyBorder="0" applyAlignment="0" applyProtection="0"/>
    <xf numFmtId="0" fontId="319" fillId="0" borderId="0" applyFont="0" applyFill="0" applyBorder="0" applyAlignment="0" applyProtection="0"/>
    <xf numFmtId="0" fontId="319" fillId="0" borderId="0" applyFont="0" applyFill="0" applyBorder="0" applyAlignment="0" applyProtection="0"/>
    <xf numFmtId="0" fontId="321" fillId="0" borderId="0"/>
    <xf numFmtId="0" fontId="322" fillId="25" borderId="0" applyNumberFormat="0" applyBorder="0" applyAlignment="0" applyProtection="0">
      <alignment vertical="center"/>
    </xf>
    <xf numFmtId="4" fontId="270" fillId="0" borderId="0" applyFont="0" applyFill="0" applyBorder="0" applyAlignment="0" applyProtection="0"/>
    <xf numFmtId="177" fontId="77" fillId="0" borderId="0" applyFont="0" applyFill="0" applyBorder="0" applyAlignment="0" applyProtection="0"/>
    <xf numFmtId="49" fontId="323" fillId="0" borderId="0">
      <alignment horizontal="justify" vertical="center" wrapText="1"/>
    </xf>
    <xf numFmtId="253" fontId="324" fillId="0" borderId="0" applyFont="0" applyFill="0" applyBorder="0" applyAlignment="0" applyProtection="0"/>
    <xf numFmtId="254" fontId="324" fillId="0" borderId="0" applyFont="0" applyFill="0" applyBorder="0" applyAlignment="0" applyProtection="0"/>
    <xf numFmtId="0" fontId="77" fillId="0" borderId="0" applyFont="0" applyFill="0" applyBorder="0" applyAlignment="0" applyProtection="0"/>
    <xf numFmtId="0" fontId="77" fillId="0" borderId="0" applyFont="0" applyFill="0" applyBorder="0" applyAlignment="0" applyProtection="0"/>
    <xf numFmtId="0" fontId="325" fillId="0" borderId="0" applyFont="0" applyFill="0" applyBorder="0" applyAlignment="0" applyProtection="0"/>
    <xf numFmtId="0" fontId="325" fillId="0" borderId="0" applyFont="0" applyFill="0" applyBorder="0" applyAlignment="0" applyProtection="0"/>
    <xf numFmtId="0" fontId="326" fillId="0" borderId="0"/>
    <xf numFmtId="0" fontId="327" fillId="0" borderId="0" applyNumberFormat="0" applyFill="0" applyBorder="0" applyAlignment="0" applyProtection="0">
      <alignment vertical="top"/>
      <protection locked="0"/>
    </xf>
    <xf numFmtId="255" fontId="255" fillId="0" borderId="0" applyFont="0" applyFill="0" applyBorder="0" applyAlignment="0" applyProtection="0"/>
    <xf numFmtId="176" fontId="56" fillId="0" borderId="0" applyFont="0" applyFill="0" applyBorder="0" applyAlignment="0" applyProtection="0"/>
    <xf numFmtId="256" fontId="255" fillId="0" borderId="0" applyFont="0" applyFill="0" applyBorder="0" applyAlignment="0" applyProtection="0"/>
    <xf numFmtId="257" fontId="255" fillId="0" borderId="0" applyFont="0" applyFill="0" applyBorder="0" applyAlignment="0" applyProtection="0"/>
    <xf numFmtId="0" fontId="257" fillId="0" borderId="0"/>
    <xf numFmtId="177" fontId="257" fillId="0" borderId="0" applyFont="0" applyFill="0" applyBorder="0" applyAlignment="0" applyProtection="0"/>
    <xf numFmtId="178" fontId="257"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178" fontId="56" fillId="0" borderId="0" applyFont="0" applyFill="0" applyBorder="0" applyAlignment="0" applyProtection="0"/>
    <xf numFmtId="178" fontId="56" fillId="0" borderId="0" applyFont="0" applyFill="0" applyBorder="0" applyAlignment="0" applyProtection="0"/>
    <xf numFmtId="0" fontId="328" fillId="0" borderId="0"/>
    <xf numFmtId="0" fontId="329" fillId="0" borderId="0"/>
    <xf numFmtId="232" fontId="77" fillId="0" borderId="0" applyFont="0" applyFill="0" applyBorder="0" applyAlignment="0" applyProtection="0"/>
    <xf numFmtId="258" fontId="270" fillId="0" borderId="0" applyFont="0" applyFill="0" applyBorder="0" applyAlignment="0" applyProtection="0"/>
    <xf numFmtId="0" fontId="255" fillId="0" borderId="0"/>
    <xf numFmtId="0" fontId="77" fillId="0" borderId="0">
      <alignment vertical="top"/>
    </xf>
    <xf numFmtId="0" fontId="77" fillId="0" borderId="0">
      <alignment vertical="top"/>
    </xf>
    <xf numFmtId="0" fontId="324" fillId="0" borderId="0"/>
    <xf numFmtId="0" fontId="56" fillId="0" borderId="0"/>
  </cellStyleXfs>
  <cellXfs count="396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9"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9"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9"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9" fontId="32" fillId="6" borderId="20" xfId="1" applyNumberFormat="1" applyFont="1" applyFill="1" applyBorder="1" applyAlignment="1" applyProtection="1">
      <alignment horizontal="center" vertical="center"/>
    </xf>
    <xf numFmtId="179"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80"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3"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82"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80"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82"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9" fontId="30" fillId="6" borderId="6" xfId="1" applyNumberFormat="1" applyFont="1" applyFill="1" applyBorder="1" applyAlignment="1" applyProtection="1">
      <alignment vertical="center" wrapText="1"/>
    </xf>
    <xf numFmtId="179" fontId="30" fillId="6" borderId="23" xfId="1" applyNumberFormat="1" applyFont="1" applyFill="1" applyBorder="1" applyAlignment="1" applyProtection="1">
      <alignment vertical="center" wrapText="1"/>
    </xf>
    <xf numFmtId="179" fontId="25" fillId="6" borderId="23" xfId="1" applyNumberFormat="1" applyFont="1" applyFill="1" applyBorder="1" applyAlignment="1" applyProtection="1">
      <alignment vertical="center" wrapText="1"/>
    </xf>
    <xf numFmtId="179"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92" fontId="30" fillId="0" borderId="0" xfId="0" applyNumberFormat="1" applyFont="1" applyFill="1" applyAlignment="1" applyProtection="1">
      <alignment horizontal="center" vertical="center"/>
      <protection locked="0"/>
    </xf>
    <xf numFmtId="184"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92"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92"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4" fontId="30" fillId="6" borderId="5" xfId="0" applyNumberFormat="1" applyFont="1" applyFill="1" applyBorder="1" applyAlignment="1" applyProtection="1">
      <alignment horizontal="center" vertical="center"/>
    </xf>
    <xf numFmtId="184"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92"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wrapText="1"/>
    </xf>
    <xf numFmtId="179" fontId="11" fillId="6" borderId="3" xfId="0" applyNumberFormat="1" applyFont="1" applyFill="1" applyBorder="1" applyAlignment="1" applyProtection="1">
      <alignment horizontal="center" vertical="center" wrapText="1"/>
    </xf>
    <xf numFmtId="179"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82"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82" fontId="11" fillId="6" borderId="54" xfId="0" applyNumberFormat="1" applyFont="1" applyFill="1" applyBorder="1" applyAlignment="1" applyProtection="1">
      <alignment horizontal="center" vertical="center"/>
    </xf>
    <xf numFmtId="182"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82"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2"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82"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82"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82" fontId="11" fillId="6" borderId="7" xfId="0" applyNumberFormat="1" applyFont="1" applyFill="1" applyBorder="1" applyAlignment="1" applyProtection="1">
      <alignment horizontal="center" vertical="center" wrapText="1"/>
    </xf>
    <xf numFmtId="182" fontId="11" fillId="6" borderId="2" xfId="0" applyNumberFormat="1" applyFont="1" applyFill="1" applyBorder="1" applyAlignment="1" applyProtection="1">
      <alignment horizontal="center" vertical="center" wrapText="1"/>
    </xf>
    <xf numFmtId="182"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82"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82" fontId="71" fillId="0" borderId="1" xfId="0" applyNumberFormat="1" applyFont="1" applyBorder="1" applyAlignment="1" applyProtection="1">
      <alignment horizontal="center" vertical="center" wrapText="1"/>
      <protection locked="0"/>
    </xf>
    <xf numFmtId="182"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9"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9" fontId="71" fillId="6" borderId="9" xfId="0" applyNumberFormat="1" applyFont="1" applyFill="1" applyBorder="1" applyAlignment="1" applyProtection="1">
      <alignment horizontal="center" vertical="center" wrapText="1"/>
    </xf>
    <xf numFmtId="179" fontId="71" fillId="6" borderId="10" xfId="0" applyNumberFormat="1" applyFont="1" applyFill="1" applyBorder="1" applyAlignment="1" applyProtection="1">
      <alignment horizontal="center" vertical="center" wrapText="1"/>
    </xf>
    <xf numFmtId="179" fontId="71" fillId="6" borderId="13" xfId="0" applyNumberFormat="1" applyFont="1" applyFill="1" applyBorder="1" applyAlignment="1" applyProtection="1">
      <alignment horizontal="center" vertical="center" wrapText="1"/>
    </xf>
    <xf numFmtId="179" fontId="71" fillId="6" borderId="23" xfId="0" applyNumberFormat="1" applyFont="1" applyFill="1" applyBorder="1" applyAlignment="1" applyProtection="1">
      <alignment horizontal="center" vertical="center" wrapText="1"/>
    </xf>
    <xf numFmtId="179"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9" fontId="71" fillId="0" borderId="2" xfId="0" applyNumberFormat="1" applyFont="1" applyFill="1" applyBorder="1" applyAlignment="1" applyProtection="1">
      <alignment horizontal="center" vertical="center" wrapText="1"/>
      <protection locked="0"/>
    </xf>
    <xf numFmtId="179"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9" fontId="68" fillId="6" borderId="1" xfId="0" applyNumberFormat="1" applyFont="1" applyFill="1" applyBorder="1" applyAlignment="1" applyProtection="1">
      <alignment horizontal="center" vertical="center" wrapText="1"/>
    </xf>
    <xf numFmtId="179" fontId="68" fillId="0" borderId="2" xfId="0" applyNumberFormat="1" applyFont="1" applyFill="1" applyBorder="1" applyAlignment="1" applyProtection="1">
      <alignment horizontal="center" vertical="center" wrapText="1"/>
      <protection locked="0"/>
    </xf>
    <xf numFmtId="179" fontId="68" fillId="6" borderId="2" xfId="0" applyNumberFormat="1" applyFont="1" applyFill="1" applyBorder="1" applyAlignment="1" applyProtection="1">
      <alignment horizontal="center" vertical="center" wrapText="1"/>
    </xf>
    <xf numFmtId="179" fontId="68" fillId="6" borderId="13" xfId="0" applyNumberFormat="1" applyFont="1" applyFill="1" applyBorder="1" applyAlignment="1" applyProtection="1">
      <alignment horizontal="center" vertical="center" wrapText="1"/>
    </xf>
    <xf numFmtId="179" fontId="68" fillId="0" borderId="1" xfId="0" applyNumberFormat="1" applyFont="1" applyBorder="1" applyAlignment="1" applyProtection="1">
      <alignment vertical="center" wrapText="1"/>
      <protection locked="0"/>
    </xf>
    <xf numFmtId="179" fontId="68" fillId="0" borderId="1"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9" fontId="68" fillId="6" borderId="24" xfId="0" applyNumberFormat="1" applyFont="1" applyFill="1" applyBorder="1" applyAlignment="1" applyProtection="1">
      <alignment horizontal="center" vertical="center" wrapText="1"/>
    </xf>
    <xf numFmtId="179"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9"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82"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9"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80"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80"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82" fontId="75" fillId="6" borderId="1" xfId="1" applyNumberFormat="1" applyFont="1" applyFill="1" applyBorder="1" applyAlignment="1" applyProtection="1">
      <alignment horizontal="center" vertical="center"/>
    </xf>
    <xf numFmtId="183" fontId="75" fillId="6" borderId="1" xfId="1"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82"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4" fontId="68" fillId="0" borderId="1" xfId="0" applyNumberFormat="1" applyFont="1" applyBorder="1" applyAlignment="1" applyProtection="1">
      <alignment vertical="center"/>
      <protection locked="0"/>
    </xf>
    <xf numFmtId="184"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4"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6" fontId="68" fillId="0" borderId="1" xfId="0" applyNumberFormat="1" applyFont="1" applyBorder="1" applyAlignment="1" applyProtection="1">
      <alignment horizontal="center" vertical="center"/>
      <protection locked="0"/>
    </xf>
    <xf numFmtId="184"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80"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6" fontId="68" fillId="0" borderId="1" xfId="0" applyNumberFormat="1" applyFont="1" applyFill="1" applyBorder="1" applyAlignment="1" applyProtection="1">
      <alignment horizontal="center" vertical="center"/>
      <protection locked="0"/>
    </xf>
    <xf numFmtId="184"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4"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9"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82"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9" fontId="75" fillId="0" borderId="10" xfId="1" applyNumberFormat="1" applyFont="1" applyFill="1" applyBorder="1" applyAlignment="1" applyProtection="1">
      <alignment horizontal="center" vertical="center"/>
      <protection locked="0"/>
    </xf>
    <xf numFmtId="179" fontId="68" fillId="0" borderId="24" xfId="1" applyNumberFormat="1" applyFont="1" applyFill="1" applyBorder="1" applyAlignment="1" applyProtection="1">
      <alignment horizontal="center" vertical="center"/>
      <protection locked="0"/>
    </xf>
    <xf numFmtId="179" fontId="75" fillId="6" borderId="24" xfId="1" applyNumberFormat="1" applyFont="1" applyFill="1" applyBorder="1" applyAlignment="1" applyProtection="1">
      <alignment horizontal="center" vertical="center"/>
    </xf>
    <xf numFmtId="179"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4" fontId="71" fillId="0" borderId="24" xfId="0" applyNumberFormat="1" applyFont="1" applyFill="1" applyBorder="1" applyAlignment="1" applyProtection="1">
      <alignment horizontal="center" vertical="center"/>
      <protection locked="0"/>
    </xf>
    <xf numFmtId="184" fontId="71" fillId="0" borderId="49"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6"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81"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82"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80"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80"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80"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80"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80"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80"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4"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4"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4"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80"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80"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80" fontId="77" fillId="0" borderId="1" xfId="1" applyNumberFormat="1" applyFont="1" applyFill="1" applyBorder="1" applyAlignment="1" applyProtection="1">
      <alignment horizontal="center"/>
      <protection locked="0"/>
    </xf>
    <xf numFmtId="182"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80"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80"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80"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82"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82"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80"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80"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80" fontId="79" fillId="6" borderId="1" xfId="0" applyNumberFormat="1" applyFont="1" applyFill="1" applyBorder="1" applyAlignment="1" applyProtection="1">
      <alignment horizontal="center" vertical="center"/>
    </xf>
    <xf numFmtId="184"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8"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80"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4" fontId="77" fillId="6" borderId="1" xfId="0" applyNumberFormat="1" applyFont="1" applyFill="1" applyBorder="1" applyAlignment="1" applyProtection="1">
      <alignment horizontal="center"/>
    </xf>
    <xf numFmtId="184"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9" fontId="139" fillId="6" borderId="1" xfId="0" applyNumberFormat="1" applyFont="1" applyFill="1" applyBorder="1" applyAlignment="1" applyProtection="1">
      <alignment horizontal="center" vertical="center"/>
    </xf>
    <xf numFmtId="179" fontId="139" fillId="6" borderId="24" xfId="0" applyNumberFormat="1" applyFont="1" applyFill="1" applyBorder="1" applyAlignment="1" applyProtection="1">
      <alignment horizontal="center" vertical="center"/>
    </xf>
    <xf numFmtId="180"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80" fontId="70" fillId="6" borderId="1" xfId="1" applyNumberFormat="1" applyFont="1" applyFill="1" applyBorder="1" applyAlignment="1" applyProtection="1">
      <alignment vertical="center"/>
    </xf>
    <xf numFmtId="180"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90" fontId="71" fillId="6" borderId="1" xfId="0" applyNumberFormat="1" applyFont="1" applyFill="1" applyBorder="1" applyAlignment="1" applyProtection="1">
      <alignment horizontal="center" vertical="center"/>
    </xf>
    <xf numFmtId="180"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0"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80"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80"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4"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4"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4"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2"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4"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4" fontId="71" fillId="6" borderId="24" xfId="0" applyNumberFormat="1" applyFont="1" applyFill="1" applyBorder="1" applyAlignment="1" applyProtection="1">
      <alignment horizontal="center" vertical="center"/>
    </xf>
    <xf numFmtId="184"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6"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82"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82"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9"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4"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7"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7"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9"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9"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9" fontId="74" fillId="6" borderId="47" xfId="0" applyNumberFormat="1" applyFont="1" applyFill="1" applyBorder="1" applyAlignment="1" applyProtection="1">
      <alignment vertical="center" wrapText="1"/>
    </xf>
    <xf numFmtId="192" fontId="75" fillId="0" borderId="0" xfId="0" applyNumberFormat="1" applyFont="1" applyFill="1" applyAlignment="1" applyProtection="1">
      <alignment horizontal="center" vertical="center"/>
      <protection locked="0"/>
    </xf>
    <xf numFmtId="184"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4" fontId="75" fillId="6" borderId="5" xfId="0" applyNumberFormat="1" applyFont="1" applyFill="1" applyBorder="1" applyAlignment="1" applyProtection="1">
      <alignment horizontal="center" vertical="center"/>
    </xf>
    <xf numFmtId="184"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9" fontId="82" fillId="6" borderId="13" xfId="0" applyNumberFormat="1" applyFont="1" applyFill="1" applyBorder="1" applyAlignment="1" applyProtection="1">
      <alignment horizontal="right" vertical="center"/>
    </xf>
    <xf numFmtId="192"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92" fontId="75" fillId="3" borderId="3" xfId="0" applyNumberFormat="1" applyFont="1" applyFill="1" applyBorder="1" applyAlignment="1" applyProtection="1">
      <alignment horizontal="center" vertical="center"/>
      <protection locked="0"/>
    </xf>
    <xf numFmtId="192" fontId="75" fillId="3" borderId="3" xfId="0" applyNumberFormat="1" applyFont="1" applyFill="1" applyBorder="1" applyAlignment="1" applyProtection="1">
      <alignment horizontal="center" vertical="center" wrapText="1"/>
      <protection locked="0"/>
    </xf>
    <xf numFmtId="192"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7" fontId="25" fillId="6" borderId="26" xfId="0" applyNumberFormat="1" applyFont="1" applyFill="1" applyBorder="1" applyAlignment="1" applyProtection="1">
      <alignment horizontal="center" vertical="center" wrapText="1"/>
    </xf>
    <xf numFmtId="187" fontId="25" fillId="0" borderId="70" xfId="0" applyNumberFormat="1" applyFont="1" applyFill="1" applyBorder="1" applyAlignment="1" applyProtection="1">
      <alignment horizontal="center" vertical="center" wrapText="1"/>
      <protection locked="0"/>
    </xf>
    <xf numFmtId="187"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80"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9"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9"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80"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82"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80"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9"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9"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82" fontId="11" fillId="6" borderId="0" xfId="0" applyNumberFormat="1" applyFont="1" applyFill="1" applyBorder="1" applyAlignment="1" applyProtection="1">
      <alignment horizontal="center" vertical="center" wrapText="1"/>
    </xf>
    <xf numFmtId="182"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9"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9"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82"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82"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82" fontId="70" fillId="6" borderId="66" xfId="0" applyNumberFormat="1" applyFont="1" applyFill="1" applyBorder="1" applyAlignment="1" applyProtection="1">
      <alignment vertical="center"/>
    </xf>
    <xf numFmtId="182" fontId="70" fillId="6" borderId="32" xfId="0" applyNumberFormat="1" applyFont="1" applyFill="1" applyBorder="1" applyAlignment="1" applyProtection="1">
      <alignment vertical="center"/>
    </xf>
    <xf numFmtId="182"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82"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82"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80"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9"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82"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82"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92" fontId="87" fillId="6" borderId="36" xfId="0" applyNumberFormat="1" applyFont="1" applyFill="1" applyBorder="1" applyAlignment="1" applyProtection="1">
      <alignment horizontal="center" vertical="center"/>
    </xf>
    <xf numFmtId="184"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9"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92" fontId="75" fillId="6" borderId="0" xfId="0" applyNumberFormat="1" applyFont="1" applyFill="1" applyBorder="1" applyAlignment="1" applyProtection="1">
      <alignment horizontal="center"/>
    </xf>
    <xf numFmtId="184"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91"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91"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91"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91"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91"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91"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92"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92" fontId="30" fillId="6" borderId="48" xfId="0" applyNumberFormat="1" applyFont="1" applyFill="1" applyBorder="1" applyAlignment="1" applyProtection="1">
      <alignment horizontal="center" vertical="center" wrapText="1"/>
    </xf>
    <xf numFmtId="192"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92"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92" fontId="30" fillId="6" borderId="3" xfId="0" applyNumberFormat="1" applyFont="1" applyFill="1" applyBorder="1" applyAlignment="1" applyProtection="1">
      <alignment horizontal="center" vertical="center"/>
    </xf>
    <xf numFmtId="192" fontId="30" fillId="6" borderId="3" xfId="0" applyNumberFormat="1" applyFont="1" applyFill="1" applyBorder="1" applyAlignment="1" applyProtection="1">
      <alignment horizontal="center" vertical="center" wrapText="1"/>
    </xf>
    <xf numFmtId="192"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92" fontId="75" fillId="6" borderId="3" xfId="0" applyNumberFormat="1" applyFont="1" applyFill="1" applyBorder="1" applyAlignment="1" applyProtection="1">
      <alignment horizontal="center" vertical="center"/>
    </xf>
    <xf numFmtId="192" fontId="75" fillId="6" borderId="3" xfId="0" applyNumberFormat="1" applyFont="1" applyFill="1" applyBorder="1" applyAlignment="1" applyProtection="1">
      <alignment horizontal="center" vertical="center" wrapText="1"/>
    </xf>
    <xf numFmtId="192"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9" fontId="11" fillId="0" borderId="1" xfId="0" applyNumberFormat="1" applyFont="1" applyBorder="1" applyAlignment="1" applyProtection="1">
      <alignment vertical="center" wrapText="1"/>
      <protection locked="0"/>
    </xf>
    <xf numFmtId="179" fontId="11" fillId="0" borderId="1" xfId="0" applyNumberFormat="1" applyFont="1" applyBorder="1" applyAlignment="1" applyProtection="1">
      <alignment horizontal="center" vertical="center" wrapText="1"/>
      <protection locked="0"/>
    </xf>
    <xf numFmtId="179" fontId="11" fillId="0" borderId="2" xfId="0" applyNumberFormat="1" applyFont="1" applyBorder="1" applyAlignment="1" applyProtection="1">
      <alignment horizontal="center" vertical="center" wrapText="1"/>
      <protection locked="0"/>
    </xf>
    <xf numFmtId="180"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4"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82"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4" fontId="139" fillId="0" borderId="1" xfId="0" applyNumberFormat="1" applyFont="1" applyFill="1" applyBorder="1" applyAlignment="1" applyProtection="1">
      <alignment horizontal="center" vertical="center"/>
      <protection locked="0"/>
    </xf>
    <xf numFmtId="180"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4" fontId="71" fillId="0" borderId="1" xfId="0" applyNumberFormat="1" applyFont="1" applyBorder="1" applyAlignment="1" applyProtection="1">
      <alignment vertical="center"/>
      <protection locked="0"/>
    </xf>
    <xf numFmtId="184"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6" fontId="71" fillId="0" borderId="1" xfId="0" applyNumberFormat="1" applyFont="1" applyBorder="1" applyAlignment="1" applyProtection="1">
      <alignment horizontal="center" vertical="center"/>
      <protection locked="0"/>
    </xf>
    <xf numFmtId="184"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90"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90"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1" fontId="0" fillId="6" borderId="9" xfId="0" applyNumberFormat="1" applyFill="1" applyBorder="1" applyAlignment="1" applyProtection="1">
      <alignment horizontal="center" vertical="center"/>
    </xf>
    <xf numFmtId="181" fontId="0" fillId="6" borderId="28" xfId="0" applyNumberFormat="1" applyFill="1" applyBorder="1" applyAlignment="1" applyProtection="1">
      <alignment horizontal="center" vertical="center"/>
    </xf>
    <xf numFmtId="181"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1" fontId="0" fillId="6" borderId="1" xfId="0" applyNumberFormat="1" applyFill="1" applyBorder="1" applyAlignment="1" applyProtection="1">
      <alignment horizontal="center" vertical="center"/>
    </xf>
    <xf numFmtId="181" fontId="0" fillId="6" borderId="5" xfId="0" applyNumberFormat="1" applyFill="1" applyBorder="1" applyAlignment="1" applyProtection="1">
      <alignment horizontal="center" vertical="center"/>
    </xf>
    <xf numFmtId="181"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1" fontId="0" fillId="6" borderId="33" xfId="0" applyNumberFormat="1" applyFill="1" applyBorder="1" applyAlignment="1" applyProtection="1">
      <alignment horizontal="center" vertical="center"/>
    </xf>
    <xf numFmtId="181" fontId="0" fillId="6" borderId="32" xfId="0" applyNumberFormat="1" applyFill="1" applyBorder="1" applyAlignment="1" applyProtection="1">
      <alignment horizontal="center" vertical="center"/>
    </xf>
    <xf numFmtId="181"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9" fontId="156" fillId="6" borderId="1" xfId="0" applyNumberFormat="1" applyFont="1" applyFill="1" applyBorder="1" applyAlignment="1" applyProtection="1">
      <alignment horizontal="center" vertical="center"/>
    </xf>
    <xf numFmtId="190" fontId="156" fillId="6" borderId="1" xfId="0" applyNumberFormat="1" applyFont="1" applyFill="1" applyBorder="1" applyAlignment="1" applyProtection="1">
      <alignment horizontal="center" vertical="center"/>
    </xf>
    <xf numFmtId="180" fontId="164" fillId="6" borderId="1" xfId="0" applyNumberFormat="1" applyFont="1" applyFill="1" applyBorder="1" applyAlignment="1" applyProtection="1">
      <alignment horizontal="center" vertical="center"/>
    </xf>
    <xf numFmtId="190" fontId="164" fillId="6" borderId="1" xfId="0" applyNumberFormat="1" applyFont="1" applyFill="1" applyBorder="1" applyAlignment="1" applyProtection="1">
      <alignment horizontal="center" vertical="center" wrapText="1"/>
    </xf>
    <xf numFmtId="189" fontId="156" fillId="6" borderId="2" xfId="0" applyNumberFormat="1" applyFont="1" applyFill="1" applyBorder="1" applyAlignment="1" applyProtection="1">
      <alignment horizontal="center" vertical="center" wrapText="1"/>
    </xf>
    <xf numFmtId="182" fontId="164" fillId="6" borderId="1" xfId="0" applyNumberFormat="1" applyFont="1" applyFill="1" applyBorder="1" applyAlignment="1" applyProtection="1">
      <alignment horizontal="center" vertical="center"/>
    </xf>
    <xf numFmtId="182"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2"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2" fontId="112" fillId="6" borderId="1" xfId="3" applyNumberFormat="1" applyFont="1" applyFill="1" applyBorder="1" applyAlignment="1" applyProtection="1">
      <alignment horizontal="center" vertical="center" wrapText="1"/>
    </xf>
    <xf numFmtId="182"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82"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90"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90"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90" fontId="13" fillId="6" borderId="15" xfId="0" applyNumberFormat="1" applyFont="1" applyFill="1" applyBorder="1" applyAlignment="1" applyProtection="1">
      <alignment horizontal="center" vertical="center" wrapText="1"/>
    </xf>
    <xf numFmtId="190"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4"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80"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9" fontId="71" fillId="0" borderId="1" xfId="0" applyNumberFormat="1" applyFont="1" applyFill="1" applyBorder="1" applyAlignment="1" applyProtection="1">
      <alignment horizontal="center" vertical="center"/>
      <protection locked="0"/>
    </xf>
    <xf numFmtId="189"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9"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82" fontId="71" fillId="6" borderId="1" xfId="1" applyNumberFormat="1" applyFont="1" applyFill="1" applyBorder="1" applyAlignment="1" applyProtection="1">
      <alignment horizontal="center" vertical="center"/>
    </xf>
    <xf numFmtId="184"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80"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80"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80"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9" fontId="71" fillId="3" borderId="0" xfId="0" applyNumberFormat="1" applyFont="1" applyFill="1" applyAlignment="1" applyProtection="1">
      <alignment horizontal="center" vertical="center"/>
      <protection locked="0"/>
    </xf>
    <xf numFmtId="189"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9" fontId="139" fillId="0" borderId="13" xfId="0" applyNumberFormat="1" applyFont="1" applyFill="1" applyBorder="1" applyAlignment="1" applyProtection="1">
      <alignment horizontal="center" vertical="center"/>
      <protection locked="0"/>
    </xf>
    <xf numFmtId="189" fontId="71" fillId="0" borderId="13" xfId="0" applyNumberFormat="1" applyFont="1" applyFill="1" applyBorder="1" applyAlignment="1" applyProtection="1">
      <alignment horizontal="center" vertical="center"/>
      <protection locked="0"/>
    </xf>
    <xf numFmtId="189"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9"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80"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80"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80" fontId="70" fillId="6" borderId="33" xfId="0" applyNumberFormat="1" applyFont="1" applyFill="1" applyBorder="1" applyAlignment="1" applyProtection="1">
      <alignment vertical="center"/>
    </xf>
    <xf numFmtId="180" fontId="70" fillId="6" borderId="52" xfId="0" applyNumberFormat="1" applyFont="1" applyFill="1" applyBorder="1" applyAlignment="1" applyProtection="1">
      <alignment vertical="center"/>
    </xf>
    <xf numFmtId="180"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7"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7"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7"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7"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6"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7" fontId="71" fillId="0" borderId="1" xfId="0" applyNumberFormat="1" applyFont="1" applyFill="1" applyBorder="1" applyAlignment="1" applyProtection="1">
      <alignment horizontal="center" vertical="center" shrinkToFit="1"/>
      <protection locked="0"/>
    </xf>
    <xf numFmtId="187" fontId="71" fillId="6" borderId="1" xfId="0" applyNumberFormat="1" applyFont="1" applyFill="1" applyBorder="1" applyAlignment="1" applyProtection="1">
      <alignment horizontal="center" vertical="center"/>
    </xf>
    <xf numFmtId="182" fontId="86" fillId="6" borderId="1" xfId="0" applyNumberFormat="1" applyFont="1" applyFill="1" applyBorder="1" applyAlignment="1" applyProtection="1">
      <alignment horizontal="center" vertical="center" wrapText="1"/>
    </xf>
    <xf numFmtId="180"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80"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7"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9" fontId="32" fillId="6" borderId="29" xfId="1" applyNumberFormat="1" applyFont="1" applyFill="1" applyBorder="1" applyAlignment="1" applyProtection="1">
      <alignment horizontal="center" vertical="center"/>
    </xf>
    <xf numFmtId="179"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4"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4"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80" fontId="27" fillId="6" borderId="58" xfId="0" applyNumberFormat="1" applyFont="1" applyFill="1" applyBorder="1" applyAlignment="1" applyProtection="1">
      <alignment horizontal="center" vertical="center" wrapText="1"/>
    </xf>
    <xf numFmtId="182"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7"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90"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81" fontId="83" fillId="6" borderId="24" xfId="0" applyNumberFormat="1" applyFont="1" applyFill="1" applyBorder="1" applyAlignment="1" applyProtection="1">
      <alignment horizontal="center" vertical="center"/>
    </xf>
    <xf numFmtId="181"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81"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80"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92" fontId="75" fillId="6" borderId="0" xfId="0" applyNumberFormat="1"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9"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82"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82"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82"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82"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80"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92" fontId="23" fillId="6" borderId="0" xfId="0" applyNumberFormat="1" applyFont="1" applyFill="1" applyBorder="1" applyAlignment="1" applyProtection="1">
      <alignment horizontal="center" vertical="center"/>
      <protection locked="0"/>
    </xf>
    <xf numFmtId="184"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4"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4" fontId="25" fillId="6" borderId="0" xfId="0" applyNumberFormat="1" applyFont="1" applyFill="1" applyBorder="1" applyAlignment="1" applyProtection="1">
      <alignment horizontal="center" vertical="center" wrapText="1"/>
      <protection locked="0"/>
    </xf>
    <xf numFmtId="184"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4" fontId="31" fillId="6" borderId="0" xfId="0" applyNumberFormat="1" applyFont="1" applyFill="1" applyBorder="1" applyAlignment="1" applyProtection="1">
      <alignment horizontal="center" vertical="center" wrapText="1"/>
      <protection locked="0"/>
    </xf>
    <xf numFmtId="184"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4"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92" fontId="30" fillId="6" borderId="0" xfId="0" applyNumberFormat="1" applyFont="1" applyFill="1" applyAlignment="1" applyProtection="1">
      <alignment horizontal="center" vertical="center"/>
      <protection locked="0"/>
    </xf>
    <xf numFmtId="184" fontId="30" fillId="6" borderId="0" xfId="0" applyNumberFormat="1" applyFont="1" applyFill="1" applyAlignment="1" applyProtection="1">
      <alignment horizontal="center" vertical="center"/>
      <protection locked="0"/>
    </xf>
    <xf numFmtId="192" fontId="35" fillId="6" borderId="0" xfId="0" applyNumberFormat="1" applyFont="1" applyFill="1" applyAlignment="1" applyProtection="1">
      <alignment horizontal="center" vertical="center"/>
      <protection locked="0"/>
    </xf>
    <xf numFmtId="184"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92" fontId="30" fillId="6" borderId="0" xfId="0" applyNumberFormat="1" applyFont="1" applyFill="1" applyBorder="1" applyAlignment="1" applyProtection="1">
      <alignment horizontal="center"/>
      <protection locked="0"/>
    </xf>
    <xf numFmtId="184"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9"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4"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92"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92" fontId="87" fillId="6" borderId="0" xfId="0" applyNumberFormat="1" applyFont="1" applyFill="1" applyBorder="1" applyAlignment="1" applyProtection="1">
      <alignment horizontal="center" vertical="center"/>
      <protection locked="0"/>
    </xf>
    <xf numFmtId="184"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4"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4"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4"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4"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92" fontId="99" fillId="6" borderId="0" xfId="0" applyNumberFormat="1" applyFont="1" applyFill="1" applyAlignment="1" applyProtection="1">
      <alignment horizontal="center" vertical="center"/>
      <protection locked="0"/>
    </xf>
    <xf numFmtId="184" fontId="99" fillId="6" borderId="0" xfId="0" applyNumberFormat="1" applyFont="1" applyFill="1" applyAlignment="1" applyProtection="1">
      <alignment horizontal="center" vertical="center"/>
      <protection locked="0"/>
    </xf>
    <xf numFmtId="179"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92" fontId="75" fillId="0" borderId="0" xfId="0" applyNumberFormat="1" applyFont="1" applyFill="1" applyAlignment="1" applyProtection="1">
      <alignment horizontal="center" vertical="center"/>
    </xf>
    <xf numFmtId="184"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92" fontId="75" fillId="6" borderId="0" xfId="0" applyNumberFormat="1" applyFont="1" applyFill="1" applyBorder="1" applyAlignment="1" applyProtection="1">
      <alignment horizontal="center"/>
      <protection locked="0"/>
    </xf>
    <xf numFmtId="184"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7"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9"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80"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80" fontId="25" fillId="6" borderId="1" xfId="1" applyNumberFormat="1" applyFont="1" applyFill="1" applyBorder="1" applyAlignment="1" applyProtection="1">
      <alignment vertical="center"/>
    </xf>
    <xf numFmtId="180" fontId="25" fillId="6" borderId="5" xfId="1" applyNumberFormat="1" applyFont="1" applyFill="1" applyBorder="1" applyAlignment="1" applyProtection="1">
      <alignment vertical="center"/>
    </xf>
    <xf numFmtId="184" fontId="73" fillId="6" borderId="1" xfId="0" applyNumberFormat="1" applyFont="1" applyFill="1" applyBorder="1" applyAlignment="1" applyProtection="1">
      <alignment horizontal="center" vertical="center"/>
      <protection locked="0"/>
    </xf>
    <xf numFmtId="182" fontId="71" fillId="6" borderId="23" xfId="1" applyNumberFormat="1" applyFont="1" applyFill="1" applyBorder="1" applyAlignment="1" applyProtection="1">
      <alignment horizontal="center" vertical="center"/>
    </xf>
    <xf numFmtId="180"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82" fontId="68" fillId="6" borderId="25" xfId="1" applyNumberFormat="1" applyFont="1" applyFill="1" applyBorder="1" applyAlignment="1" applyProtection="1">
      <alignment horizontal="center" vertical="center"/>
    </xf>
    <xf numFmtId="184" fontId="68" fillId="6" borderId="1" xfId="0" applyNumberFormat="1" applyFont="1" applyFill="1" applyBorder="1" applyAlignment="1" applyProtection="1">
      <alignment vertical="center"/>
    </xf>
    <xf numFmtId="184" fontId="68" fillId="6" borderId="5" xfId="0" applyNumberFormat="1" applyFont="1" applyFill="1" applyBorder="1" applyAlignment="1" applyProtection="1">
      <alignment vertical="center"/>
    </xf>
    <xf numFmtId="184"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4" fontId="68" fillId="6" borderId="1" xfId="0" applyNumberFormat="1" applyFont="1" applyFill="1" applyBorder="1" applyAlignment="1" applyProtection="1">
      <alignment horizontal="center" vertical="center"/>
    </xf>
    <xf numFmtId="184"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184"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80"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9" fontId="71" fillId="0" borderId="1" xfId="0" applyNumberFormat="1" applyFont="1" applyFill="1" applyBorder="1" applyAlignment="1" applyProtection="1">
      <alignment horizontal="center" vertical="center" wrapText="1"/>
      <protection locked="0"/>
    </xf>
    <xf numFmtId="182"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4"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8"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8"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2"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80"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80"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80"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80"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4"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4"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4"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4"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82"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81" fontId="79" fillId="6" borderId="1" xfId="0" applyNumberFormat="1" applyFont="1" applyFill="1" applyBorder="1" applyAlignment="1" applyProtection="1">
      <alignment horizontal="center" vertical="center"/>
    </xf>
    <xf numFmtId="181"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80" fontId="70" fillId="6" borderId="0" xfId="0" applyNumberFormat="1" applyFont="1" applyFill="1" applyBorder="1" applyAlignment="1" applyProtection="1">
      <alignment horizontal="center" vertical="center"/>
    </xf>
    <xf numFmtId="190" fontId="71" fillId="6" borderId="3" xfId="0" applyNumberFormat="1" applyFont="1" applyFill="1" applyBorder="1" applyAlignment="1" applyProtection="1">
      <alignment horizontal="center" vertical="center"/>
    </xf>
    <xf numFmtId="180"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4"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9" fontId="70" fillId="6" borderId="1" xfId="0" applyNumberFormat="1" applyFont="1" applyFill="1" applyBorder="1" applyAlignment="1" applyProtection="1">
      <alignment vertical="center"/>
    </xf>
    <xf numFmtId="179" fontId="70" fillId="6" borderId="1" xfId="0" applyNumberFormat="1" applyFont="1" applyFill="1" applyBorder="1" applyAlignment="1" applyProtection="1">
      <alignment horizontal="center" vertical="center"/>
    </xf>
    <xf numFmtId="179" fontId="70" fillId="6" borderId="24" xfId="0" applyNumberFormat="1" applyFont="1" applyFill="1" applyBorder="1" applyAlignment="1" applyProtection="1">
      <alignment vertical="center"/>
    </xf>
    <xf numFmtId="179" fontId="70" fillId="6" borderId="25" xfId="0" applyNumberFormat="1" applyFont="1" applyFill="1" applyBorder="1" applyAlignment="1" applyProtection="1">
      <alignment vertical="center"/>
    </xf>
    <xf numFmtId="179"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4"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4"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9"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9" fontId="144" fillId="12" borderId="124" xfId="9" applyNumberFormat="1" applyFont="1" applyFill="1" applyBorder="1" applyAlignment="1">
      <alignment horizontal="center" vertical="center" wrapText="1"/>
    </xf>
    <xf numFmtId="189"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80" fontId="139" fillId="0" borderId="0" xfId="9" applyNumberFormat="1" applyFont="1">
      <alignment vertical="center"/>
    </xf>
    <xf numFmtId="184" fontId="139" fillId="0" borderId="122" xfId="9" applyNumberFormat="1" applyFont="1" applyBorder="1">
      <alignment vertical="center"/>
    </xf>
    <xf numFmtId="184" fontId="139" fillId="0" borderId="0" xfId="9" applyNumberFormat="1" applyFont="1">
      <alignment vertical="center"/>
    </xf>
    <xf numFmtId="189"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9" fontId="144" fillId="12" borderId="127" xfId="9" applyNumberFormat="1" applyFont="1" applyFill="1" applyBorder="1" applyAlignment="1">
      <alignment horizontal="center" vertical="center" wrapText="1"/>
    </xf>
    <xf numFmtId="189"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9"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80"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9" fontId="144" fillId="12" borderId="133" xfId="9" applyNumberFormat="1" applyFont="1" applyFill="1" applyBorder="1" applyAlignment="1">
      <alignment horizontal="center" vertical="center" wrapText="1"/>
    </xf>
    <xf numFmtId="189" fontId="144" fillId="12" borderId="137" xfId="9" applyNumberFormat="1" applyFont="1" applyFill="1" applyBorder="1" applyAlignment="1">
      <alignment horizontal="center" vertical="center" wrapText="1"/>
    </xf>
    <xf numFmtId="189" fontId="139" fillId="14" borderId="0" xfId="9" applyNumberFormat="1" applyFont="1" applyFill="1" applyAlignment="1">
      <alignment horizontal="center" vertical="center"/>
    </xf>
    <xf numFmtId="189"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80"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81"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81"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3" fontId="139" fillId="0" borderId="0" xfId="9" applyNumberFormat="1" applyFont="1" applyAlignment="1">
      <alignment horizontal="center" vertical="center"/>
    </xf>
    <xf numFmtId="183" fontId="139" fillId="0" borderId="122" xfId="9" applyNumberFormat="1" applyFont="1" applyBorder="1" applyAlignment="1">
      <alignment horizontal="center" vertical="center"/>
    </xf>
    <xf numFmtId="180"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80"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3" fontId="139" fillId="5" borderId="0" xfId="9" applyNumberFormat="1" applyFont="1" applyFill="1" applyAlignment="1">
      <alignment horizontal="center" vertical="center"/>
    </xf>
    <xf numFmtId="0" fontId="139" fillId="5" borderId="122" xfId="9" applyFont="1" applyFill="1" applyBorder="1">
      <alignment vertical="center"/>
    </xf>
    <xf numFmtId="181"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3" fontId="165" fillId="0" borderId="0" xfId="9" applyNumberFormat="1" applyFont="1" applyAlignment="1">
      <alignment horizontal="center" vertical="center"/>
    </xf>
    <xf numFmtId="183"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3" fontId="68" fillId="6" borderId="30" xfId="0" applyNumberFormat="1" applyFont="1" applyFill="1" applyBorder="1" applyAlignment="1" applyProtection="1">
      <alignment horizontal="center" vertical="center" wrapText="1"/>
    </xf>
    <xf numFmtId="193" fontId="68" fillId="6" borderId="9" xfId="0" applyNumberFormat="1" applyFont="1" applyFill="1" applyBorder="1" applyAlignment="1" applyProtection="1">
      <alignment horizontal="center" vertical="center" wrapText="1"/>
    </xf>
    <xf numFmtId="193"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7"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82"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9" fontId="139" fillId="6" borderId="1" xfId="8" applyNumberFormat="1" applyFont="1" applyFill="1" applyBorder="1" applyAlignment="1" applyProtection="1">
      <alignment horizontal="center" vertical="center"/>
    </xf>
    <xf numFmtId="180" fontId="165" fillId="0" borderId="1" xfId="8" applyNumberFormat="1" applyFont="1" applyFill="1" applyBorder="1" applyAlignment="1" applyProtection="1">
      <alignment horizontal="center" vertical="center"/>
    </xf>
    <xf numFmtId="180" fontId="165" fillId="6" borderId="1" xfId="8" applyNumberFormat="1" applyFont="1" applyFill="1" applyBorder="1" applyAlignment="1" applyProtection="1">
      <alignment horizontal="center" vertical="center"/>
    </xf>
    <xf numFmtId="190"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92" fontId="21" fillId="6" borderId="88" xfId="0" applyNumberFormat="1" applyFont="1" applyFill="1" applyBorder="1" applyAlignment="1" applyProtection="1">
      <alignment horizontal="center" vertical="center"/>
    </xf>
    <xf numFmtId="184"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92" fontId="87" fillId="6" borderId="88" xfId="0" applyNumberFormat="1" applyFont="1" applyFill="1" applyBorder="1" applyAlignment="1" applyProtection="1">
      <alignment horizontal="center" vertical="center"/>
      <protection locked="0"/>
    </xf>
    <xf numFmtId="184"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92" fontId="87" fillId="6" borderId="88" xfId="0" applyNumberFormat="1" applyFont="1" applyFill="1" applyBorder="1" applyAlignment="1" applyProtection="1">
      <alignment horizontal="center" vertical="center"/>
    </xf>
    <xf numFmtId="184"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9"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2"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80" fontId="208" fillId="6" borderId="87" xfId="2" applyNumberFormat="1" applyFont="1" applyFill="1" applyBorder="1" applyAlignment="1">
      <alignment horizontal="center"/>
    </xf>
    <xf numFmtId="0" fontId="172" fillId="0" borderId="1" xfId="5" applyFont="1" applyFill="1" applyBorder="1">
      <alignment vertical="center"/>
    </xf>
    <xf numFmtId="195"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0" fontId="218" fillId="14" borderId="0" xfId="9" applyNumberFormat="1" applyFont="1" applyFill="1" applyBorder="1" applyAlignment="1">
      <alignment horizontal="center" vertical="center"/>
    </xf>
    <xf numFmtId="187"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4"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14" fontId="112" fillId="0" borderId="1" xfId="14" applyNumberFormat="1" applyFont="1" applyFill="1" applyBorder="1" applyAlignment="1" applyProtection="1">
      <alignment horizontal="center" vertical="center"/>
      <protection locked="0"/>
    </xf>
    <xf numFmtId="0" fontId="112" fillId="0" borderId="1" xfId="15" applyFont="1" applyBorder="1" applyAlignment="1" applyProtection="1">
      <alignment horizontal="left" vertical="center" wrapText="1"/>
      <protection locked="0"/>
    </xf>
    <xf numFmtId="0" fontId="112" fillId="0" borderId="1" xfId="15" applyFont="1" applyBorder="1" applyAlignment="1" applyProtection="1">
      <alignment vertical="center"/>
      <protection locked="0"/>
    </xf>
    <xf numFmtId="0" fontId="112" fillId="0" borderId="1" xfId="15" applyFont="1" applyFill="1" applyBorder="1" applyAlignment="1" applyProtection="1">
      <alignment vertical="center"/>
      <protection locked="0"/>
    </xf>
    <xf numFmtId="0" fontId="252" fillId="0" borderId="1" xfId="15" applyFont="1" applyFill="1" applyBorder="1" applyAlignment="1" applyProtection="1">
      <alignment vertical="center"/>
      <protection locked="0"/>
    </xf>
    <xf numFmtId="0" fontId="112" fillId="5" borderId="1" xfId="15" applyFont="1" applyFill="1" applyBorder="1" applyAlignment="1" applyProtection="1">
      <alignment vertical="center"/>
      <protection locked="0"/>
    </xf>
    <xf numFmtId="0" fontId="112" fillId="7" borderId="1" xfId="15" applyFont="1" applyFill="1" applyBorder="1" applyAlignment="1" applyProtection="1">
      <alignment vertical="center"/>
      <protection locked="0"/>
    </xf>
    <xf numFmtId="0" fontId="112" fillId="0" borderId="1" xfId="15" applyFont="1" applyFill="1" applyBorder="1" applyAlignment="1" applyProtection="1">
      <alignment horizontal="center" vertical="center" wrapText="1"/>
      <protection locked="0"/>
    </xf>
    <xf numFmtId="0" fontId="112" fillId="0" borderId="1" xfId="15" applyFont="1" applyFill="1" applyBorder="1" applyAlignment="1" applyProtection="1">
      <alignment horizontal="center" vertical="center"/>
      <protection locked="0"/>
    </xf>
    <xf numFmtId="2" fontId="112" fillId="0" borderId="1" xfId="15" applyNumberFormat="1" applyFont="1" applyFill="1" applyBorder="1" applyAlignment="1" applyProtection="1">
      <alignment horizontal="center" vertical="center" wrapText="1"/>
      <protection locked="0"/>
    </xf>
    <xf numFmtId="2" fontId="112" fillId="0" borderId="1" xfId="15" applyNumberFormat="1" applyFont="1" applyFill="1" applyBorder="1" applyAlignment="1" applyProtection="1">
      <alignment horizontal="center" vertical="center"/>
      <protection locked="0"/>
    </xf>
    <xf numFmtId="0" fontId="112" fillId="7" borderId="1" xfId="1" applyFont="1" applyFill="1" applyBorder="1" applyAlignment="1" applyProtection="1">
      <alignment horizontal="center" vertical="center"/>
      <protection locked="0"/>
    </xf>
    <xf numFmtId="0" fontId="112" fillId="0" borderId="1" xfId="1" applyFont="1" applyFill="1" applyBorder="1" applyAlignment="1" applyProtection="1">
      <alignment horizontal="center" vertical="center"/>
      <protection locked="0"/>
    </xf>
    <xf numFmtId="9" fontId="11" fillId="6" borderId="0" xfId="0" applyNumberFormat="1" applyFont="1" applyFill="1" applyAlignment="1" applyProtection="1">
      <alignment vertical="center"/>
      <protection locked="0"/>
    </xf>
    <xf numFmtId="9" fontId="11" fillId="6" borderId="0" xfId="13" applyFont="1" applyFill="1" applyAlignment="1" applyProtection="1">
      <alignment vertical="center"/>
      <protection locked="0"/>
    </xf>
    <xf numFmtId="0" fontId="77" fillId="16" borderId="10" xfId="1" applyNumberFormat="1" applyFont="1" applyFill="1" applyBorder="1" applyAlignment="1" applyProtection="1">
      <alignment horizontal="center" vertical="center"/>
      <protection locked="0"/>
    </xf>
    <xf numFmtId="0" fontId="77" fillId="16" borderId="24" xfId="1"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1" fillId="0" borderId="0" xfId="10" applyAlignment="1"/>
    <xf numFmtId="0" fontId="131" fillId="5" borderId="0" xfId="10" applyFill="1" applyAlignment="1"/>
    <xf numFmtId="0" fontId="20" fillId="5" borderId="0" xfId="10" applyFont="1" applyFill="1" applyAlignment="1"/>
    <xf numFmtId="0" fontId="254" fillId="13" borderId="151" xfId="10" applyFont="1" applyFill="1" applyBorder="1" applyAlignment="1">
      <alignment horizontal="center" vertical="center" wrapText="1"/>
    </xf>
    <xf numFmtId="0" fontId="254" fillId="13" borderId="124" xfId="10" applyFont="1" applyFill="1" applyBorder="1" applyAlignment="1">
      <alignment horizontal="center" vertical="center" wrapText="1"/>
    </xf>
    <xf numFmtId="0" fontId="254" fillId="13" borderId="125" xfId="10" applyFont="1" applyFill="1" applyBorder="1" applyAlignment="1">
      <alignment horizontal="center" vertical="center" wrapText="1"/>
    </xf>
    <xf numFmtId="0" fontId="254" fillId="13" borderId="0" xfId="10" applyFont="1" applyFill="1" applyBorder="1" applyAlignment="1">
      <alignment horizontal="center" vertical="center" wrapText="1"/>
    </xf>
    <xf numFmtId="0" fontId="254" fillId="12" borderId="152" xfId="10" applyFont="1" applyFill="1" applyBorder="1" applyAlignment="1">
      <alignment horizontal="center" vertical="center" wrapText="1"/>
    </xf>
    <xf numFmtId="0" fontId="254" fillId="12" borderId="127" xfId="10" applyFont="1" applyFill="1" applyBorder="1" applyAlignment="1">
      <alignment horizontal="center" vertical="center" wrapText="1"/>
    </xf>
    <xf numFmtId="0" fontId="254" fillId="12" borderId="131" xfId="10" applyFont="1" applyFill="1" applyBorder="1" applyAlignment="1">
      <alignment horizontal="center" vertical="center" wrapText="1"/>
    </xf>
    <xf numFmtId="10" fontId="0" fillId="0" borderId="0" xfId="16" applyNumberFormat="1" applyFont="1">
      <alignment vertical="center"/>
    </xf>
    <xf numFmtId="0" fontId="254" fillId="13" borderId="152" xfId="10" applyFont="1" applyFill="1" applyBorder="1" applyAlignment="1">
      <alignment horizontal="center" vertical="center" wrapText="1"/>
    </xf>
    <xf numFmtId="0" fontId="254" fillId="13" borderId="127" xfId="10" applyFont="1" applyFill="1" applyBorder="1" applyAlignment="1">
      <alignment horizontal="center" vertical="center" wrapText="1"/>
    </xf>
    <xf numFmtId="0" fontId="254" fillId="13" borderId="131" xfId="10" applyFont="1" applyFill="1" applyBorder="1" applyAlignment="1">
      <alignment horizontal="center" vertical="center" wrapText="1"/>
    </xf>
    <xf numFmtId="0" fontId="131" fillId="0" borderId="0" xfId="10">
      <alignment vertical="center"/>
    </xf>
    <xf numFmtId="0" fontId="254" fillId="12" borderId="153" xfId="10" applyFont="1" applyFill="1" applyBorder="1" applyAlignment="1">
      <alignment horizontal="center" vertical="center" wrapText="1"/>
    </xf>
    <xf numFmtId="0" fontId="254" fillId="12" borderId="133" xfId="10" applyFont="1" applyFill="1" applyBorder="1" applyAlignment="1">
      <alignment horizontal="center" vertical="center" wrapText="1"/>
    </xf>
    <xf numFmtId="0" fontId="254" fillId="12" borderId="134" xfId="10" applyFont="1" applyFill="1" applyBorder="1" applyAlignment="1">
      <alignment horizontal="center" vertical="center" wrapText="1"/>
    </xf>
    <xf numFmtId="10" fontId="131" fillId="0" borderId="0" xfId="10" applyNumberFormat="1">
      <alignment vertical="center"/>
    </xf>
    <xf numFmtId="49" fontId="130" fillId="0" borderId="35" xfId="0" applyNumberFormat="1" applyFont="1" applyFill="1" applyBorder="1" applyAlignment="1" applyProtection="1">
      <alignment horizontal="center" vertical="center" wrapText="1"/>
      <protection locked="0"/>
    </xf>
    <xf numFmtId="178" fontId="112" fillId="0" borderId="0" xfId="19" applyFont="1" applyFill="1" applyBorder="1" applyAlignment="1">
      <alignment vertical="center"/>
    </xf>
    <xf numFmtId="0" fontId="20" fillId="0" borderId="0" xfId="10" applyFont="1" applyFill="1" applyBorder="1" applyAlignment="1">
      <alignment vertical="center"/>
    </xf>
    <xf numFmtId="0" fontId="20" fillId="0" borderId="0" xfId="10" applyFont="1" applyFill="1" applyBorder="1" applyAlignment="1">
      <alignment horizontal="center" vertical="center"/>
    </xf>
    <xf numFmtId="0" fontId="56" fillId="0" borderId="0" xfId="10" applyFont="1" applyFill="1" applyBorder="1" applyAlignment="1">
      <alignment vertical="center"/>
    </xf>
    <xf numFmtId="0" fontId="112" fillId="0" borderId="1" xfId="14" applyFont="1" applyBorder="1" applyAlignment="1">
      <alignment horizontal="center" vertical="center"/>
    </xf>
    <xf numFmtId="0" fontId="112" fillId="0" borderId="1" xfId="14" applyFont="1" applyFill="1" applyBorder="1" applyAlignment="1">
      <alignment horizontal="center" vertical="center"/>
    </xf>
    <xf numFmtId="178" fontId="112" fillId="0" borderId="1" xfId="19" applyFont="1" applyFill="1" applyBorder="1" applyAlignment="1">
      <alignment horizontal="center" vertical="center"/>
    </xf>
    <xf numFmtId="14" fontId="112" fillId="0" borderId="1" xfId="14" applyNumberFormat="1" applyFont="1" applyFill="1" applyBorder="1" applyAlignment="1">
      <alignment horizontal="center" vertical="center"/>
    </xf>
    <xf numFmtId="14" fontId="112" fillId="0" borderId="1" xfId="19" applyNumberFormat="1" applyFont="1" applyFill="1" applyBorder="1" applyAlignment="1">
      <alignment horizontal="center" vertical="center"/>
    </xf>
    <xf numFmtId="0" fontId="112" fillId="0" borderId="1" xfId="10" applyFont="1" applyFill="1" applyBorder="1" applyAlignment="1">
      <alignment vertical="center"/>
    </xf>
    <xf numFmtId="178" fontId="112" fillId="0" borderId="1" xfId="10" applyNumberFormat="1" applyFont="1" applyFill="1" applyBorder="1" applyAlignment="1">
      <alignment vertical="center"/>
    </xf>
    <xf numFmtId="178" fontId="112" fillId="0" borderId="1" xfId="19" applyFont="1" applyFill="1" applyBorder="1" applyAlignment="1">
      <alignment vertical="center"/>
    </xf>
    <xf numFmtId="0" fontId="56" fillId="0" borderId="0" xfId="14"/>
    <xf numFmtId="0" fontId="56" fillId="0" borderId="0" xfId="14" applyFont="1"/>
    <xf numFmtId="0" fontId="112" fillId="0" borderId="13" xfId="14" applyFont="1" applyFill="1" applyBorder="1" applyAlignment="1">
      <alignment horizontal="center" vertical="center"/>
    </xf>
    <xf numFmtId="178" fontId="112" fillId="0" borderId="13" xfId="19" applyFont="1" applyFill="1" applyBorder="1" applyAlignment="1">
      <alignment horizontal="center" vertical="center"/>
    </xf>
    <xf numFmtId="0" fontId="112" fillId="16" borderId="1" xfId="14" applyFont="1" applyFill="1" applyBorder="1" applyAlignment="1">
      <alignment horizontal="center" vertical="center"/>
    </xf>
    <xf numFmtId="49" fontId="112" fillId="16" borderId="1" xfId="10" applyNumberFormat="1" applyFont="1" applyFill="1" applyBorder="1" applyAlignment="1">
      <alignment horizontal="center" vertical="center" wrapText="1"/>
    </xf>
    <xf numFmtId="178" fontId="112" fillId="16" borderId="1" xfId="19" applyFont="1" applyFill="1" applyBorder="1" applyAlignment="1">
      <alignment horizontal="center" vertical="center"/>
    </xf>
    <xf numFmtId="14" fontId="112" fillId="16" borderId="13" xfId="14" applyNumberFormat="1" applyFont="1" applyFill="1" applyBorder="1" applyAlignment="1">
      <alignment vertical="center"/>
    </xf>
    <xf numFmtId="14" fontId="112" fillId="16" borderId="1" xfId="19" applyNumberFormat="1" applyFont="1" applyFill="1" applyBorder="1" applyAlignment="1">
      <alignment horizontal="center" vertical="center"/>
    </xf>
    <xf numFmtId="0" fontId="112" fillId="16" borderId="1" xfId="10" applyFont="1" applyFill="1" applyBorder="1" applyAlignment="1">
      <alignment vertical="center"/>
    </xf>
    <xf numFmtId="178" fontId="112" fillId="16" borderId="1" xfId="10" applyNumberFormat="1" applyFont="1" applyFill="1" applyBorder="1" applyAlignment="1">
      <alignment vertical="center"/>
    </xf>
    <xf numFmtId="0" fontId="112" fillId="16" borderId="1" xfId="10" applyFont="1" applyFill="1" applyBorder="1" applyAlignment="1">
      <alignment horizontal="center" vertical="center"/>
    </xf>
    <xf numFmtId="0" fontId="56" fillId="16" borderId="0" xfId="10" applyFont="1" applyFill="1" applyBorder="1" applyAlignment="1">
      <alignment vertical="center"/>
    </xf>
    <xf numFmtId="178" fontId="112" fillId="16" borderId="13" xfId="19" applyFont="1" applyFill="1" applyBorder="1" applyAlignment="1">
      <alignment horizontal="center" vertical="center"/>
    </xf>
    <xf numFmtId="14" fontId="112" fillId="16" borderId="15" xfId="14" applyNumberFormat="1" applyFont="1" applyFill="1" applyBorder="1" applyAlignment="1">
      <alignment vertical="center"/>
    </xf>
    <xf numFmtId="49" fontId="112" fillId="16" borderId="13" xfId="10" applyNumberFormat="1" applyFont="1" applyFill="1" applyBorder="1" applyAlignment="1">
      <alignment vertical="center" wrapText="1"/>
    </xf>
    <xf numFmtId="14" fontId="112" fillId="16" borderId="2" xfId="14" applyNumberFormat="1" applyFont="1" applyFill="1" applyBorder="1" applyAlignment="1">
      <alignment vertical="center"/>
    </xf>
    <xf numFmtId="178" fontId="112" fillId="0" borderId="1" xfId="19" applyFont="1" applyBorder="1" applyAlignment="1">
      <alignment horizontal="center" vertical="center"/>
    </xf>
    <xf numFmtId="2" fontId="112" fillId="0" borderId="1" xfId="14" applyNumberFormat="1" applyFont="1" applyBorder="1" applyAlignment="1">
      <alignment horizontal="center" vertical="center"/>
    </xf>
    <xf numFmtId="178" fontId="257" fillId="0" borderId="1" xfId="19" applyFont="1" applyBorder="1" applyAlignment="1">
      <alignment horizontal="center" vertical="center"/>
    </xf>
    <xf numFmtId="0" fontId="20" fillId="0" borderId="1" xfId="10" applyFont="1" applyFill="1" applyBorder="1" applyAlignment="1">
      <alignment horizontal="center" vertical="center"/>
    </xf>
    <xf numFmtId="0" fontId="112" fillId="0" borderId="0" xfId="14" applyFont="1" applyBorder="1" applyAlignment="1">
      <alignment horizontal="left" vertical="center" wrapText="1"/>
    </xf>
    <xf numFmtId="178" fontId="112" fillId="0" borderId="0" xfId="19" applyFont="1" applyBorder="1" applyAlignment="1">
      <alignment horizontal="left" vertical="center" wrapText="1"/>
    </xf>
    <xf numFmtId="178" fontId="112" fillId="0" borderId="0" xfId="14" applyNumberFormat="1" applyFont="1" applyBorder="1" applyAlignment="1">
      <alignment horizontal="left" vertical="center" wrapText="1"/>
    </xf>
    <xf numFmtId="0" fontId="56" fillId="0" borderId="0" xfId="14" applyBorder="1"/>
    <xf numFmtId="178" fontId="56" fillId="0" borderId="0" xfId="14" applyNumberFormat="1" applyBorder="1"/>
    <xf numFmtId="178" fontId="20" fillId="0" borderId="0" xfId="14" applyNumberFormat="1" applyFont="1" applyBorder="1"/>
    <xf numFmtId="0" fontId="251" fillId="0" borderId="0" xfId="14" applyFont="1" applyBorder="1" applyAlignment="1">
      <alignment horizontal="right"/>
    </xf>
    <xf numFmtId="178" fontId="20" fillId="0" borderId="0" xfId="19" applyFont="1" applyAlignment="1"/>
    <xf numFmtId="0" fontId="20" fillId="0" borderId="0" xfId="14" applyFont="1"/>
    <xf numFmtId="0" fontId="231" fillId="0" borderId="0" xfId="15" applyFont="1" applyAlignment="1">
      <alignment horizontal="center" vertical="center" wrapText="1"/>
    </xf>
    <xf numFmtId="0" fontId="56" fillId="0" borderId="0" xfId="1" applyFont="1" applyFill="1" applyBorder="1" applyAlignment="1">
      <alignment vertical="center"/>
    </xf>
    <xf numFmtId="0" fontId="258" fillId="0" borderId="0" xfId="15" applyFont="1" applyBorder="1" applyAlignment="1">
      <alignment horizontal="center" vertical="top"/>
    </xf>
    <xf numFmtId="0" fontId="259" fillId="0" borderId="0" xfId="15" applyFont="1" applyBorder="1" applyAlignment="1">
      <alignment horizontal="center" vertical="top"/>
    </xf>
    <xf numFmtId="0" fontId="259" fillId="0" borderId="1" xfId="15" applyFont="1" applyBorder="1" applyAlignment="1">
      <alignment horizontal="center" vertical="center" wrapText="1"/>
    </xf>
    <xf numFmtId="0" fontId="112" fillId="0" borderId="1" xfId="15" applyFont="1" applyBorder="1" applyAlignment="1">
      <alignment horizontal="center" vertical="center" wrapText="1"/>
    </xf>
    <xf numFmtId="0" fontId="112" fillId="0" borderId="1" xfId="15" applyFont="1" applyBorder="1" applyAlignment="1">
      <alignment horizontal="left" vertical="center" wrapText="1"/>
    </xf>
    <xf numFmtId="0" fontId="112" fillId="0" borderId="1" xfId="15" applyFont="1" applyFill="1" applyBorder="1" applyAlignment="1">
      <alignment horizontal="center" vertical="center" wrapText="1"/>
    </xf>
    <xf numFmtId="49" fontId="112" fillId="0" borderId="13" xfId="15" applyNumberFormat="1" applyFont="1" applyFill="1" applyBorder="1" applyAlignment="1">
      <alignment horizontal="center" vertical="center" wrapText="1"/>
    </xf>
    <xf numFmtId="0" fontId="56" fillId="0" borderId="1" xfId="1" applyFont="1" applyFill="1" applyBorder="1" applyAlignment="1">
      <alignment vertical="center"/>
    </xf>
    <xf numFmtId="0" fontId="56" fillId="0" borderId="1" xfId="15" applyFill="1" applyBorder="1"/>
    <xf numFmtId="0" fontId="56" fillId="0" borderId="0" xfId="15" applyFill="1"/>
    <xf numFmtId="0" fontId="112" fillId="0" borderId="1" xfId="15" applyFont="1" applyFill="1" applyBorder="1" applyAlignment="1">
      <alignment horizontal="center" vertical="center"/>
    </xf>
    <xf numFmtId="0" fontId="262" fillId="0" borderId="1" xfId="15" applyFont="1" applyBorder="1" applyAlignment="1">
      <alignment horizontal="center" vertical="center" wrapText="1"/>
    </xf>
    <xf numFmtId="0" fontId="262" fillId="0" borderId="1" xfId="15" applyFont="1" applyFill="1" applyBorder="1" applyAlignment="1">
      <alignment horizontal="center" vertical="center" wrapText="1"/>
    </xf>
    <xf numFmtId="49" fontId="262" fillId="0" borderId="13" xfId="15" applyNumberFormat="1" applyFont="1" applyFill="1" applyBorder="1" applyAlignment="1">
      <alignment horizontal="center" vertical="center" wrapText="1"/>
    </xf>
    <xf numFmtId="0" fontId="262" fillId="0" borderId="1" xfId="15" applyFont="1" applyFill="1" applyBorder="1" applyAlignment="1">
      <alignment horizontal="center" vertical="center"/>
    </xf>
    <xf numFmtId="0" fontId="263" fillId="0" borderId="1" xfId="1" applyFont="1" applyFill="1" applyBorder="1" applyAlignment="1">
      <alignment vertical="center"/>
    </xf>
    <xf numFmtId="0" fontId="263" fillId="0" borderId="0" xfId="1" applyFont="1" applyFill="1" applyBorder="1" applyAlignment="1">
      <alignment vertical="center"/>
    </xf>
    <xf numFmtId="0" fontId="112" fillId="0" borderId="1" xfId="15" applyFont="1" applyFill="1" applyBorder="1" applyAlignment="1">
      <alignment vertical="center"/>
    </xf>
    <xf numFmtId="2" fontId="112" fillId="0" borderId="1" xfId="15" applyNumberFormat="1" applyFont="1" applyFill="1" applyBorder="1" applyAlignment="1">
      <alignment horizontal="center" vertical="center"/>
    </xf>
    <xf numFmtId="0" fontId="231" fillId="0" borderId="1" xfId="15" applyFont="1" applyFill="1" applyBorder="1" applyAlignment="1">
      <alignment horizontal="center" vertical="center"/>
    </xf>
    <xf numFmtId="49" fontId="112" fillId="0" borderId="13" xfId="15" applyNumberFormat="1" applyFont="1" applyFill="1" applyBorder="1" applyAlignment="1">
      <alignment vertical="center" wrapText="1"/>
    </xf>
    <xf numFmtId="0" fontId="262" fillId="0" borderId="1" xfId="15" applyFont="1" applyBorder="1" applyAlignment="1">
      <alignment vertical="center"/>
    </xf>
    <xf numFmtId="0" fontId="262" fillId="0" borderId="1" xfId="15" applyFont="1" applyFill="1" applyBorder="1" applyAlignment="1">
      <alignment vertical="center"/>
    </xf>
    <xf numFmtId="0" fontId="56" fillId="0" borderId="1" xfId="15" applyBorder="1"/>
    <xf numFmtId="0" fontId="20" fillId="0" borderId="1" xfId="15" applyFont="1" applyBorder="1" applyAlignment="1">
      <alignment horizontal="center" vertical="center"/>
    </xf>
    <xf numFmtId="0" fontId="56" fillId="0" borderId="1" xfId="15" applyBorder="1" applyAlignment="1">
      <alignment vertical="center"/>
    </xf>
    <xf numFmtId="0" fontId="231" fillId="0" borderId="1" xfId="15" applyFont="1" applyBorder="1" applyAlignment="1">
      <alignment horizontal="center" vertical="center"/>
    </xf>
    <xf numFmtId="0" fontId="112" fillId="16" borderId="1" xfId="15" applyFont="1" applyFill="1" applyBorder="1" applyAlignment="1">
      <alignment horizontal="center" vertical="center" wrapText="1"/>
    </xf>
    <xf numFmtId="0" fontId="112" fillId="16" borderId="1" xfId="15" applyFont="1" applyFill="1" applyBorder="1"/>
    <xf numFmtId="0" fontId="112" fillId="16" borderId="1" xfId="15" applyFont="1" applyFill="1" applyBorder="1" applyAlignment="1">
      <alignment horizontal="center" vertical="center"/>
    </xf>
    <xf numFmtId="0" fontId="112" fillId="16" borderId="1" xfId="15" applyNumberFormat="1" applyFont="1" applyFill="1" applyBorder="1" applyAlignment="1">
      <alignment horizontal="center" vertical="center" wrapText="1"/>
    </xf>
    <xf numFmtId="0" fontId="56" fillId="16" borderId="1" xfId="1" applyFont="1" applyFill="1" applyBorder="1" applyAlignment="1">
      <alignment vertical="center"/>
    </xf>
    <xf numFmtId="0" fontId="56" fillId="16" borderId="0" xfId="1" applyFont="1" applyFill="1" applyBorder="1" applyAlignment="1">
      <alignment vertical="center"/>
    </xf>
    <xf numFmtId="0" fontId="56" fillId="0" borderId="0" xfId="15"/>
    <xf numFmtId="0" fontId="56" fillId="0" borderId="0" xfId="15" applyFont="1"/>
    <xf numFmtId="0" fontId="56" fillId="0" borderId="0" xfId="15" applyAlignment="1">
      <alignment horizontal="center"/>
    </xf>
    <xf numFmtId="0" fontId="20" fillId="0" borderId="0" xfId="1" applyFont="1" applyFill="1" applyBorder="1" applyAlignment="1">
      <alignment horizontal="center" vertical="center"/>
    </xf>
    <xf numFmtId="0" fontId="231" fillId="0" borderId="0" xfId="1" applyFont="1" applyFill="1" applyBorder="1" applyAlignment="1">
      <alignment horizontal="center" vertical="center"/>
    </xf>
    <xf numFmtId="200" fontId="255" fillId="0" borderId="0" xfId="20" applyNumberFormat="1" applyFont="1" applyFill="1"/>
    <xf numFmtId="200" fontId="95" fillId="0" borderId="0" xfId="20" applyNumberFormat="1" applyFont="1" applyFill="1" applyAlignment="1">
      <alignment horizontal="center"/>
    </xf>
    <xf numFmtId="200" fontId="264" fillId="0" borderId="0" xfId="20" applyNumberFormat="1" applyFont="1" applyFill="1"/>
    <xf numFmtId="200" fontId="265" fillId="0" borderId="0" xfId="20" applyNumberFormat="1" applyFont="1" applyFill="1" applyAlignment="1">
      <alignment horizontal="left"/>
    </xf>
    <xf numFmtId="200" fontId="265" fillId="0" borderId="0" xfId="20" applyNumberFormat="1" applyFont="1" applyFill="1" applyAlignment="1">
      <alignment horizontal="center"/>
    </xf>
    <xf numFmtId="200" fontId="265" fillId="0" borderId="0" xfId="20" applyNumberFormat="1" applyFont="1" applyFill="1"/>
    <xf numFmtId="200" fontId="265" fillId="0" borderId="6" xfId="20" applyNumberFormat="1" applyFont="1" applyFill="1" applyBorder="1" applyAlignment="1">
      <alignment horizontal="center" vertical="center"/>
    </xf>
    <xf numFmtId="200" fontId="265" fillId="0" borderId="9" xfId="20" applyNumberFormat="1" applyFont="1" applyFill="1" applyBorder="1" applyAlignment="1">
      <alignment horizontal="center" vertical="center" wrapText="1"/>
    </xf>
    <xf numFmtId="200" fontId="265" fillId="0" borderId="20" xfId="20" applyNumberFormat="1" applyFont="1" applyFill="1" applyBorder="1" applyAlignment="1">
      <alignment vertical="center"/>
    </xf>
    <xf numFmtId="200" fontId="265" fillId="0" borderId="0" xfId="20" applyNumberFormat="1" applyFont="1" applyFill="1" applyAlignment="1">
      <alignment horizontal="center" vertical="center"/>
    </xf>
    <xf numFmtId="200" fontId="20" fillId="0" borderId="41" xfId="20" applyNumberFormat="1" applyFont="1" applyFill="1" applyBorder="1" applyAlignment="1">
      <alignment horizontal="left" vertical="center"/>
    </xf>
    <xf numFmtId="200" fontId="20" fillId="0" borderId="1" xfId="20" applyNumberFormat="1" applyFont="1" applyFill="1" applyBorder="1" applyAlignment="1">
      <alignment horizontal="center"/>
    </xf>
    <xf numFmtId="200" fontId="264" fillId="0" borderId="1" xfId="20" applyNumberFormat="1" applyFont="1" applyFill="1" applyBorder="1" applyAlignment="1">
      <alignment horizontal="right"/>
    </xf>
    <xf numFmtId="200" fontId="20" fillId="0" borderId="0" xfId="20" applyNumberFormat="1" applyFont="1" applyFill="1" applyAlignment="1">
      <alignment horizontal="center" vertical="center"/>
    </xf>
    <xf numFmtId="200" fontId="265" fillId="0" borderId="0" xfId="20" applyNumberFormat="1" applyFont="1" applyFill="1" applyAlignment="1">
      <alignment vertical="center"/>
    </xf>
    <xf numFmtId="200" fontId="20" fillId="0" borderId="0" xfId="20" applyNumberFormat="1" applyFont="1" applyFill="1"/>
    <xf numFmtId="200" fontId="20" fillId="0" borderId="41" xfId="20" applyNumberFormat="1" applyFont="1" applyFill="1" applyBorder="1" applyAlignment="1">
      <alignment horizontal="center" vertical="center"/>
    </xf>
    <xf numFmtId="200" fontId="20" fillId="0" borderId="23" xfId="20" applyNumberFormat="1" applyFont="1" applyFill="1" applyBorder="1" applyAlignment="1">
      <alignment horizontal="left" vertical="center"/>
    </xf>
    <xf numFmtId="200" fontId="20" fillId="5" borderId="23" xfId="20" applyNumberFormat="1" applyFont="1" applyFill="1" applyBorder="1" applyAlignment="1">
      <alignment horizontal="left" vertical="center"/>
    </xf>
    <xf numFmtId="200" fontId="264" fillId="5" borderId="1" xfId="20" applyNumberFormat="1" applyFont="1" applyFill="1" applyBorder="1" applyAlignment="1">
      <alignment horizontal="right"/>
    </xf>
    <xf numFmtId="200" fontId="265" fillId="0" borderId="25" xfId="20" applyNumberFormat="1" applyFont="1" applyFill="1" applyBorder="1" applyAlignment="1">
      <alignment horizontal="center"/>
    </xf>
    <xf numFmtId="200" fontId="20" fillId="0" borderId="32" xfId="20" applyNumberFormat="1" applyFont="1" applyFill="1" applyBorder="1" applyAlignment="1">
      <alignment horizontal="center"/>
    </xf>
    <xf numFmtId="200" fontId="264" fillId="0" borderId="32" xfId="20" applyNumberFormat="1" applyFont="1" applyFill="1" applyBorder="1" applyAlignment="1">
      <alignment horizontal="right"/>
    </xf>
    <xf numFmtId="178" fontId="264" fillId="0" borderId="32" xfId="20" applyFont="1" applyFill="1" applyBorder="1" applyAlignment="1">
      <alignment horizontal="right"/>
    </xf>
    <xf numFmtId="178" fontId="264" fillId="5" borderId="0" xfId="20" applyFont="1" applyFill="1"/>
    <xf numFmtId="200" fontId="266" fillId="0" borderId="0" xfId="20" applyNumberFormat="1" applyFont="1" applyFill="1"/>
    <xf numFmtId="182" fontId="255" fillId="0" borderId="0" xfId="490" applyNumberFormat="1" applyFont="1" applyFill="1"/>
    <xf numFmtId="182" fontId="207" fillId="0" borderId="0" xfId="480" applyNumberFormat="1" applyFont="1" applyFill="1" applyAlignment="1">
      <alignment horizontal="center"/>
    </xf>
    <xf numFmtId="182" fontId="320" fillId="0" borderId="0" xfId="480" applyNumberFormat="1" applyFont="1" applyFill="1" applyAlignment="1">
      <alignment horizontal="center"/>
    </xf>
    <xf numFmtId="182" fontId="265" fillId="0" borderId="0" xfId="490" applyNumberFormat="1" applyFont="1" applyFill="1"/>
    <xf numFmtId="182" fontId="265" fillId="0" borderId="6" xfId="490" applyNumberFormat="1" applyFont="1" applyFill="1" applyBorder="1" applyAlignment="1">
      <alignment horizontal="center" vertical="center"/>
    </xf>
    <xf numFmtId="200" fontId="265" fillId="0" borderId="20" xfId="480" applyNumberFormat="1" applyFont="1" applyFill="1" applyBorder="1" applyAlignment="1">
      <alignment vertical="center"/>
    </xf>
    <xf numFmtId="182" fontId="265" fillId="0" borderId="0" xfId="490" applyNumberFormat="1" applyFont="1" applyFill="1" applyAlignment="1">
      <alignment horizontal="center" vertical="center"/>
    </xf>
    <xf numFmtId="182" fontId="20" fillId="0" borderId="23" xfId="490" applyNumberFormat="1" applyFont="1" applyFill="1" applyBorder="1"/>
    <xf numFmtId="178" fontId="264" fillId="0" borderId="1" xfId="480" applyFont="1" applyFill="1" applyBorder="1" applyAlignment="1">
      <alignment horizontal="center" vertical="center"/>
    </xf>
    <xf numFmtId="182" fontId="264" fillId="0" borderId="0" xfId="490" applyNumberFormat="1" applyFont="1" applyFill="1" applyAlignment="1">
      <alignment horizontal="center" vertical="center"/>
    </xf>
    <xf numFmtId="182" fontId="264" fillId="0" borderId="23" xfId="490" applyNumberFormat="1" applyFont="1" applyFill="1" applyBorder="1" applyAlignment="1">
      <alignment horizontal="left" vertical="center"/>
    </xf>
    <xf numFmtId="182" fontId="264" fillId="0" borderId="23" xfId="490" applyNumberFormat="1" applyFont="1" applyFill="1" applyBorder="1"/>
    <xf numFmtId="178" fontId="264" fillId="0" borderId="1" xfId="480" applyFont="1" applyFill="1" applyBorder="1" applyAlignment="1"/>
    <xf numFmtId="182" fontId="264" fillId="0" borderId="0" xfId="490" applyNumberFormat="1" applyFont="1" applyFill="1"/>
    <xf numFmtId="182" fontId="264" fillId="0" borderId="23" xfId="490" applyNumberFormat="1" applyFont="1" applyFill="1" applyBorder="1" applyAlignment="1">
      <alignment horizontal="center"/>
    </xf>
    <xf numFmtId="178" fontId="264" fillId="0" borderId="1" xfId="480" applyFont="1" applyFill="1" applyBorder="1"/>
    <xf numFmtId="182" fontId="264" fillId="0" borderId="25" xfId="490" applyNumberFormat="1" applyFont="1" applyFill="1" applyBorder="1" applyAlignment="1">
      <alignment horizontal="center"/>
    </xf>
    <xf numFmtId="178" fontId="264" fillId="0" borderId="32" xfId="480" applyFont="1" applyFill="1" applyBorder="1" applyAlignment="1">
      <alignment horizontal="right"/>
    </xf>
    <xf numFmtId="0" fontId="131" fillId="0" borderId="0" xfId="0" applyFont="1">
      <alignment vertical="center"/>
    </xf>
    <xf numFmtId="184" fontId="142" fillId="5" borderId="24" xfId="0" applyNumberFormat="1" applyFont="1" applyFill="1" applyBorder="1" applyAlignment="1" applyProtection="1">
      <alignment vertical="center"/>
      <protection locked="0"/>
    </xf>
    <xf numFmtId="9" fontId="196" fillId="5" borderId="1" xfId="0" applyNumberFormat="1" applyFont="1" applyFill="1" applyBorder="1" applyAlignment="1"/>
    <xf numFmtId="0" fontId="142" fillId="5" borderId="23" xfId="0" applyFont="1" applyFill="1" applyBorder="1" applyAlignment="1" applyProtection="1">
      <alignment vertical="center"/>
      <protection locked="0"/>
    </xf>
    <xf numFmtId="184" fontId="165" fillId="5" borderId="8" xfId="0" applyNumberFormat="1" applyFont="1" applyFill="1" applyBorder="1" applyAlignment="1" applyProtection="1">
      <alignment horizontal="center" vertical="center"/>
      <protection locked="0"/>
    </xf>
    <xf numFmtId="184" fontId="165" fillId="5" borderId="24" xfId="0" applyNumberFormat="1" applyFont="1" applyFill="1" applyBorder="1" applyAlignment="1" applyProtection="1">
      <alignment horizontal="center" vertical="center"/>
      <protection locked="0"/>
    </xf>
    <xf numFmtId="184" fontId="165" fillId="5" borderId="10" xfId="0" applyNumberFormat="1" applyFont="1" applyFill="1" applyBorder="1" applyAlignment="1" applyProtection="1">
      <alignment horizontal="center" vertical="center"/>
      <protection locked="0"/>
    </xf>
    <xf numFmtId="0" fontId="140" fillId="5" borderId="51" xfId="0" applyNumberFormat="1" applyFont="1" applyFill="1" applyBorder="1" applyAlignment="1" applyProtection="1">
      <alignment horizontal="center" vertical="center" wrapText="1"/>
      <protection locked="0"/>
    </xf>
    <xf numFmtId="0" fontId="142" fillId="5" borderId="10" xfId="0" applyNumberFormat="1" applyFont="1" applyFill="1" applyBorder="1" applyAlignment="1" applyProtection="1">
      <alignment horizontal="center" vertical="center" wrapText="1"/>
    </xf>
    <xf numFmtId="49" fontId="140" fillId="5" borderId="11" xfId="0" applyNumberFormat="1" applyFont="1" applyFill="1" applyBorder="1" applyAlignment="1" applyProtection="1">
      <alignment horizontal="center" vertical="center" wrapText="1"/>
    </xf>
    <xf numFmtId="0" fontId="140" fillId="5" borderId="37" xfId="0" applyNumberFormat="1" applyFont="1" applyFill="1" applyBorder="1" applyAlignment="1" applyProtection="1">
      <alignment horizontal="center" vertical="center" wrapText="1"/>
      <protection locked="0"/>
    </xf>
    <xf numFmtId="0" fontId="142" fillId="5" borderId="6" xfId="0" applyNumberFormat="1" applyFont="1" applyFill="1" applyBorder="1" applyAlignment="1" applyProtection="1">
      <alignment horizontal="center" vertical="center" wrapText="1"/>
      <protection locked="0"/>
    </xf>
    <xf numFmtId="0" fontId="142" fillId="5" borderId="9" xfId="0" applyNumberFormat="1" applyFont="1" applyFill="1" applyBorder="1" applyAlignment="1" applyProtection="1">
      <alignment horizontal="center" vertical="center" wrapText="1"/>
      <protection locked="0"/>
    </xf>
    <xf numFmtId="184" fontId="211" fillId="5" borderId="61" xfId="0" applyNumberFormat="1" applyFont="1" applyFill="1" applyBorder="1" applyAlignment="1" applyProtection="1">
      <alignment horizontal="center" vertical="center"/>
      <protection locked="0"/>
    </xf>
    <xf numFmtId="0" fontId="112" fillId="26" borderId="1" xfId="15" applyFont="1" applyFill="1" applyBorder="1" applyAlignment="1">
      <alignment horizontal="center" vertical="center" wrapText="1"/>
    </xf>
    <xf numFmtId="0" fontId="112" fillId="26" borderId="1" xfId="15" applyFont="1" applyFill="1" applyBorder="1" applyAlignment="1">
      <alignment horizontal="left" vertical="center" wrapText="1"/>
    </xf>
    <xf numFmtId="49" fontId="112" fillId="26" borderId="13" xfId="15" applyNumberFormat="1" applyFont="1" applyFill="1" applyBorder="1" applyAlignment="1">
      <alignment horizontal="center" vertical="center" wrapText="1"/>
    </xf>
    <xf numFmtId="0" fontId="56" fillId="26" borderId="1" xfId="1" applyFont="1" applyFill="1" applyBorder="1" applyAlignment="1">
      <alignment vertical="center"/>
    </xf>
    <xf numFmtId="0" fontId="56" fillId="26" borderId="0" xfId="1" applyFont="1" applyFill="1" applyBorder="1" applyAlignment="1">
      <alignment vertical="center"/>
    </xf>
    <xf numFmtId="0" fontId="112" fillId="26" borderId="1" xfId="15" applyFont="1" applyFill="1" applyBorder="1" applyAlignment="1">
      <alignment vertical="center"/>
    </xf>
    <xf numFmtId="0" fontId="112" fillId="26" borderId="1" xfId="15" applyFont="1" applyFill="1" applyBorder="1" applyAlignment="1">
      <alignment horizontal="center" vertical="center"/>
    </xf>
    <xf numFmtId="2" fontId="112" fillId="26" borderId="1" xfId="15" applyNumberFormat="1" applyFont="1" applyFill="1" applyBorder="1" applyAlignment="1">
      <alignment horizontal="center" vertical="center" wrapText="1"/>
    </xf>
    <xf numFmtId="2" fontId="112" fillId="26" borderId="1" xfId="15" applyNumberFormat="1" applyFont="1" applyFill="1" applyBorder="1" applyAlignment="1">
      <alignment horizontal="center" vertical="center"/>
    </xf>
    <xf numFmtId="0" fontId="231" fillId="26" borderId="1" xfId="15" applyFont="1" applyFill="1" applyBorder="1" applyAlignment="1">
      <alignment horizontal="center" vertical="center"/>
    </xf>
    <xf numFmtId="0" fontId="56" fillId="26" borderId="1" xfId="15" applyFill="1" applyBorder="1" applyAlignment="1">
      <alignment vertical="center"/>
    </xf>
    <xf numFmtId="0" fontId="252" fillId="26" borderId="1" xfId="15" applyFont="1" applyFill="1" applyBorder="1" applyAlignment="1">
      <alignment horizontal="center" vertical="center" wrapText="1"/>
    </xf>
    <xf numFmtId="0" fontId="252" fillId="26" borderId="1" xfId="15" applyFont="1" applyFill="1" applyBorder="1" applyAlignment="1">
      <alignment vertical="center"/>
    </xf>
    <xf numFmtId="49" fontId="112" fillId="26" borderId="13" xfId="15" applyNumberFormat="1" applyFont="1" applyFill="1" applyBorder="1" applyAlignment="1">
      <alignment vertical="center" wrapText="1"/>
    </xf>
    <xf numFmtId="49" fontId="252" fillId="26" borderId="13" xfId="15" applyNumberFormat="1" applyFont="1" applyFill="1" applyBorder="1" applyAlignment="1">
      <alignment horizontal="center" vertical="center" wrapText="1"/>
    </xf>
    <xf numFmtId="0" fontId="112" fillId="26" borderId="1" xfId="1" applyFont="1" applyFill="1" applyBorder="1" applyAlignment="1">
      <alignment horizontal="center" vertical="center"/>
    </xf>
    <xf numFmtId="49" fontId="112" fillId="26" borderId="1" xfId="15" applyNumberFormat="1" applyFont="1" applyFill="1" applyBorder="1" applyAlignment="1">
      <alignment horizontal="center" vertical="center"/>
    </xf>
    <xf numFmtId="49" fontId="112" fillId="26" borderId="3" xfId="15" applyNumberFormat="1" applyFont="1" applyFill="1" applyBorder="1" applyAlignment="1">
      <alignment horizontal="center" vertical="center"/>
    </xf>
    <xf numFmtId="0" fontId="252" fillId="26" borderId="1" xfId="1" applyFont="1" applyFill="1" applyBorder="1" applyAlignment="1">
      <alignment horizontal="center" vertical="center"/>
    </xf>
    <xf numFmtId="182" fontId="56" fillId="0" borderId="0" xfId="1" applyNumberFormat="1" applyFont="1" applyFill="1" applyBorder="1" applyAlignment="1">
      <alignment vertical="center"/>
    </xf>
    <xf numFmtId="182" fontId="263" fillId="0" borderId="0" xfId="1" applyNumberFormat="1" applyFont="1" applyFill="1" applyBorder="1" applyAlignment="1">
      <alignment vertical="center"/>
    </xf>
    <xf numFmtId="9" fontId="56" fillId="26" borderId="0" xfId="13" applyFont="1" applyFill="1" applyBorder="1" applyAlignment="1">
      <alignment vertical="center"/>
    </xf>
    <xf numFmtId="0" fontId="109" fillId="0" borderId="1" xfId="1" applyFont="1" applyBorder="1" applyAlignment="1" applyProtection="1">
      <alignment horizontal="center"/>
      <protection hidden="1"/>
    </xf>
    <xf numFmtId="183" fontId="20" fillId="0" borderId="1" xfId="1" applyNumberFormat="1" applyFont="1" applyBorder="1" applyAlignment="1" applyProtection="1">
      <alignment horizontal="center"/>
      <protection hidden="1"/>
    </xf>
    <xf numFmtId="183" fontId="20" fillId="0" borderId="3" xfId="1" applyNumberFormat="1" applyFont="1" applyBorder="1" applyAlignment="1" applyProtection="1">
      <alignment horizontal="center"/>
      <protection hidden="1"/>
    </xf>
    <xf numFmtId="182" fontId="20" fillId="0" borderId="1" xfId="1" applyNumberFormat="1" applyFont="1" applyBorder="1" applyAlignment="1" applyProtection="1">
      <alignment horizontal="center"/>
      <protection hidden="1"/>
    </xf>
    <xf numFmtId="10" fontId="20" fillId="0" borderId="1" xfId="1" applyNumberFormat="1" applyFont="1" applyBorder="1" applyAlignment="1" applyProtection="1">
      <alignment horizontal="center"/>
      <protection hidden="1"/>
    </xf>
    <xf numFmtId="0" fontId="131" fillId="0" borderId="0" xfId="2"/>
    <xf numFmtId="0" fontId="109" fillId="27" borderId="1" xfId="1" applyFont="1" applyFill="1" applyBorder="1" applyAlignment="1" applyProtection="1">
      <alignment horizontal="center"/>
      <protection hidden="1"/>
    </xf>
    <xf numFmtId="180" fontId="109" fillId="0" borderId="1" xfId="1" applyNumberFormat="1" applyFont="1" applyBorder="1" applyAlignment="1" applyProtection="1">
      <alignment horizontal="center"/>
      <protection hidden="1"/>
    </xf>
    <xf numFmtId="182" fontId="20" fillId="19" borderId="1" xfId="1" applyNumberFormat="1" applyFont="1" applyFill="1" applyBorder="1" applyAlignment="1" applyProtection="1">
      <alignment horizontal="center"/>
      <protection hidden="1"/>
    </xf>
    <xf numFmtId="10" fontId="20" fillId="19" borderId="1" xfId="1" applyNumberFormat="1" applyFont="1" applyFill="1" applyBorder="1" applyAlignment="1" applyProtection="1">
      <alignment horizontal="center"/>
      <protection hidden="1"/>
    </xf>
    <xf numFmtId="0" fontId="109" fillId="28" borderId="1" xfId="1" applyFont="1" applyFill="1" applyBorder="1" applyAlignment="1" applyProtection="1">
      <alignment horizontal="center"/>
      <protection hidden="1"/>
    </xf>
    <xf numFmtId="180" fontId="109" fillId="29" borderId="1" xfId="1" applyNumberFormat="1" applyFont="1" applyFill="1" applyBorder="1" applyAlignment="1" applyProtection="1">
      <alignment horizontal="center"/>
      <protection hidden="1"/>
    </xf>
    <xf numFmtId="0" fontId="109" fillId="5" borderId="1" xfId="1" applyFont="1" applyFill="1" applyBorder="1" applyAlignment="1" applyProtection="1">
      <alignment horizontal="center"/>
      <protection hidden="1"/>
    </xf>
    <xf numFmtId="0" fontId="131" fillId="0" borderId="0" xfId="2" applyAlignment="1">
      <alignment wrapText="1"/>
    </xf>
    <xf numFmtId="0" fontId="131" fillId="0" borderId="0" xfId="2" applyAlignment="1">
      <alignment horizontal="center" vertical="center"/>
    </xf>
    <xf numFmtId="0" fontId="131" fillId="0" borderId="0" xfId="2" applyAlignment="1">
      <alignment horizontal="center" vertical="center" wrapText="1"/>
    </xf>
    <xf numFmtId="183" fontId="131" fillId="0" borderId="0" xfId="2" applyNumberFormat="1"/>
    <xf numFmtId="0" fontId="131" fillId="9" borderId="0" xfId="2" applyFill="1"/>
    <xf numFmtId="0" fontId="131" fillId="29" borderId="0" xfId="2" applyFill="1"/>
    <xf numFmtId="0" fontId="157" fillId="29" borderId="0" xfId="2" applyFont="1" applyFill="1"/>
    <xf numFmtId="58" fontId="131" fillId="30" borderId="0" xfId="2" applyNumberFormat="1" applyFill="1"/>
    <xf numFmtId="0" fontId="131" fillId="30" borderId="0" xfId="2" applyFill="1"/>
    <xf numFmtId="0" fontId="131" fillId="31" borderId="0" xfId="2" applyFill="1"/>
    <xf numFmtId="0" fontId="157" fillId="0" borderId="0" xfId="2" applyFont="1"/>
    <xf numFmtId="0" fontId="56" fillId="2" borderId="0" xfId="2" applyFont="1" applyFill="1"/>
    <xf numFmtId="0" fontId="56" fillId="0" borderId="0" xfId="2" applyFont="1"/>
    <xf numFmtId="0" fontId="56" fillId="0" borderId="0" xfId="2" applyFont="1" applyAlignment="1">
      <alignment horizontal="center"/>
    </xf>
    <xf numFmtId="0" fontId="131" fillId="0" borderId="0" xfId="2" applyAlignment="1">
      <alignment horizontal="center"/>
    </xf>
    <xf numFmtId="9" fontId="131" fillId="0" borderId="0" xfId="2" applyNumberFormat="1" applyAlignment="1">
      <alignment horizontal="center"/>
    </xf>
    <xf numFmtId="0" fontId="131" fillId="31" borderId="0" xfId="2" applyFill="1" applyAlignment="1">
      <alignment horizontal="center"/>
    </xf>
    <xf numFmtId="182" fontId="68" fillId="0" borderId="23" xfId="0" applyNumberFormat="1" applyFont="1" applyBorder="1" applyAlignment="1" applyProtection="1">
      <alignment horizontal="center" vertical="center"/>
      <protection locked="0"/>
    </xf>
    <xf numFmtId="0" fontId="112" fillId="0" borderId="1" xfId="10" applyFont="1" applyFill="1" applyBorder="1" applyAlignment="1">
      <alignment horizontal="center" vertical="center"/>
    </xf>
    <xf numFmtId="0" fontId="112" fillId="0" borderId="5" xfId="10" applyFont="1" applyFill="1" applyBorder="1" applyAlignment="1">
      <alignment horizontal="center" vertical="center"/>
    </xf>
    <xf numFmtId="0" fontId="56" fillId="0" borderId="1" xfId="10" applyFont="1" applyFill="1" applyBorder="1" applyAlignme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5"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5" fontId="27" fillId="0" borderId="5" xfId="0" applyNumberFormat="1" applyFont="1" applyFill="1" applyBorder="1" applyAlignment="1" applyProtection="1">
      <alignment horizontal="center" vertical="center" wrapText="1"/>
    </xf>
    <xf numFmtId="185" fontId="27" fillId="0" borderId="54" xfId="0" applyNumberFormat="1" applyFont="1" applyFill="1" applyBorder="1" applyAlignment="1" applyProtection="1">
      <alignment horizontal="center" vertical="center" wrapText="1"/>
    </xf>
    <xf numFmtId="185"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5"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7"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12" fillId="0" borderId="13" xfId="15" applyFont="1" applyFill="1" applyBorder="1" applyAlignment="1" applyProtection="1">
      <alignment horizontal="center" vertical="center"/>
      <protection locked="0"/>
    </xf>
    <xf numFmtId="0" fontId="112" fillId="0" borderId="2" xfId="15" applyFont="1" applyFill="1" applyBorder="1" applyAlignment="1" applyProtection="1">
      <alignment horizontal="center" vertical="center"/>
      <protection locked="0"/>
    </xf>
    <xf numFmtId="0" fontId="112" fillId="0" borderId="13" xfId="15" applyFont="1" applyFill="1" applyBorder="1" applyAlignment="1" applyProtection="1">
      <alignment horizontal="left" vertical="center"/>
      <protection locked="0"/>
    </xf>
    <xf numFmtId="0" fontId="112" fillId="0" borderId="2" xfId="15" applyFont="1" applyFill="1" applyBorder="1" applyAlignment="1" applyProtection="1">
      <alignment horizontal="left" vertical="center"/>
      <protection locked="0"/>
    </xf>
    <xf numFmtId="0" fontId="112" fillId="0" borderId="15" xfId="15" applyFont="1" applyFill="1" applyBorder="1" applyAlignment="1" applyProtection="1">
      <alignment horizontal="center" vertical="center"/>
      <protection locked="0"/>
    </xf>
    <xf numFmtId="0" fontId="251" fillId="0" borderId="13" xfId="15" applyFont="1" applyBorder="1" applyAlignment="1" applyProtection="1">
      <alignment horizontal="center" vertical="center" wrapText="1"/>
      <protection locked="0"/>
    </xf>
    <xf numFmtId="0" fontId="251" fillId="0" borderId="2" xfId="15" applyFont="1" applyBorder="1" applyAlignment="1" applyProtection="1">
      <alignment horizontal="center" vertical="center" wrapText="1"/>
      <protection locked="0"/>
    </xf>
    <xf numFmtId="0" fontId="112" fillId="0" borderId="13" xfId="15" applyFont="1" applyBorder="1" applyAlignment="1" applyProtection="1">
      <alignment horizontal="center" vertical="center" wrapText="1"/>
      <protection locked="0"/>
    </xf>
    <xf numFmtId="0" fontId="112" fillId="0" borderId="2" xfId="15" applyFont="1" applyBorder="1" applyAlignment="1" applyProtection="1">
      <alignment horizontal="center" vertical="center" wrapText="1"/>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5"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5" fontId="25" fillId="6" borderId="5" xfId="0" applyNumberFormat="1" applyFont="1" applyFill="1" applyBorder="1" applyAlignment="1" applyProtection="1">
      <alignment horizontal="center" vertical="center" wrapText="1"/>
    </xf>
    <xf numFmtId="185"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5"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9" fontId="75" fillId="6" borderId="1" xfId="0" applyNumberFormat="1" applyFont="1" applyFill="1" applyBorder="1" applyAlignment="1" applyProtection="1">
      <alignment horizontal="center" vertical="center"/>
    </xf>
    <xf numFmtId="189"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12" fillId="0" borderId="1" xfId="14" applyFont="1" applyBorder="1" applyAlignment="1">
      <alignment horizontal="center" vertical="center"/>
    </xf>
    <xf numFmtId="0" fontId="56" fillId="0" borderId="1" xfId="10" applyFont="1" applyFill="1" applyBorder="1" applyAlignment="1">
      <alignment horizontal="center" vertical="center"/>
    </xf>
    <xf numFmtId="0" fontId="256" fillId="0" borderId="0" xfId="14" applyFont="1" applyAlignment="1">
      <alignment horizontal="center" vertical="top"/>
    </xf>
    <xf numFmtId="0" fontId="112" fillId="0" borderId="1" xfId="14" applyFont="1" applyBorder="1" applyAlignment="1">
      <alignment horizontal="center" vertical="center" wrapText="1"/>
    </xf>
    <xf numFmtId="0" fontId="112" fillId="0" borderId="13" xfId="14" applyFont="1" applyBorder="1" applyAlignment="1">
      <alignment horizontal="center" vertical="center"/>
    </xf>
    <xf numFmtId="0" fontId="112" fillId="0" borderId="2" xfId="14" applyFont="1" applyBorder="1" applyAlignment="1">
      <alignment horizontal="center" vertical="center"/>
    </xf>
    <xf numFmtId="178" fontId="112" fillId="0" borderId="1" xfId="19" applyFont="1" applyBorder="1" applyAlignment="1">
      <alignment horizontal="center" vertical="center"/>
    </xf>
    <xf numFmtId="0" fontId="112" fillId="0" borderId="1" xfId="10" applyFont="1" applyFill="1" applyBorder="1" applyAlignment="1">
      <alignment horizontal="center" vertical="center"/>
    </xf>
    <xf numFmtId="0" fontId="112" fillId="0" borderId="5" xfId="10" applyFont="1" applyFill="1" applyBorder="1" applyAlignment="1">
      <alignment horizontal="center" vertical="center"/>
    </xf>
    <xf numFmtId="0" fontId="258" fillId="0" borderId="0" xfId="15" applyFont="1" applyBorder="1" applyAlignment="1">
      <alignment horizontal="center" vertical="top"/>
    </xf>
    <xf numFmtId="0" fontId="260" fillId="0" borderId="0" xfId="15" applyFont="1" applyBorder="1" applyAlignment="1">
      <alignment horizontal="center" vertical="top"/>
    </xf>
    <xf numFmtId="0" fontId="112" fillId="0" borderId="13" xfId="15" applyFont="1" applyFill="1" applyBorder="1" applyAlignment="1">
      <alignment horizontal="center" vertical="center" wrapText="1"/>
    </xf>
    <xf numFmtId="0" fontId="112" fillId="0" borderId="15" xfId="15" applyFont="1" applyFill="1" applyBorder="1" applyAlignment="1">
      <alignment horizontal="center" vertical="center" wrapText="1"/>
    </xf>
    <xf numFmtId="0" fontId="112" fillId="0" borderId="2" xfId="15" applyFont="1" applyFill="1" applyBorder="1" applyAlignment="1">
      <alignment horizontal="center" vertical="center" wrapText="1"/>
    </xf>
    <xf numFmtId="0" fontId="112" fillId="0" borderId="13" xfId="15" applyFont="1" applyBorder="1" applyAlignment="1">
      <alignment horizontal="center" vertical="center" wrapText="1"/>
    </xf>
    <xf numFmtId="0" fontId="112" fillId="0" borderId="2" xfId="15" applyFont="1" applyBorder="1" applyAlignment="1">
      <alignment horizontal="center" vertical="center" wrapText="1"/>
    </xf>
    <xf numFmtId="0" fontId="251" fillId="0" borderId="13" xfId="15" applyFont="1" applyBorder="1" applyAlignment="1">
      <alignment horizontal="center" vertical="center" wrapText="1"/>
    </xf>
    <xf numFmtId="0" fontId="251" fillId="0" borderId="2" xfId="15" applyFont="1" applyBorder="1" applyAlignment="1">
      <alignment horizontal="center" vertical="center" wrapText="1"/>
    </xf>
    <xf numFmtId="0" fontId="262" fillId="0" borderId="1" xfId="15" applyNumberFormat="1" applyFont="1" applyBorder="1" applyAlignment="1">
      <alignment horizontal="left" vertical="center" wrapText="1"/>
    </xf>
    <xf numFmtId="0" fontId="262" fillId="0" borderId="13" xfId="15" applyFont="1" applyFill="1" applyBorder="1" applyAlignment="1">
      <alignment horizontal="center" vertical="center"/>
    </xf>
    <xf numFmtId="0" fontId="262" fillId="0" borderId="15" xfId="15" applyFont="1" applyFill="1" applyBorder="1" applyAlignment="1">
      <alignment horizontal="center" vertical="center"/>
    </xf>
    <xf numFmtId="0" fontId="262" fillId="0" borderId="2" xfId="15" applyFont="1" applyFill="1" applyBorder="1" applyAlignment="1">
      <alignment horizontal="center" vertical="center"/>
    </xf>
    <xf numFmtId="0" fontId="262" fillId="0" borderId="13" xfId="15" applyFont="1" applyFill="1" applyBorder="1" applyAlignment="1">
      <alignment horizontal="center" vertical="center" wrapText="1"/>
    </xf>
    <xf numFmtId="0" fontId="262" fillId="0" borderId="15" xfId="15" applyFont="1" applyFill="1" applyBorder="1" applyAlignment="1">
      <alignment horizontal="center" vertical="center" wrapText="1"/>
    </xf>
    <xf numFmtId="0" fontId="262" fillId="0" borderId="2" xfId="15" applyFont="1" applyFill="1" applyBorder="1" applyAlignment="1">
      <alignment horizontal="center" vertical="center" wrapText="1"/>
    </xf>
    <xf numFmtId="0" fontId="112" fillId="26" borderId="13" xfId="15" applyFont="1" applyFill="1" applyBorder="1" applyAlignment="1">
      <alignment horizontal="center" vertical="center" wrapText="1"/>
    </xf>
    <xf numFmtId="0" fontId="112" fillId="26" borderId="2" xfId="15" applyFont="1" applyFill="1" applyBorder="1" applyAlignment="1">
      <alignment horizontal="center" vertical="center" wrapText="1"/>
    </xf>
    <xf numFmtId="0" fontId="112" fillId="26" borderId="15" xfId="15" applyFont="1" applyFill="1" applyBorder="1" applyAlignment="1">
      <alignment horizontal="center" vertical="center" wrapText="1"/>
    </xf>
    <xf numFmtId="0" fontId="112" fillId="26" borderId="13" xfId="15" applyFont="1" applyFill="1" applyBorder="1" applyAlignment="1">
      <alignment horizontal="center" vertical="center"/>
    </xf>
    <xf numFmtId="0" fontId="112" fillId="26" borderId="2" xfId="15" applyFont="1" applyFill="1" applyBorder="1" applyAlignment="1">
      <alignment horizontal="center" vertical="center"/>
    </xf>
    <xf numFmtId="0" fontId="112" fillId="26" borderId="15" xfId="15" applyFont="1" applyFill="1" applyBorder="1" applyAlignment="1">
      <alignment horizontal="center" vertical="center"/>
    </xf>
    <xf numFmtId="0" fontId="112" fillId="0" borderId="13" xfId="15" applyFont="1" applyFill="1" applyBorder="1" applyAlignment="1">
      <alignment horizontal="center" vertical="center"/>
    </xf>
    <xf numFmtId="0" fontId="112" fillId="0" borderId="15" xfId="15" applyFont="1" applyFill="1" applyBorder="1" applyAlignment="1">
      <alignment horizontal="center" vertical="center"/>
    </xf>
    <xf numFmtId="0" fontId="112" fillId="0" borderId="2" xfId="15" applyFont="1" applyFill="1" applyBorder="1" applyAlignment="1">
      <alignment horizontal="center" vertical="center"/>
    </xf>
    <xf numFmtId="0" fontId="112" fillId="0" borderId="15" xfId="15" applyFont="1" applyBorder="1" applyAlignment="1">
      <alignment horizontal="center" vertical="center" wrapText="1"/>
    </xf>
    <xf numFmtId="0" fontId="112" fillId="0" borderId="13" xfId="15" applyFont="1" applyFill="1" applyBorder="1" applyAlignment="1">
      <alignment horizontal="left" vertical="center"/>
    </xf>
    <xf numFmtId="0" fontId="112" fillId="0" borderId="2" xfId="15" applyFont="1" applyFill="1" applyBorder="1" applyAlignment="1">
      <alignment horizontal="left" vertical="center"/>
    </xf>
    <xf numFmtId="200" fontId="95" fillId="0" borderId="0" xfId="20" applyNumberFormat="1" applyFont="1" applyFill="1" applyAlignment="1">
      <alignment horizontal="center"/>
    </xf>
    <xf numFmtId="200" fontId="264" fillId="0" borderId="0" xfId="20" applyNumberFormat="1" applyFont="1" applyFill="1" applyAlignment="1">
      <alignment horizontal="center"/>
    </xf>
    <xf numFmtId="200" fontId="265" fillId="0" borderId="9" xfId="20" applyNumberFormat="1" applyFont="1" applyFill="1" applyBorder="1" applyAlignment="1">
      <alignment horizontal="center" vertical="center"/>
    </xf>
    <xf numFmtId="182" fontId="95" fillId="0" borderId="0" xfId="480" applyNumberFormat="1" applyFont="1" applyFill="1" applyAlignment="1">
      <alignment horizontal="center"/>
    </xf>
    <xf numFmtId="182" fontId="265" fillId="0" borderId="0" xfId="480" applyNumberFormat="1" applyFont="1" applyFill="1" applyAlignment="1" applyProtection="1">
      <alignment horizont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0" xfId="2" applyAlignment="1">
      <alignment horizontal="center" vertical="center"/>
    </xf>
    <xf numFmtId="0" fontId="131" fillId="9" borderId="0" xfId="2" applyFill="1" applyAlignment="1">
      <alignment horizontal="center" vertical="center"/>
    </xf>
    <xf numFmtId="0" fontId="131" fillId="30" borderId="0" xfId="2" applyFill="1" applyAlignment="1">
      <alignment horizontal="center" vertical="center"/>
    </xf>
    <xf numFmtId="185" fontId="11" fillId="7" borderId="0" xfId="0" applyNumberFormat="1" applyFont="1" applyFill="1" applyBorder="1" applyAlignment="1" applyProtection="1">
      <alignment horizontal="center" vertical="center" wrapText="1"/>
      <protection locked="0"/>
    </xf>
  </cellXfs>
  <cellStyles count="491">
    <cellStyle name="—" xfId="21"/>
    <cellStyle name="$" xfId="22"/>
    <cellStyle name="(1,000)" xfId="23"/>
    <cellStyle name="(1,000)x" xfId="24"/>
    <cellStyle name="??" xfId="25"/>
    <cellStyle name="?? 2" xfId="26"/>
    <cellStyle name="?餡_x000c_k?_x000d_^黇_x0001_??_x0007__x0001__x0001_" xfId="27"/>
    <cellStyle name="@_text" xfId="28"/>
    <cellStyle name="_%(SignOnly)" xfId="29"/>
    <cellStyle name="_%(SignSpaceOnly)" xfId="30"/>
    <cellStyle name="_(中企华)审计评估联合申报明细表.V1" xfId="31"/>
    <cellStyle name="_000外高桥提供预测表收益法" xfId="32"/>
    <cellStyle name="_04年公司预算汇总表0323-final" xfId="33"/>
    <cellStyle name="_04年公司预算汇总表040324" xfId="34"/>
    <cellStyle name="_1Red" xfId="35"/>
    <cellStyle name="_2006财务费用" xfId="36"/>
    <cellStyle name="_Book1" xfId="37"/>
    <cellStyle name="_Book1正龙" xfId="38"/>
    <cellStyle name="_Comma" xfId="39"/>
    <cellStyle name="_Currency" xfId="40"/>
    <cellStyle name="_Currency_Satelindo Model 30.7.1999" xfId="41"/>
    <cellStyle name="_CurrencySpace" xfId="42"/>
    <cellStyle name="_Dollar" xfId="43"/>
    <cellStyle name="_Euro" xfId="44"/>
    <cellStyle name="—_GS Assumptions-F" xfId="45"/>
    <cellStyle name="—_GS Assumptions-F_Maxis_Model_1" xfId="46"/>
    <cellStyle name="—_GS Assumptions-F_Maxis_Model_1_final7.16" xfId="47"/>
    <cellStyle name="—_GS Assumptions-F_Maxis_Model_1_final7.201" xfId="48"/>
    <cellStyle name="—_GS Assumptions-F_Maxis_Model_1_Residential Broadband Financial Projection Model v8 Tier 1" xfId="49"/>
    <cellStyle name="—_GS Assumptions-F_Maxis_Model_1_Residential Broadband Financial Projection Model v8 Tier 1_final7.16" xfId="50"/>
    <cellStyle name="—_GS Assumptions-F_Maxis_Model_1_Residential Broadband Financial Projection Model v8 Tier 1_final7.201" xfId="51"/>
    <cellStyle name="—_GS Assumptions-F_Maxis_Model_1_Residential Broadband Financial Projection Model v8 Tier 1_Residential Broadband Financial Projection Model v14" xfId="52"/>
    <cellStyle name="—_GS Assumptions-F_Maxis_Model_1_Residential Broadband Financial Projection Model v8 Tier 1_Residential Broadband Financial Projection Model v14.3" xfId="53"/>
    <cellStyle name="—_GS Assumptions-F_Maxis_Model_1_Residential Broadband Financial Projection Model v8 Tier 1_Residential Broadband Financial Projection Model v14.3_final7.16" xfId="54"/>
    <cellStyle name="—_GS Assumptions-F_Maxis_Model_1_Residential Broadband Financial Projection Model v8 Tier 1_Residential Broadband Financial Projection Model v14.3_final7.201" xfId="55"/>
    <cellStyle name="—_GS Assumptions-F_Maxis_Model_1_Residential Broadband Financial Projection Model v8 Tier 1_Residential Broadband Financial Projection Model v14_final7.16" xfId="56"/>
    <cellStyle name="—_GS Assumptions-F_Maxis_Model_1_Residential Broadband Financial Projection Model v8 Tier 1_Residential Broadband Financial Projection Model v14_final7.201" xfId="57"/>
    <cellStyle name="—_GS Assumptions-F_Maxis_Model_1_Residential Broadband Financial Projection Model v8 Tier 2" xfId="58"/>
    <cellStyle name="—_GS Assumptions-F_Maxis_Model_1_Residential Broadband Financial Projection Model v8 Tier 2_final7.16" xfId="59"/>
    <cellStyle name="—_GS Assumptions-F_Maxis_Model_1_Residential Broadband Financial Projection Model v8 Tier 2_final7.201" xfId="60"/>
    <cellStyle name="—_GS Assumptions-F_Maxis_Model_1_Residential Broadband Financial Projection Model v8 Tier 2_Residential Broadband Financial Projection Model v14" xfId="61"/>
    <cellStyle name="—_GS Assumptions-F_Maxis_Model_1_Residential Broadband Financial Projection Model v8 Tier 2_Residential Broadband Financial Projection Model v14.3" xfId="62"/>
    <cellStyle name="—_GS Assumptions-F_Maxis_Model_1_Residential Broadband Financial Projection Model v8 Tier 2_Residential Broadband Financial Projection Model v14.3_final7.16" xfId="63"/>
    <cellStyle name="—_GS Assumptions-F_Maxis_Model_1_Residential Broadband Financial Projection Model v8 Tier 2_Residential Broadband Financial Projection Model v14.3_final7.201" xfId="64"/>
    <cellStyle name="—_GS Assumptions-F_Maxis_Model_1_Residential Broadband Financial Projection Model v8 Tier 2_Residential Broadband Financial Projection Model v14_final7.16" xfId="65"/>
    <cellStyle name="—_GS Assumptions-F_Maxis_Model_1_Residential Broadband Financial Projection Model v8 Tier 2_Residential Broadband Financial Projection Model v14_final7.201" xfId="66"/>
    <cellStyle name="—_GS Assumptions-F_Maxis_Model_1_Residential Broadband Financial Projection Model v8 Tier 3" xfId="67"/>
    <cellStyle name="—_GS Assumptions-F_Maxis_Model_1_Residential Broadband Financial Projection Model v8 Tier 3_final7.16" xfId="68"/>
    <cellStyle name="—_GS Assumptions-F_Maxis_Model_1_Residential Broadband Financial Projection Model v8 Tier 3_final7.201" xfId="69"/>
    <cellStyle name="—_GS Assumptions-F_Maxis_Model_1_Residential Broadband Financial Projection Model v8 Tier 3_Residential Broadband Financial Projection Model v14" xfId="70"/>
    <cellStyle name="—_GS Assumptions-F_Maxis_Model_1_Residential Broadband Financial Projection Model v8 Tier 3_Residential Broadband Financial Projection Model v14.3" xfId="71"/>
    <cellStyle name="—_GS Assumptions-F_Maxis_Model_1_Residential Broadband Financial Projection Model v8 Tier 3_Residential Broadband Financial Projection Model v14.3_final7.16" xfId="72"/>
    <cellStyle name="—_GS Assumptions-F_Maxis_Model_1_Residential Broadband Financial Projection Model v8 Tier 3_Residential Broadband Financial Projection Model v14.3_final7.201" xfId="73"/>
    <cellStyle name="—_GS Assumptions-F_Maxis_Model_1_Residential Broadband Financial Projection Model v8 Tier 3_Residential Broadband Financial Projection Model v14_final7.16" xfId="74"/>
    <cellStyle name="—_GS Assumptions-F_Maxis_Model_1_Residential Broadband Financial Projection Model v8 Tier 3_Residential Broadband Financial Projection Model v14_final7.201" xfId="75"/>
    <cellStyle name="—_GS_Balance" xfId="76"/>
    <cellStyle name="—_GS_Balance_Maxis_Model_1" xfId="77"/>
    <cellStyle name="—_GS_Balance_Maxis_Model_1_final7.16" xfId="78"/>
    <cellStyle name="—_GS_Balance_Maxis_Model_1_final7.201" xfId="79"/>
    <cellStyle name="—_GS_Balance_Maxis_Model_1_Residential Broadband Financial Projection Model v8 Tier 1" xfId="80"/>
    <cellStyle name="—_GS_Balance_Maxis_Model_1_Residential Broadband Financial Projection Model v8 Tier 1_final7.16" xfId="81"/>
    <cellStyle name="—_GS_Balance_Maxis_Model_1_Residential Broadband Financial Projection Model v8 Tier 1_final7.201" xfId="82"/>
    <cellStyle name="—_GS_Balance_Maxis_Model_1_Residential Broadband Financial Projection Model v8 Tier 1_Residential Broadband Financial Projection Model v14" xfId="83"/>
    <cellStyle name="—_GS_Balance_Maxis_Model_1_Residential Broadband Financial Projection Model v8 Tier 1_Residential Broadband Financial Projection Model v14.3" xfId="84"/>
    <cellStyle name="—_GS_Balance_Maxis_Model_1_Residential Broadband Financial Projection Model v8 Tier 1_Residential Broadband Financial Projection Model v14.3_final7.16" xfId="85"/>
    <cellStyle name="—_GS_Balance_Maxis_Model_1_Residential Broadband Financial Projection Model v8 Tier 1_Residential Broadband Financial Projection Model v14.3_final7.201" xfId="86"/>
    <cellStyle name="—_GS_Balance_Maxis_Model_1_Residential Broadband Financial Projection Model v8 Tier 1_Residential Broadband Financial Projection Model v14_final7.16" xfId="87"/>
    <cellStyle name="—_GS_Balance_Maxis_Model_1_Residential Broadband Financial Projection Model v8 Tier 1_Residential Broadband Financial Projection Model v14_final7.201" xfId="88"/>
    <cellStyle name="—_GS_Balance_Maxis_Model_1_Residential Broadband Financial Projection Model v8 Tier 2" xfId="89"/>
    <cellStyle name="—_GS_Balance_Maxis_Model_1_Residential Broadband Financial Projection Model v8 Tier 2_final7.16" xfId="90"/>
    <cellStyle name="—_GS_Balance_Maxis_Model_1_Residential Broadband Financial Projection Model v8 Tier 2_final7.201" xfId="91"/>
    <cellStyle name="—_GS_Balance_Maxis_Model_1_Residential Broadband Financial Projection Model v8 Tier 2_Residential Broadband Financial Projection Model v14" xfId="92"/>
    <cellStyle name="—_GS_Balance_Maxis_Model_1_Residential Broadband Financial Projection Model v8 Tier 2_Residential Broadband Financial Projection Model v14.3" xfId="93"/>
    <cellStyle name="—_GS_Balance_Maxis_Model_1_Residential Broadband Financial Projection Model v8 Tier 2_Residential Broadband Financial Projection Model v14.3_final7.16" xfId="94"/>
    <cellStyle name="—_GS_Balance_Maxis_Model_1_Residential Broadband Financial Projection Model v8 Tier 2_Residential Broadband Financial Projection Model v14.3_final7.201" xfId="95"/>
    <cellStyle name="—_GS_Balance_Maxis_Model_1_Residential Broadband Financial Projection Model v8 Tier 2_Residential Broadband Financial Projection Model v14_final7.16" xfId="96"/>
    <cellStyle name="—_GS_Balance_Maxis_Model_1_Residential Broadband Financial Projection Model v8 Tier 2_Residential Broadband Financial Projection Model v14_final7.201" xfId="97"/>
    <cellStyle name="—_GS_Balance_Maxis_Model_1_Residential Broadband Financial Projection Model v8 Tier 3" xfId="98"/>
    <cellStyle name="—_GS_Balance_Maxis_Model_1_Residential Broadband Financial Projection Model v8 Tier 3_final7.16" xfId="99"/>
    <cellStyle name="—_GS_Balance_Maxis_Model_1_Residential Broadband Financial Projection Model v8 Tier 3_final7.201" xfId="100"/>
    <cellStyle name="—_GS_Balance_Maxis_Model_1_Residential Broadband Financial Projection Model v8 Tier 3_Residential Broadband Financial Projection Model v14" xfId="101"/>
    <cellStyle name="—_GS_Balance_Maxis_Model_1_Residential Broadband Financial Projection Model v8 Tier 3_Residential Broadband Financial Projection Model v14.3" xfId="102"/>
    <cellStyle name="—_GS_Balance_Maxis_Model_1_Residential Broadband Financial Projection Model v8 Tier 3_Residential Broadband Financial Projection Model v14.3_final7.16" xfId="103"/>
    <cellStyle name="—_GS_Balance_Maxis_Model_1_Residential Broadband Financial Projection Model v8 Tier 3_Residential Broadband Financial Projection Model v14.3_final7.201" xfId="104"/>
    <cellStyle name="—_GS_Balance_Maxis_Model_1_Residential Broadband Financial Projection Model v8 Tier 3_Residential Broadband Financial Projection Model v14_final7.16" xfId="105"/>
    <cellStyle name="—_GS_Balance_Maxis_Model_1_Residential Broadband Financial Projection Model v8 Tier 3_Residential Broadband Financial Projection Model v14_final7.201" xfId="106"/>
    <cellStyle name="—_GS_Cash " xfId="107"/>
    <cellStyle name="—_GS_Cash  (2)" xfId="108"/>
    <cellStyle name="—_GS_Cash  (2)_Maxis_Model_1" xfId="109"/>
    <cellStyle name="—_GS_Cash  (2)_Maxis_Model_1_final7.16" xfId="110"/>
    <cellStyle name="—_GS_Cash  (2)_Maxis_Model_1_final7.201" xfId="111"/>
    <cellStyle name="—_GS_Cash  (2)_Maxis_Model_1_Residential Broadband Financial Projection Model v8 Tier 1" xfId="112"/>
    <cellStyle name="—_GS_Cash  (2)_Maxis_Model_1_Residential Broadband Financial Projection Model v8 Tier 1_final7.16" xfId="113"/>
    <cellStyle name="—_GS_Cash  (2)_Maxis_Model_1_Residential Broadband Financial Projection Model v8 Tier 1_final7.201" xfId="114"/>
    <cellStyle name="—_GS_Cash  (2)_Maxis_Model_1_Residential Broadband Financial Projection Model v8 Tier 1_Residential Broadband Financial Projection Model v14" xfId="115"/>
    <cellStyle name="—_GS_Cash  (2)_Maxis_Model_1_Residential Broadband Financial Projection Model v8 Tier 1_Residential Broadband Financial Projection Model v14.3" xfId="116"/>
    <cellStyle name="—_GS_Cash  (2)_Maxis_Model_1_Residential Broadband Financial Projection Model v8 Tier 1_Residential Broadband Financial Projection Model v14.3_final7.16" xfId="117"/>
    <cellStyle name="—_GS_Cash  (2)_Maxis_Model_1_Residential Broadband Financial Projection Model v8 Tier 1_Residential Broadband Financial Projection Model v14.3_final7.201" xfId="118"/>
    <cellStyle name="—_GS_Cash  (2)_Maxis_Model_1_Residential Broadband Financial Projection Model v8 Tier 1_Residential Broadband Financial Projection Model v14_final7.16" xfId="119"/>
    <cellStyle name="—_GS_Cash  (2)_Maxis_Model_1_Residential Broadband Financial Projection Model v8 Tier 1_Residential Broadband Financial Projection Model v14_final7.201" xfId="120"/>
    <cellStyle name="—_GS_Cash  (2)_Maxis_Model_1_Residential Broadband Financial Projection Model v8 Tier 2" xfId="121"/>
    <cellStyle name="—_GS_Cash  (2)_Maxis_Model_1_Residential Broadband Financial Projection Model v8 Tier 2_final7.16" xfId="122"/>
    <cellStyle name="—_GS_Cash  (2)_Maxis_Model_1_Residential Broadband Financial Projection Model v8 Tier 2_final7.201" xfId="123"/>
    <cellStyle name="—_GS_Cash  (2)_Maxis_Model_1_Residential Broadband Financial Projection Model v8 Tier 2_Residential Broadband Financial Projection Model v14" xfId="124"/>
    <cellStyle name="—_GS_Cash  (2)_Maxis_Model_1_Residential Broadband Financial Projection Model v8 Tier 2_Residential Broadband Financial Projection Model v14.3" xfId="125"/>
    <cellStyle name="—_GS_Cash  (2)_Maxis_Model_1_Residential Broadband Financial Projection Model v8 Tier 2_Residential Broadband Financial Projection Model v14.3_final7.16" xfId="126"/>
    <cellStyle name="—_GS_Cash  (2)_Maxis_Model_1_Residential Broadband Financial Projection Model v8 Tier 2_Residential Broadband Financial Projection Model v14.3_final7.201" xfId="127"/>
    <cellStyle name="—_GS_Cash  (2)_Maxis_Model_1_Residential Broadband Financial Projection Model v8 Tier 2_Residential Broadband Financial Projection Model v14_final7.16" xfId="128"/>
    <cellStyle name="—_GS_Cash  (2)_Maxis_Model_1_Residential Broadband Financial Projection Model v8 Tier 2_Residential Broadband Financial Projection Model v14_final7.201" xfId="129"/>
    <cellStyle name="—_GS_Cash  (2)_Maxis_Model_1_Residential Broadband Financial Projection Model v8 Tier 3" xfId="130"/>
    <cellStyle name="—_GS_Cash  (2)_Maxis_Model_1_Residential Broadband Financial Projection Model v8 Tier 3_final7.16" xfId="131"/>
    <cellStyle name="—_GS_Cash  (2)_Maxis_Model_1_Residential Broadband Financial Projection Model v8 Tier 3_final7.201" xfId="132"/>
    <cellStyle name="—_GS_Cash  (2)_Maxis_Model_1_Residential Broadband Financial Projection Model v8 Tier 3_Residential Broadband Financial Projection Model v14" xfId="133"/>
    <cellStyle name="—_GS_Cash  (2)_Maxis_Model_1_Residential Broadband Financial Projection Model v8 Tier 3_Residential Broadband Financial Projection Model v14.3" xfId="134"/>
    <cellStyle name="—_GS_Cash  (2)_Maxis_Model_1_Residential Broadband Financial Projection Model v8 Tier 3_Residential Broadband Financial Projection Model v14.3_final7.16" xfId="135"/>
    <cellStyle name="—_GS_Cash  (2)_Maxis_Model_1_Residential Broadband Financial Projection Model v8 Tier 3_Residential Broadband Financial Projection Model v14.3_final7.201" xfId="136"/>
    <cellStyle name="—_GS_Cash  (2)_Maxis_Model_1_Residential Broadband Financial Projection Model v8 Tier 3_Residential Broadband Financial Projection Model v14_final7.16" xfId="137"/>
    <cellStyle name="—_GS_Cash  (2)_Maxis_Model_1_Residential Broadband Financial Projection Model v8 Tier 3_Residential Broadband Financial Projection Model v14_final7.201" xfId="138"/>
    <cellStyle name="—_GS_Cash _Maxis_Model_1" xfId="139"/>
    <cellStyle name="—_GS_Cash _Maxis_Model_1_final7.16" xfId="140"/>
    <cellStyle name="—_GS_Cash _Maxis_Model_1_final7.201" xfId="141"/>
    <cellStyle name="—_GS_Cash _Maxis_Model_1_Residential Broadband Financial Projection Model v8 Tier 1" xfId="142"/>
    <cellStyle name="—_GS_Cash _Maxis_Model_1_Residential Broadband Financial Projection Model v8 Tier 1_final7.16" xfId="143"/>
    <cellStyle name="—_GS_Cash _Maxis_Model_1_Residential Broadband Financial Projection Model v8 Tier 1_final7.201" xfId="144"/>
    <cellStyle name="—_GS_Cash _Maxis_Model_1_Residential Broadband Financial Projection Model v8 Tier 1_Residential Broadband Financial Projection Model v14" xfId="145"/>
    <cellStyle name="—_GS_Cash _Maxis_Model_1_Residential Broadband Financial Projection Model v8 Tier 1_Residential Broadband Financial Projection Model v14.3" xfId="146"/>
    <cellStyle name="—_GS_Cash _Maxis_Model_1_Residential Broadband Financial Projection Model v8 Tier 1_Residential Broadband Financial Projection Model v14.3_final7.16" xfId="147"/>
    <cellStyle name="—_GS_Cash _Maxis_Model_1_Residential Broadband Financial Projection Model v8 Tier 1_Residential Broadband Financial Projection Model v14.3_final7.201" xfId="148"/>
    <cellStyle name="—_GS_Cash _Maxis_Model_1_Residential Broadband Financial Projection Model v8 Tier 1_Residential Broadband Financial Projection Model v14_final7.16" xfId="149"/>
    <cellStyle name="—_GS_Cash _Maxis_Model_1_Residential Broadband Financial Projection Model v8 Tier 1_Residential Broadband Financial Projection Model v14_final7.201" xfId="150"/>
    <cellStyle name="—_GS_Cash _Maxis_Model_1_Residential Broadband Financial Projection Model v8 Tier 2" xfId="151"/>
    <cellStyle name="—_GS_Cash _Maxis_Model_1_Residential Broadband Financial Projection Model v8 Tier 2_final7.16" xfId="152"/>
    <cellStyle name="—_GS_Cash _Maxis_Model_1_Residential Broadband Financial Projection Model v8 Tier 2_final7.201" xfId="153"/>
    <cellStyle name="—_GS_Cash _Maxis_Model_1_Residential Broadband Financial Projection Model v8 Tier 2_Residential Broadband Financial Projection Model v14" xfId="154"/>
    <cellStyle name="—_GS_Cash _Maxis_Model_1_Residential Broadband Financial Projection Model v8 Tier 2_Residential Broadband Financial Projection Model v14.3" xfId="155"/>
    <cellStyle name="—_GS_Cash _Maxis_Model_1_Residential Broadband Financial Projection Model v8 Tier 2_Residential Broadband Financial Projection Model v14.3_final7.16" xfId="156"/>
    <cellStyle name="—_GS_Cash _Maxis_Model_1_Residential Broadband Financial Projection Model v8 Tier 2_Residential Broadband Financial Projection Model v14.3_final7.201" xfId="157"/>
    <cellStyle name="—_GS_Cash _Maxis_Model_1_Residential Broadband Financial Projection Model v8 Tier 2_Residential Broadband Financial Projection Model v14_final7.16" xfId="158"/>
    <cellStyle name="—_GS_Cash _Maxis_Model_1_Residential Broadband Financial Projection Model v8 Tier 2_Residential Broadband Financial Projection Model v14_final7.201" xfId="159"/>
    <cellStyle name="—_GS_Cash _Maxis_Model_1_Residential Broadband Financial Projection Model v8 Tier 3" xfId="160"/>
    <cellStyle name="—_GS_Cash _Maxis_Model_1_Residential Broadband Financial Projection Model v8 Tier 3_final7.16" xfId="161"/>
    <cellStyle name="—_GS_Cash _Maxis_Model_1_Residential Broadband Financial Projection Model v8 Tier 3_final7.201" xfId="162"/>
    <cellStyle name="—_GS_Cash _Maxis_Model_1_Residential Broadband Financial Projection Model v8 Tier 3_Residential Broadband Financial Projection Model v14" xfId="163"/>
    <cellStyle name="—_GS_Cash _Maxis_Model_1_Residential Broadband Financial Projection Model v8 Tier 3_Residential Broadband Financial Projection Model v14.3" xfId="164"/>
    <cellStyle name="—_GS_Cash _Maxis_Model_1_Residential Broadband Financial Projection Model v8 Tier 3_Residential Broadband Financial Projection Model v14.3_final7.16" xfId="165"/>
    <cellStyle name="—_GS_Cash _Maxis_Model_1_Residential Broadband Financial Projection Model v8 Tier 3_Residential Broadband Financial Projection Model v14.3_final7.201" xfId="166"/>
    <cellStyle name="—_GS_Cash _Maxis_Model_1_Residential Broadband Financial Projection Model v8 Tier 3_Residential Broadband Financial Projection Model v14_final7.16" xfId="167"/>
    <cellStyle name="—_GS_Cash _Maxis_Model_1_Residential Broadband Financial Projection Model v8 Tier 3_Residential Broadband Financial Projection Model v14_final7.201" xfId="168"/>
    <cellStyle name="—_GS_DCF" xfId="169"/>
    <cellStyle name="—_GS_DCF_Maxis_Model_1" xfId="170"/>
    <cellStyle name="—_GS_DCF_Maxis_Model_1_final7.16" xfId="171"/>
    <cellStyle name="—_GS_DCF_Maxis_Model_1_final7.201" xfId="172"/>
    <cellStyle name="—_GS_DCF_Maxis_Model_1_Residential Broadband Financial Projection Model v8 Tier 1" xfId="173"/>
    <cellStyle name="—_GS_DCF_Maxis_Model_1_Residential Broadband Financial Projection Model v8 Tier 1_final7.16" xfId="174"/>
    <cellStyle name="—_GS_DCF_Maxis_Model_1_Residential Broadband Financial Projection Model v8 Tier 1_final7.201" xfId="175"/>
    <cellStyle name="—_GS_DCF_Maxis_Model_1_Residential Broadband Financial Projection Model v8 Tier 1_Residential Broadband Financial Projection Model v14" xfId="176"/>
    <cellStyle name="—_GS_DCF_Maxis_Model_1_Residential Broadband Financial Projection Model v8 Tier 1_Residential Broadband Financial Projection Model v14.3" xfId="177"/>
    <cellStyle name="—_GS_DCF_Maxis_Model_1_Residential Broadband Financial Projection Model v8 Tier 1_Residential Broadband Financial Projection Model v14.3_final7.16" xfId="178"/>
    <cellStyle name="—_GS_DCF_Maxis_Model_1_Residential Broadband Financial Projection Model v8 Tier 1_Residential Broadband Financial Projection Model v14.3_final7.201" xfId="179"/>
    <cellStyle name="—_GS_DCF_Maxis_Model_1_Residential Broadband Financial Projection Model v8 Tier 1_Residential Broadband Financial Projection Model v14_final7.16" xfId="180"/>
    <cellStyle name="—_GS_DCF_Maxis_Model_1_Residential Broadband Financial Projection Model v8 Tier 1_Residential Broadband Financial Projection Model v14_final7.201" xfId="181"/>
    <cellStyle name="—_GS_DCF_Maxis_Model_1_Residential Broadband Financial Projection Model v8 Tier 2" xfId="182"/>
    <cellStyle name="—_GS_DCF_Maxis_Model_1_Residential Broadband Financial Projection Model v8 Tier 2_final7.16" xfId="183"/>
    <cellStyle name="—_GS_DCF_Maxis_Model_1_Residential Broadband Financial Projection Model v8 Tier 2_final7.201" xfId="184"/>
    <cellStyle name="—_GS_DCF_Maxis_Model_1_Residential Broadband Financial Projection Model v8 Tier 2_Residential Broadband Financial Projection Model v14" xfId="185"/>
    <cellStyle name="—_GS_DCF_Maxis_Model_1_Residential Broadband Financial Projection Model v8 Tier 2_Residential Broadband Financial Projection Model v14.3" xfId="186"/>
    <cellStyle name="—_GS_DCF_Maxis_Model_1_Residential Broadband Financial Projection Model v8 Tier 2_Residential Broadband Financial Projection Model v14.3_final7.16" xfId="187"/>
    <cellStyle name="—_GS_DCF_Maxis_Model_1_Residential Broadband Financial Projection Model v8 Tier 2_Residential Broadband Financial Projection Model v14.3_final7.201" xfId="188"/>
    <cellStyle name="—_GS_DCF_Maxis_Model_1_Residential Broadband Financial Projection Model v8 Tier 2_Residential Broadband Financial Projection Model v14_final7.16" xfId="189"/>
    <cellStyle name="—_GS_DCF_Maxis_Model_1_Residential Broadband Financial Projection Model v8 Tier 2_Residential Broadband Financial Projection Model v14_final7.201" xfId="190"/>
    <cellStyle name="—_GS_DCF_Maxis_Model_1_Residential Broadband Financial Projection Model v8 Tier 3" xfId="191"/>
    <cellStyle name="—_GS_DCF_Maxis_Model_1_Residential Broadband Financial Projection Model v8 Tier 3_final7.16" xfId="192"/>
    <cellStyle name="—_GS_DCF_Maxis_Model_1_Residential Broadband Financial Projection Model v8 Tier 3_final7.201" xfId="193"/>
    <cellStyle name="—_GS_DCF_Maxis_Model_1_Residential Broadband Financial Projection Model v8 Tier 3_Residential Broadband Financial Projection Model v14" xfId="194"/>
    <cellStyle name="—_GS_DCF_Maxis_Model_1_Residential Broadband Financial Projection Model v8 Tier 3_Residential Broadband Financial Projection Model v14.3" xfId="195"/>
    <cellStyle name="—_GS_DCF_Maxis_Model_1_Residential Broadband Financial Projection Model v8 Tier 3_Residential Broadband Financial Projection Model v14.3_final7.16" xfId="196"/>
    <cellStyle name="—_GS_DCF_Maxis_Model_1_Residential Broadband Financial Projection Model v8 Tier 3_Residential Broadband Financial Projection Model v14.3_final7.201" xfId="197"/>
    <cellStyle name="—_GS_DCF_Maxis_Model_1_Residential Broadband Financial Projection Model v8 Tier 3_Residential Broadband Financial Projection Model v14_final7.16" xfId="198"/>
    <cellStyle name="—_GS_DCF_Maxis_Model_1_Residential Broadband Financial Projection Model v8 Tier 3_Residential Broadband Financial Projection Model v14_final7.201" xfId="199"/>
    <cellStyle name="—_GS_PNL" xfId="200"/>
    <cellStyle name="—_GS_PNL_Maxis_Model_1" xfId="201"/>
    <cellStyle name="—_GS_PNL_Maxis_Model_1_final7.16" xfId="202"/>
    <cellStyle name="—_GS_PNL_Maxis_Model_1_final7.201" xfId="203"/>
    <cellStyle name="—_GS_PNL_Maxis_Model_1_Residential Broadband Financial Projection Model v8 Tier 1" xfId="204"/>
    <cellStyle name="—_GS_PNL_Maxis_Model_1_Residential Broadband Financial Projection Model v8 Tier 1_final7.16" xfId="205"/>
    <cellStyle name="—_GS_PNL_Maxis_Model_1_Residential Broadband Financial Projection Model v8 Tier 1_final7.201" xfId="206"/>
    <cellStyle name="—_GS_PNL_Maxis_Model_1_Residential Broadband Financial Projection Model v8 Tier 1_Residential Broadband Financial Projection Model v14" xfId="207"/>
    <cellStyle name="—_GS_PNL_Maxis_Model_1_Residential Broadband Financial Projection Model v8 Tier 1_Residential Broadband Financial Projection Model v14.3" xfId="208"/>
    <cellStyle name="—_GS_PNL_Maxis_Model_1_Residential Broadband Financial Projection Model v8 Tier 1_Residential Broadband Financial Projection Model v14.3_final7.16" xfId="209"/>
    <cellStyle name="—_GS_PNL_Maxis_Model_1_Residential Broadband Financial Projection Model v8 Tier 1_Residential Broadband Financial Projection Model v14.3_final7.201" xfId="210"/>
    <cellStyle name="—_GS_PNL_Maxis_Model_1_Residential Broadband Financial Projection Model v8 Tier 1_Residential Broadband Financial Projection Model v14_final7.16" xfId="211"/>
    <cellStyle name="—_GS_PNL_Maxis_Model_1_Residential Broadband Financial Projection Model v8 Tier 1_Residential Broadband Financial Projection Model v14_final7.201" xfId="212"/>
    <cellStyle name="—_GS_PNL_Maxis_Model_1_Residential Broadband Financial Projection Model v8 Tier 2" xfId="213"/>
    <cellStyle name="—_GS_PNL_Maxis_Model_1_Residential Broadband Financial Projection Model v8 Tier 2_final7.16" xfId="214"/>
    <cellStyle name="—_GS_PNL_Maxis_Model_1_Residential Broadband Financial Projection Model v8 Tier 2_final7.201" xfId="215"/>
    <cellStyle name="—_GS_PNL_Maxis_Model_1_Residential Broadband Financial Projection Model v8 Tier 2_Residential Broadband Financial Projection Model v14" xfId="216"/>
    <cellStyle name="—_GS_PNL_Maxis_Model_1_Residential Broadband Financial Projection Model v8 Tier 2_Residential Broadband Financial Projection Model v14.3" xfId="217"/>
    <cellStyle name="—_GS_PNL_Maxis_Model_1_Residential Broadband Financial Projection Model v8 Tier 2_Residential Broadband Financial Projection Model v14.3_final7.16" xfId="218"/>
    <cellStyle name="—_GS_PNL_Maxis_Model_1_Residential Broadband Financial Projection Model v8 Tier 2_Residential Broadband Financial Projection Model v14.3_final7.201" xfId="219"/>
    <cellStyle name="—_GS_PNL_Maxis_Model_1_Residential Broadband Financial Projection Model v8 Tier 2_Residential Broadband Financial Projection Model v14_final7.16" xfId="220"/>
    <cellStyle name="—_GS_PNL_Maxis_Model_1_Residential Broadband Financial Projection Model v8 Tier 2_Residential Broadband Financial Projection Model v14_final7.201" xfId="221"/>
    <cellStyle name="—_GS_PNL_Maxis_Model_1_Residential Broadband Financial Projection Model v8 Tier 3" xfId="222"/>
    <cellStyle name="—_GS_PNL_Maxis_Model_1_Residential Broadband Financial Projection Model v8 Tier 3_final7.16" xfId="223"/>
    <cellStyle name="—_GS_PNL_Maxis_Model_1_Residential Broadband Financial Projection Model v8 Tier 3_final7.201" xfId="224"/>
    <cellStyle name="—_GS_PNL_Maxis_Model_1_Residential Broadband Financial Projection Model v8 Tier 3_Residential Broadband Financial Projection Model v14" xfId="225"/>
    <cellStyle name="—_GS_PNL_Maxis_Model_1_Residential Broadband Financial Projection Model v8 Tier 3_Residential Broadband Financial Projection Model v14.3" xfId="226"/>
    <cellStyle name="—_GS_PNL_Maxis_Model_1_Residential Broadband Financial Projection Model v8 Tier 3_Residential Broadband Financial Projection Model v14.3_final7.16" xfId="227"/>
    <cellStyle name="—_GS_PNL_Maxis_Model_1_Residential Broadband Financial Projection Model v8 Tier 3_Residential Broadband Financial Projection Model v14.3_final7.201" xfId="228"/>
    <cellStyle name="—_GS_PNL_Maxis_Model_1_Residential Broadband Financial Projection Model v8 Tier 3_Residential Broadband Financial Projection Model v14_final7.16" xfId="229"/>
    <cellStyle name="—_GS_PNL_Maxis_Model_1_Residential Broadband Financial Projection Model v8 Tier 3_Residential Broadband Financial Projection Model v14_final7.201" xfId="230"/>
    <cellStyle name="_Heading" xfId="231"/>
    <cellStyle name="_Headline" xfId="232"/>
    <cellStyle name="_Highlight" xfId="233"/>
    <cellStyle name="_KPMG original version" xfId="234"/>
    <cellStyle name="_KPMG original version_(中企华)审计评估联合申报明细表.V1" xfId="235"/>
    <cellStyle name="_KPMG original version_附件1：审计评估联合申报明细表" xfId="236"/>
    <cellStyle name="_long term loan - others 300504" xfId="237"/>
    <cellStyle name="_long term loan - others 300504_(中企华)审计评估联合申报明细表.V1" xfId="238"/>
    <cellStyle name="_long term loan - others 300504_KPMG original version" xfId="239"/>
    <cellStyle name="_long term loan - others 300504_KPMG original version_(中企华)审计评估联合申报明细表.V1" xfId="240"/>
    <cellStyle name="_long term loan - others 300504_KPMG original version_附件1：审计评估联合申报明细表" xfId="241"/>
    <cellStyle name="_long term loan - others 300504_Shenhua PBC package 050530" xfId="242"/>
    <cellStyle name="_long term loan - others 300504_Shenhua PBC package 050530_(中企华)审计评估联合申报明细表.V1" xfId="243"/>
    <cellStyle name="_long term loan - others 300504_Shenhua PBC package 050530_附件1：审计评估联合申报明细表" xfId="244"/>
    <cellStyle name="_long term loan - others 300504_附件1：审计评估联合申报明细表" xfId="245"/>
    <cellStyle name="_long term loan - others 300504_审计调查表.V3" xfId="246"/>
    <cellStyle name="—_Maxis_Model_1" xfId="247"/>
    <cellStyle name="—_Maxis_Model_1_final7.16" xfId="248"/>
    <cellStyle name="—_Maxis_Model_1_final7.201" xfId="249"/>
    <cellStyle name="—_Maxis_Model_1_Residential Broadband Financial Projection Model v8 Tier 1" xfId="250"/>
    <cellStyle name="—_Maxis_Model_1_Residential Broadband Financial Projection Model v8 Tier 1_final7.16" xfId="251"/>
    <cellStyle name="—_Maxis_Model_1_Residential Broadband Financial Projection Model v8 Tier 1_final7.201" xfId="252"/>
    <cellStyle name="—_Maxis_Model_1_Residential Broadband Financial Projection Model v8 Tier 1_Residential Broadband Financial Projection Model v14" xfId="253"/>
    <cellStyle name="—_Maxis_Model_1_Residential Broadband Financial Projection Model v8 Tier 1_Residential Broadband Financial Projection Model v14.3" xfId="254"/>
    <cellStyle name="—_Maxis_Model_1_Residential Broadband Financial Projection Model v8 Tier 1_Residential Broadband Financial Projection Model v14.3_final7.16" xfId="255"/>
    <cellStyle name="—_Maxis_Model_1_Residential Broadband Financial Projection Model v8 Tier 1_Residential Broadband Financial Projection Model v14.3_final7.201" xfId="256"/>
    <cellStyle name="—_Maxis_Model_1_Residential Broadband Financial Projection Model v8 Tier 1_Residential Broadband Financial Projection Model v14_final7.16" xfId="257"/>
    <cellStyle name="—_Maxis_Model_1_Residential Broadband Financial Projection Model v8 Tier 1_Residential Broadband Financial Projection Model v14_final7.201" xfId="258"/>
    <cellStyle name="—_Maxis_Model_1_Residential Broadband Financial Projection Model v8 Tier 2" xfId="259"/>
    <cellStyle name="—_Maxis_Model_1_Residential Broadband Financial Projection Model v8 Tier 2_final7.16" xfId="260"/>
    <cellStyle name="—_Maxis_Model_1_Residential Broadband Financial Projection Model v8 Tier 2_final7.201" xfId="261"/>
    <cellStyle name="—_Maxis_Model_1_Residential Broadband Financial Projection Model v8 Tier 2_Residential Broadband Financial Projection Model v14" xfId="262"/>
    <cellStyle name="—_Maxis_Model_1_Residential Broadband Financial Projection Model v8 Tier 2_Residential Broadband Financial Projection Model v14.3" xfId="263"/>
    <cellStyle name="—_Maxis_Model_1_Residential Broadband Financial Projection Model v8 Tier 2_Residential Broadband Financial Projection Model v14.3_final7.16" xfId="264"/>
    <cellStyle name="—_Maxis_Model_1_Residential Broadband Financial Projection Model v8 Tier 2_Residential Broadband Financial Projection Model v14.3_final7.201" xfId="265"/>
    <cellStyle name="—_Maxis_Model_1_Residential Broadband Financial Projection Model v8 Tier 2_Residential Broadband Financial Projection Model v14_final7.16" xfId="266"/>
    <cellStyle name="—_Maxis_Model_1_Residential Broadband Financial Projection Model v8 Tier 2_Residential Broadband Financial Projection Model v14_final7.201" xfId="267"/>
    <cellStyle name="—_Maxis_Model_1_Residential Broadband Financial Projection Model v8 Tier 3" xfId="268"/>
    <cellStyle name="—_Maxis_Model_1_Residential Broadband Financial Projection Model v8 Tier 3_final7.16" xfId="269"/>
    <cellStyle name="—_Maxis_Model_1_Residential Broadband Financial Projection Model v8 Tier 3_final7.201" xfId="270"/>
    <cellStyle name="—_Maxis_Model_1_Residential Broadband Financial Projection Model v8 Tier 3_Residential Broadband Financial Projection Model v14" xfId="271"/>
    <cellStyle name="—_Maxis_Model_1_Residential Broadband Financial Projection Model v8 Tier 3_Residential Broadband Financial Projection Model v14.3" xfId="272"/>
    <cellStyle name="—_Maxis_Model_1_Residential Broadband Financial Projection Model v8 Tier 3_Residential Broadband Financial Projection Model v14.3_final7.16" xfId="273"/>
    <cellStyle name="—_Maxis_Model_1_Residential Broadband Financial Projection Model v8 Tier 3_Residential Broadband Financial Projection Model v14.3_final7.201" xfId="274"/>
    <cellStyle name="—_Maxis_Model_1_Residential Broadband Financial Projection Model v8 Tier 3_Residential Broadband Financial Projection Model v14_final7.16" xfId="275"/>
    <cellStyle name="—_Maxis_Model_1_Residential Broadband Financial Projection Model v8 Tier 3_Residential Broadband Financial Projection Model v14_final7.201" xfId="276"/>
    <cellStyle name="_Multiple" xfId="277"/>
    <cellStyle name="_MultipleSpace" xfId="278"/>
    <cellStyle name="_norma1" xfId="279"/>
    <cellStyle name="_Part III.200406.Loan and Liabilities details.(Site Name)" xfId="280"/>
    <cellStyle name="_Part III.200406.Loan and Liabilities details.(Site Name)_(中企华)审计评估联合申报明细表.V1" xfId="281"/>
    <cellStyle name="_Part III.200406.Loan and Liabilities details.(Site Name)_KPMG original version" xfId="282"/>
    <cellStyle name="_Part III.200406.Loan and Liabilities details.(Site Name)_KPMG original version_(中企华)审计评估联合申报明细表.V1" xfId="283"/>
    <cellStyle name="_Part III.200406.Loan and Liabilities details.(Site Name)_KPMG original version_附件1：审计评估联合申报明细表" xfId="284"/>
    <cellStyle name="_Part III.200406.Loan and Liabilities details.(Site Name)_Shenhua PBC package 050530" xfId="285"/>
    <cellStyle name="_Part III.200406.Loan and Liabilities details.(Site Name)_Shenhua PBC package 050530_(中企华)审计评估联合申报明细表.V1" xfId="286"/>
    <cellStyle name="_Part III.200406.Loan and Liabilities details.(Site Name)_Shenhua PBC package 050530_附件1：审计评估联合申报明细表" xfId="287"/>
    <cellStyle name="_Part III.200406.Loan and Liabilities details.(Site Name)_附件1：审计评估联合申报明细表" xfId="288"/>
    <cellStyle name="_Part III.200406.Loan and Liabilities details.(Site Name)_审计调查表.V3" xfId="289"/>
    <cellStyle name="_Percent" xfId="290"/>
    <cellStyle name="_PercentSpace" xfId="291"/>
    <cellStyle name="_Shenhua PBC package 050530" xfId="292"/>
    <cellStyle name="_Shenhua PBC package 050530_(中企华)审计评估联合申报明细表.V1" xfId="293"/>
    <cellStyle name="_Shenhua PBC package 050530_附件1：审计评估联合申报明细表" xfId="294"/>
    <cellStyle name="_SubHeading" xfId="295"/>
    <cellStyle name="_SubHeading_ICP_CSC_1Q_01_gStyle_5-30-2001" xfId="296"/>
    <cellStyle name="_Table" xfId="297"/>
    <cellStyle name="_TableHead" xfId="298"/>
    <cellStyle name="_TableHeading" xfId="299"/>
    <cellStyle name="_TableHeading_ICP_CSC_1Q_01_gStyle_5-30-2001" xfId="300"/>
    <cellStyle name="_TableRowBorder" xfId="301"/>
    <cellStyle name="_TableRowHead" xfId="302"/>
    <cellStyle name="_TableRowHeading" xfId="303"/>
    <cellStyle name="_TableSuperHead" xfId="304"/>
    <cellStyle name="_TableSuperHeading" xfId="305"/>
    <cellStyle name="_TableSuperHeading_ICP_CSC_1Q_01_gStyle_5-30-2001" xfId="306"/>
    <cellStyle name="_TableText" xfId="307"/>
    <cellStyle name="_非电力业务收益法申报表" xfId="308"/>
    <cellStyle name="_附件1：审计评估联合申报明细表" xfId="309"/>
    <cellStyle name="_附件3：收益法申报表（煤炭行业）" xfId="310"/>
    <cellStyle name="_广西新天德--收益法预测表" xfId="311"/>
    <cellStyle name="_三河成本法1期20060721" xfId="312"/>
    <cellStyle name="_审计调查表.V3" xfId="313"/>
    <cellStyle name="_审计调整汇总-外高桥 9-1" xfId="314"/>
    <cellStyle name="_试算-新钢钒收益表(11.16)" xfId="315"/>
    <cellStyle name="_收益法评估预测表8.22" xfId="316"/>
    <cellStyle name="_收益预测表（正龙煤业）" xfId="317"/>
    <cellStyle name="_外高桥收益预测表" xfId="318"/>
    <cellStyle name="_永城煤电土地评估申报表" xfId="319"/>
    <cellStyle name="_总体：财务数据长期投资情况统计表" xfId="320"/>
    <cellStyle name="{Comma [0]}" xfId="321"/>
    <cellStyle name="{Comma}" xfId="322"/>
    <cellStyle name="{Date}" xfId="323"/>
    <cellStyle name="{Month}" xfId="324"/>
    <cellStyle name="{Percent}" xfId="325"/>
    <cellStyle name="{Thousand [0]}" xfId="326"/>
    <cellStyle name="{Thousand}" xfId="327"/>
    <cellStyle name="{Z'0000(1 dec)}" xfId="328"/>
    <cellStyle name="{Z'0000(4 dec)}" xfId="329"/>
    <cellStyle name="0,0_x000d__x000a_NA_x000d__x000a_" xfId="330"/>
    <cellStyle name="0,0_x000d__x000a_NA_x000d__x000a_ 2" xfId="331"/>
    <cellStyle name="0,0_x000d__x000a_NA_x000d__x000a__复材1项目——收益预测表" xfId="332"/>
    <cellStyle name="1,000" xfId="333"/>
    <cellStyle name="1,000x" xfId="334"/>
    <cellStyle name="1,comma" xfId="335"/>
    <cellStyle name="aa" xfId="336"/>
    <cellStyle name="accounting" xfId="337"/>
    <cellStyle name="Assumption" xfId="338"/>
    <cellStyle name="blank" xfId="339"/>
    <cellStyle name="Blue Title" xfId="340"/>
    <cellStyle name="Body" xfId="341"/>
    <cellStyle name="Border Heavy" xfId="342"/>
    <cellStyle name="Border Thin" xfId="343"/>
    <cellStyle name="Calc Currency (0)" xfId="344"/>
    <cellStyle name="claire" xfId="345"/>
    <cellStyle name="ColLevel_1" xfId="346"/>
    <cellStyle name="Column Headings" xfId="347"/>
    <cellStyle name="Column$Headings" xfId="348"/>
    <cellStyle name="Column_Title" xfId="349"/>
    <cellStyle name="Comma  - Style1" xfId="350"/>
    <cellStyle name="Comma  - Style2" xfId="351"/>
    <cellStyle name="Comma  - Style3" xfId="352"/>
    <cellStyle name="Comma  - Style4" xfId="353"/>
    <cellStyle name="Comma  - Style5" xfId="354"/>
    <cellStyle name="Comma  - Style6" xfId="355"/>
    <cellStyle name="Comma  - Style7" xfId="356"/>
    <cellStyle name="Comma  - Style8" xfId="357"/>
    <cellStyle name="Comma [0]_laroux" xfId="358"/>
    <cellStyle name="Comma, 1 dec" xfId="359"/>
    <cellStyle name="Comma_02(2003.12.31 PBC package.040304)" xfId="360"/>
    <cellStyle name="comma-d" xfId="361"/>
    <cellStyle name="Currency [0]_353HHC" xfId="362"/>
    <cellStyle name="Currency [2]" xfId="363"/>
    <cellStyle name="Currency_353HHC" xfId="364"/>
    <cellStyle name="Date" xfId="365"/>
    <cellStyle name="Date [mmm-yy]" xfId="366"/>
    <cellStyle name="Date_04年公司预算汇总表0323-final" xfId="367"/>
    <cellStyle name="default" xfId="368"/>
    <cellStyle name="Dollar" xfId="369"/>
    <cellStyle name="E&amp;Y House" xfId="370"/>
    <cellStyle name="entry" xfId="371"/>
    <cellStyle name="entry box" xfId="372"/>
    <cellStyle name="Euro" xfId="373"/>
    <cellStyle name="e鯪9Y_x000b_" xfId="374"/>
    <cellStyle name="Format Number Column" xfId="375"/>
    <cellStyle name="gcd" xfId="376"/>
    <cellStyle name="Grey" xfId="377"/>
    <cellStyle name="hard no." xfId="378"/>
    <cellStyle name="Hardcoded 0" xfId="379"/>
    <cellStyle name="Header" xfId="380"/>
    <cellStyle name="Header1" xfId="381"/>
    <cellStyle name="Header2" xfId="382"/>
    <cellStyle name="Historical" xfId="383"/>
    <cellStyle name="Hyperlink_Disclosure-location name-2001" xfId="384"/>
    <cellStyle name="Input" xfId="385"/>
    <cellStyle name="Input (%)" xfId="386"/>
    <cellStyle name="Input (£m)" xfId="387"/>
    <cellStyle name="Input (No)" xfId="388"/>
    <cellStyle name="Input [yellow]" xfId="389"/>
    <cellStyle name="Input_financial model2004.8.3" xfId="390"/>
    <cellStyle name="InputArea" xfId="391"/>
    <cellStyle name="KPMG Heading 1" xfId="392"/>
    <cellStyle name="KPMG Heading 2" xfId="393"/>
    <cellStyle name="KPMG Heading 3" xfId="394"/>
    <cellStyle name="KPMG Heading 4" xfId="395"/>
    <cellStyle name="KPMG Normal" xfId="396"/>
    <cellStyle name="KPMG Normal Text" xfId="397"/>
    <cellStyle name="Lines Fill" xfId="398"/>
    <cellStyle name="Millares [0]_laroux" xfId="399"/>
    <cellStyle name="Millares_laroux" xfId="400"/>
    <cellStyle name="Moneda [0]_laroux" xfId="401"/>
    <cellStyle name="Moneda_laroux" xfId="402"/>
    <cellStyle name="multiple" xfId="403"/>
    <cellStyle name="New Times Roman" xfId="404"/>
    <cellStyle name="no dec" xfId="405"/>
    <cellStyle name="nonmultiple" xfId="406"/>
    <cellStyle name="Normal - Style1" xfId="407"/>
    <cellStyle name="Normal (%)" xfId="408"/>
    <cellStyle name="Normal (£m)" xfId="409"/>
    <cellStyle name="Normal (No)" xfId="410"/>
    <cellStyle name="Normal (x)" xfId="411"/>
    <cellStyle name="Normal_#10-Headcount" xfId="412"/>
    <cellStyle name="Normalny_Arkusz1" xfId="413"/>
    <cellStyle name="Number" xfId="414"/>
    <cellStyle name="Output Amounts" xfId="415"/>
    <cellStyle name="Page Heading Large" xfId="416"/>
    <cellStyle name="Page Heading Small" xfId="417"/>
    <cellStyle name="pc1" xfId="418"/>
    <cellStyle name="pcent" xfId="419"/>
    <cellStyle name="Percent [2]" xfId="420"/>
    <cellStyle name="Percent Hard" xfId="421"/>
    <cellStyle name="Percent.1" xfId="422"/>
    <cellStyle name="Percent_PICC package Sept2002 (V120021005)1" xfId="423"/>
    <cellStyle name="Prefilled" xfId="424"/>
    <cellStyle name="price" xfId="425"/>
    <cellStyle name="Ratio" xfId="426"/>
    <cellStyle name="Red" xfId="427"/>
    <cellStyle name="revised" xfId="428"/>
    <cellStyle name="revised 2" xfId="429"/>
    <cellStyle name="RowLevel_1" xfId="430"/>
    <cellStyle name="section" xfId="431"/>
    <cellStyle name="Shaded" xfId="432"/>
    <cellStyle name="Sheet Head" xfId="433"/>
    <cellStyle name="ShOut" xfId="434"/>
    <cellStyle name="Standard_Salesreport" xfId="435"/>
    <cellStyle name="style" xfId="436"/>
    <cellStyle name="style1" xfId="437"/>
    <cellStyle name="style2" xfId="438"/>
    <cellStyle name="Table Col Head" xfId="439"/>
    <cellStyle name="Table Sub Head" xfId="440"/>
    <cellStyle name="Table Title" xfId="441"/>
    <cellStyle name="Table Units" xfId="442"/>
    <cellStyle name="title" xfId="443"/>
    <cellStyle name="x" xfId="444"/>
    <cellStyle name="Year" xfId="445"/>
    <cellStyle name="パーセント_laroux" xfId="446"/>
    <cellStyle name="百分比" xfId="13" builtinId="5"/>
    <cellStyle name="百分比 2" xfId="16"/>
    <cellStyle name="標準_１１月価格表" xfId="447"/>
    <cellStyle name="差_泰山复合材料有限公司成本法" xfId="448"/>
    <cellStyle name="常规" xfId="0" builtinId="0"/>
    <cellStyle name="常规 16" xfId="10"/>
    <cellStyle name="常规 2" xfId="1"/>
    <cellStyle name="常规 2 2" xfId="8"/>
    <cellStyle name="常规 2 2 2" xfId="490"/>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4"/>
    <cellStyle name="常规_Sheet1 2" xfId="15"/>
    <cellStyle name="超级链接_Beta计算及可比企业资料l" xfId="449"/>
    <cellStyle name="超链接 2" xfId="450"/>
    <cellStyle name="超链接 2 2" xfId="451"/>
    <cellStyle name="똿뗦먛귟 [0.00]_PRODUCT DETAIL Q1" xfId="452"/>
    <cellStyle name="똿뗦먛귟_PRODUCT DETAIL Q1" xfId="453"/>
    <cellStyle name="分级显示列_1_Book1" xfId="454"/>
    <cellStyle name="分级显示行_1_10--2其他收费权测算表" xfId="455"/>
    <cellStyle name="믅됞 [0.00]_PRODUCT DETAIL Q1" xfId="456"/>
    <cellStyle name="믅됞_PRODUCT DETAIL Q1" xfId="457"/>
    <cellStyle name="뷭?_BOOKSHIP" xfId="458"/>
    <cellStyle name="好_泰山复合材料有限公司成本法" xfId="459"/>
    <cellStyle name="桁区切り [0.00]_１１月価格表" xfId="460"/>
    <cellStyle name="桁区切り_１１月価格表" xfId="461"/>
    <cellStyle name="성명" xfId="462"/>
    <cellStyle name="貨幣 [0]_Equipment Model 0605" xfId="463"/>
    <cellStyle name="貨幣_Equipment Model 0605" xfId="464"/>
    <cellStyle name="콤마 [0]_1202" xfId="465"/>
    <cellStyle name="콤마_1202" xfId="466"/>
    <cellStyle name="통화 [0]_1202" xfId="467"/>
    <cellStyle name="통화_1202" xfId="468"/>
    <cellStyle name="표준_(정보부문)월별인원계획" xfId="469"/>
    <cellStyle name="하이퍼링크_000727 IMT-2000 시설투자물량(4210) 4FA고려 필요 " xfId="470"/>
    <cellStyle name="霓付 [0]_97MBO" xfId="471"/>
    <cellStyle name="霓付_97MBO" xfId="472"/>
    <cellStyle name="烹拳 [0]_97MBO" xfId="473"/>
    <cellStyle name="烹拳_97MBO" xfId="474"/>
    <cellStyle name="普通_ 白土" xfId="475"/>
    <cellStyle name="千分位[0]_ 白土" xfId="476"/>
    <cellStyle name="千分位_ 白土" xfId="477"/>
    <cellStyle name="千位[0]_19" xfId="478"/>
    <cellStyle name="千位_19" xfId="479"/>
    <cellStyle name="千位分隔 2" xfId="17"/>
    <cellStyle name="千位分隔 2 2" xfId="480"/>
    <cellStyle name="千位分隔 2 2 2" xfId="481"/>
    <cellStyle name="千位分隔 3" xfId="19"/>
    <cellStyle name="千位分隔 4" xfId="20"/>
    <cellStyle name="千位分隔[0] 2" xfId="18"/>
    <cellStyle name="钎霖_laroux" xfId="482"/>
    <cellStyle name="宋体繁体潒慭n_x0002_" xfId="483"/>
    <cellStyle name="通貨 [0.00]_１１月価格表" xfId="484"/>
    <cellStyle name="通貨_１１月価格表" xfId="485"/>
    <cellStyle name="样式 1" xfId="486"/>
    <cellStyle name="样式 2" xfId="487"/>
    <cellStyle name="样式 3" xfId="488"/>
    <cellStyle name="一般_90各項費用明細表" xfId="489"/>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externalLink" Target="externalLinks/externalLink27.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97" Type="http://schemas.openxmlformats.org/officeDocument/2006/relationships/externalLink" Target="externalLinks/externalLink48.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87" Type="http://schemas.openxmlformats.org/officeDocument/2006/relationships/externalLink" Target="externalLinks/externalLink38.xml"/><Relationship Id="rId5" Type="http://schemas.openxmlformats.org/officeDocument/2006/relationships/worksheet" Target="worksheets/sheet5.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93" Type="http://schemas.openxmlformats.org/officeDocument/2006/relationships/externalLink" Target="externalLinks/externalLink44.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19050</xdr:rowOff>
    </xdr:from>
    <xdr:to>
      <xdr:col>4</xdr:col>
      <xdr:colOff>961415</xdr:colOff>
      <xdr:row>70</xdr:row>
      <xdr:rowOff>94726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077075"/>
          <a:ext cx="4885715" cy="4190476"/>
        </a:xfrm>
        <a:prstGeom prst="rect">
          <a:avLst/>
        </a:prstGeom>
      </xdr:spPr>
    </xdr:pic>
    <xdr:clientData/>
  </xdr:twoCellAnchor>
  <xdr:twoCellAnchor editAs="oneCell">
    <xdr:from>
      <xdr:col>7</xdr:col>
      <xdr:colOff>476250</xdr:colOff>
      <xdr:row>46</xdr:row>
      <xdr:rowOff>85725</xdr:rowOff>
    </xdr:from>
    <xdr:to>
      <xdr:col>14</xdr:col>
      <xdr:colOff>428031</xdr:colOff>
      <xdr:row>70</xdr:row>
      <xdr:rowOff>37592</xdr:rowOff>
    </xdr:to>
    <xdr:pic>
      <xdr:nvPicPr>
        <xdr:cNvPr id="3" name="图片 2"/>
        <xdr:cNvPicPr>
          <a:picLocks noChangeAspect="1"/>
        </xdr:cNvPicPr>
      </xdr:nvPicPr>
      <xdr:blipFill>
        <a:blip xmlns:r="http://schemas.openxmlformats.org/officeDocument/2006/relationships" r:embed="rId2"/>
        <a:stretch>
          <a:fillRect/>
        </a:stretch>
      </xdr:blipFill>
      <xdr:spPr>
        <a:xfrm>
          <a:off x="5667375" y="7143750"/>
          <a:ext cx="4752381"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5</xdr:col>
      <xdr:colOff>685123</xdr:colOff>
      <xdr:row>53</xdr:row>
      <xdr:rowOff>113780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00600"/>
          <a:ext cx="4114123" cy="4400030"/>
        </a:xfrm>
        <a:prstGeom prst="rect">
          <a:avLst/>
        </a:prstGeom>
      </xdr:spPr>
    </xdr:pic>
    <xdr:clientData/>
  </xdr:twoCellAnchor>
  <xdr:twoCellAnchor editAs="oneCell">
    <xdr:from>
      <xdr:col>6</xdr:col>
      <xdr:colOff>0</xdr:colOff>
      <xdr:row>28</xdr:row>
      <xdr:rowOff>0</xdr:rowOff>
    </xdr:from>
    <xdr:to>
      <xdr:col>16</xdr:col>
      <xdr:colOff>684448</xdr:colOff>
      <xdr:row>59</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4800600"/>
          <a:ext cx="7542448" cy="5390513"/>
        </a:xfrm>
        <a:prstGeom prst="rect">
          <a:avLst/>
        </a:prstGeom>
      </xdr:spPr>
    </xdr:pic>
    <xdr:clientData/>
  </xdr:twoCellAnchor>
  <xdr:twoCellAnchor editAs="oneCell">
    <xdr:from>
      <xdr:col>0</xdr:col>
      <xdr:colOff>0</xdr:colOff>
      <xdr:row>61</xdr:row>
      <xdr:rowOff>0</xdr:rowOff>
    </xdr:from>
    <xdr:to>
      <xdr:col>5</xdr:col>
      <xdr:colOff>685056</xdr:colOff>
      <xdr:row>89</xdr:row>
      <xdr:rowOff>142291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4114056" cy="49428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1323975</xdr:colOff>
      <xdr:row>137</xdr:row>
      <xdr:rowOff>190545</xdr:rowOff>
    </xdr:from>
    <xdr:to>
      <xdr:col>6</xdr:col>
      <xdr:colOff>761955</xdr:colOff>
      <xdr:row>141</xdr:row>
      <xdr:rowOff>133306</xdr:rowOff>
    </xdr:to>
    <xdr:pic>
      <xdr:nvPicPr>
        <xdr:cNvPr id="2" name="图片 1"/>
        <xdr:cNvPicPr>
          <a:picLocks noChangeAspect="1"/>
        </xdr:cNvPicPr>
      </xdr:nvPicPr>
      <xdr:blipFill>
        <a:blip xmlns:r="http://schemas.openxmlformats.org/officeDocument/2006/relationships" r:embed="rId1"/>
        <a:stretch>
          <a:fillRect/>
        </a:stretch>
      </xdr:blipFill>
      <xdr:spPr>
        <a:xfrm rot="16200000">
          <a:off x="4876822" y="29127473"/>
          <a:ext cx="714286" cy="6867480"/>
        </a:xfrm>
        <a:prstGeom prst="rect">
          <a:avLst/>
        </a:prstGeom>
      </xdr:spPr>
    </xdr:pic>
    <xdr:clientData/>
  </xdr:twoCellAnchor>
  <xdr:twoCellAnchor editAs="oneCell">
    <xdr:from>
      <xdr:col>1</xdr:col>
      <xdr:colOff>1343449</xdr:colOff>
      <xdr:row>142</xdr:row>
      <xdr:rowOff>123403</xdr:rowOff>
    </xdr:from>
    <xdr:to>
      <xdr:col>7</xdr:col>
      <xdr:colOff>647160</xdr:colOff>
      <xdr:row>147</xdr:row>
      <xdr:rowOff>151861</xdr:rowOff>
    </xdr:to>
    <xdr:pic>
      <xdr:nvPicPr>
        <xdr:cNvPr id="3" name="图片 2"/>
        <xdr:cNvPicPr>
          <a:picLocks noChangeAspect="1"/>
        </xdr:cNvPicPr>
      </xdr:nvPicPr>
      <xdr:blipFill>
        <a:blip xmlns:r="http://schemas.openxmlformats.org/officeDocument/2006/relationships" r:embed="rId2"/>
        <a:stretch>
          <a:fillRect/>
        </a:stretch>
      </xdr:blipFill>
      <xdr:spPr>
        <a:xfrm rot="5400000">
          <a:off x="5210175" y="29698952"/>
          <a:ext cx="933333" cy="7714286"/>
        </a:xfrm>
        <a:prstGeom prst="rect">
          <a:avLst/>
        </a:prstGeom>
      </xdr:spPr>
    </xdr:pic>
    <xdr:clientData/>
  </xdr:twoCellAnchor>
  <xdr:twoCellAnchor editAs="oneCell">
    <xdr:from>
      <xdr:col>1</xdr:col>
      <xdr:colOff>1457326</xdr:colOff>
      <xdr:row>149</xdr:row>
      <xdr:rowOff>151967</xdr:rowOff>
    </xdr:from>
    <xdr:to>
      <xdr:col>4</xdr:col>
      <xdr:colOff>513845</xdr:colOff>
      <xdr:row>153</xdr:row>
      <xdr:rowOff>18543</xdr:rowOff>
    </xdr:to>
    <xdr:pic>
      <xdr:nvPicPr>
        <xdr:cNvPr id="4" name="图片 3"/>
        <xdr:cNvPicPr>
          <a:picLocks noChangeAspect="1"/>
        </xdr:cNvPicPr>
      </xdr:nvPicPr>
      <xdr:blipFill>
        <a:blip xmlns:r="http://schemas.openxmlformats.org/officeDocument/2006/relationships" r:embed="rId3"/>
        <a:stretch>
          <a:fillRect/>
        </a:stretch>
      </xdr:blipFill>
      <xdr:spPr>
        <a:xfrm rot="5247442">
          <a:off x="3900273" y="32418120"/>
          <a:ext cx="590476" cy="4523869"/>
        </a:xfrm>
        <a:prstGeom prst="rect">
          <a:avLst/>
        </a:prstGeom>
      </xdr:spPr>
    </xdr:pic>
    <xdr:clientData/>
  </xdr:twoCellAnchor>
  <xdr:twoCellAnchor editAs="oneCell">
    <xdr:from>
      <xdr:col>1</xdr:col>
      <xdr:colOff>1790700</xdr:colOff>
      <xdr:row>155</xdr:row>
      <xdr:rowOff>95250</xdr:rowOff>
    </xdr:from>
    <xdr:to>
      <xdr:col>4</xdr:col>
      <xdr:colOff>88444</xdr:colOff>
      <xdr:row>163</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2266950" y="35413950"/>
          <a:ext cx="3765094" cy="1409700"/>
        </a:xfrm>
        <a:prstGeom prst="rect">
          <a:avLst/>
        </a:prstGeom>
      </xdr:spPr>
    </xdr:pic>
    <xdr:clientData/>
  </xdr:twoCellAnchor>
  <xdr:twoCellAnchor editAs="oneCell">
    <xdr:from>
      <xdr:col>1</xdr:col>
      <xdr:colOff>2295525</xdr:colOff>
      <xdr:row>165</xdr:row>
      <xdr:rowOff>0</xdr:rowOff>
    </xdr:from>
    <xdr:to>
      <xdr:col>4</xdr:col>
      <xdr:colOff>857250</xdr:colOff>
      <xdr:row>174</xdr:row>
      <xdr:rowOff>152230</xdr:rowOff>
    </xdr:to>
    <xdr:pic>
      <xdr:nvPicPr>
        <xdr:cNvPr id="6" name="图片 5"/>
        <xdr:cNvPicPr>
          <a:picLocks noChangeAspect="1"/>
        </xdr:cNvPicPr>
      </xdr:nvPicPr>
      <xdr:blipFill>
        <a:blip xmlns:r="http://schemas.openxmlformats.org/officeDocument/2006/relationships" r:embed="rId5"/>
        <a:stretch>
          <a:fillRect/>
        </a:stretch>
      </xdr:blipFill>
      <xdr:spPr>
        <a:xfrm>
          <a:off x="2771775" y="37128450"/>
          <a:ext cx="4029075" cy="17810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11</xdr:col>
      <xdr:colOff>219155</xdr:colOff>
      <xdr:row>61</xdr:row>
      <xdr:rowOff>117905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1500"/>
          <a:ext cx="7828572" cy="5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zhengyi-208\GigaMedia\GigaMedia\Gigamedia%20model%200423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recedents%20Database\5%20Standard%20Models%20&amp;%20Valuation\Comparable%20Company%20Valuation\12112001Standard%20CC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std%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zhengyi-208\Netcom\Gigamedia%20model%200423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zhengyi-208\Netcom\CSC\The_Telecom_Services_CSC_(1Q_2001)_22-May-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zhengyi-208\Documents%20and%20Settings\user\&#26700;&#38754;\&#20272;&#2054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zhengyi-208\Documents%20and%20Settings\wzl\&#26700;&#38754;\&#30456;&#20851;&#35828;&#26126;\&#30424;&#30005;\NEW\&#23385;&#22855;\sun\&#22825;&#21019;&#32622;&#19994;\&#40857;&#23703;&#21452;&#23703;\&#19978;&#24066;&#35797;&#31639;&#24179;&#34913;&#34920;&#21450;&#35843;&#25972;&#34920;_&#26519;&#28304;&#26408;&#1999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zhengyi-208\GigaMedia\GigaMedia\Operating%20assumption%20buildu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02\d\&#21704;&#23572;&#28392;&#38081;&#36335;&#23616;\&#27719;&#24635;\&#20027;&#19994;&#12289;&#38271;&#25237;\&#35780;&#20272;&#27719;&#24635;&#34920;(8.11&#25913;&#211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zhengyi-208\&#19975;&#21521;&#36164;&#26009;\&#38065;&#28526;&#36724;&#25215;06T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models\gs%20models\DCF%20models\Jay%20model%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zhengyi-208\&#40527;&#28070;071115&#25913;\&#22797;&#20214;%20&#20108;&#32423;&#24320;&#21457;(&#25910;&#30410;&#27861;)071115\&#22320;&#20135;&#39033;&#30446;&#20215;&#20540;&#35780;&#20272;&#65288;&#37325;&#24198;)20071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zhengyi-208\WINDOWS\TEMP\GOLDPYR4\ARENTO\TOOLBO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apas\c\WIN95\INDIA\ATL\WARD\OLAPData\98Budget\Presentation\MTHLY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WACC%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zhengyi-208\Users\Administrator\Documents\Tencent%20Files\992421828\FileRecv\POWER%20ASSUMPTION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zhengyi-208\my%20doc\LJ\financial%20model2004.8.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36164;&#26009;\&#35780;&#20272;&#30456;&#20851;&#36164;&#26009;\&#25910;&#30410;&#27861;&#35780;&#20272;&#36164;&#26009;\04&#23433;&#26480;&#20262;\&#36865;&#23457;&#37096;&#38376;&#32463;&#29702;\33&#23433;&#25463;&#20262;&#31185;&#25216;&#33829;&#19994;&#29616;&#37329;&#27969;&#39044;&#27979;&#349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zhengyi-208\&#26417;&#20255;\&#23457;&#35745;&#25253;&#21578;2002\&#20122;&#22826;&#30003;&#25253;&#26448;&#26009;\2002&#24180;1-6&#26376;&#23457;&#35745;\&#27597;&#20844;&#21496;\&#23457;&#35745;&#24213;&#31295;2002.6.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zhengyi-208\&#34987;&#23457;&#21333;&#20301;\&#22825;&#21488;&#38134;&#36718;\03&#24180;&#23457;\&#38144;&#21806;\WINDOWS\Desktop\&#38047;\&#36164;&#26009;\&#38134;&#36718;&#39044;&#26597;\&#25140;\&#24213;&#3129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TEMP\wsmode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zhengyi-208\Documents%20and%20Settings\wx\My%20Documents\&#33883;&#30005;&#24314;&#24080;\&#26399;&#21021;&#22266;&#23450;&#36164;&#20135;-&#35843;&#2597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zhengyi-208\Documents%20and%20Settings\wx\My%20Documents\&#33883;&#30005;&#24314;&#24080;\&#26399;&#21021;&#22266;&#23450;&#36164;&#201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engyi-208\&#24037;&#20316;\&#22885;&#21147;&#30005;&#23376;\&#23458;&#25143;&#36164;&#26009;\&#20027;&#26495;\&#27743;&#33487;&#21556;&#20013;\&#38271;&#24449;&#21046;&#33647;&#21378;\12-31\&#24212;&#25910;&#20184;&#24080;&#408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zhengyi-208\&#40527;&#28070;071115&#25913;\&#20108;&#32423;&#24320;&#21457;(&#25910;&#30410;&#27861;)071115\&#22320;&#20135;&#39033;&#30446;&#20215;&#20540;&#35780;&#20272;&#65288;&#37325;&#24198;)2007102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zhengyi-208\WINDOWS\TEMP\My%20Documents\1999&#24180;&#25253;\&#20013;&#21326;&#20225;&#19994;\&#20013;&#20225;&#26412;&#37096;\&#22266;&#23450;&#36164;&#20135;\&#22266;&#23450;&#36164;&#2013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My%20Documents\2000&#24180;&#24180;&#25253;\2000&#24180;&#24180;&#25253;&#38468;&#27880;&#26684;&#24335;&#3042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zhengyi-208\Documents%20and%20Settings\helen\&#26700;&#38754;\&#23457;&#35745;&#21333;&#20301;\&#25253;&#21916;&#40479;\&#25253;&#21916;&#40479;2003\y\Y&#24213;&#3129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zhengyi-208\WINDOWS\Temporary%20Internet%20Files\Content.IE5\KDQF856F\Contac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23453;&#38050;H&#32929;\&#25151;&#23627;\&#19968;,&#20108;&#26399;&#26368;&#32456;&#29256;\&#35774;&#22791;&#37096;&#25151;&#23627;&#24314;&#31569;&#29289;&#28165;&#26597;&#35780;&#20272;&#26126;&#32454;&#34920;(&#25552;&#20132;&#29256;&#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zhengyi-208\Documents%20and%20Settings\wx\My%20Documents\&#33883;&#30005;&#24314;&#24080;\2002&#26032;&#22686;&#22266;&#23450;&#36164;&#2013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w_&#25269;&#25276;&#21450;&#25910;&#20837;&#24773;&#20917;/&#36817;&#19977;&#24180;&#20027;&#33829;&#25910;&#20837;-&#19968;&#22478;&#20250;&#2363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A&#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user\My%20Documents\00&#38598;&#22242;&#20844;&#21496;&#21512;&#24182;&#36807;&#31243;&#34920;&#65288;&#26361;&#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zhengyi-208\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zhengyi-208\Documents%20and%20Settings\zhzxcpa\&#26700;&#38754;\&#39318;&#34920;--&#36710;&#26725;\&#38472;&#24535;&#23703;&#30340;3&#39318;&#349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zhengyi-208\DOCUME~1\wzl\LOCALS~1\Temp\GigaMedia\GigaMedia\Gigamedia%20model%200423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平均年限法(基于入账原值和入账预计使用期间)"/>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会计科目"/>
      <sheetName val="#REF!"/>
      <sheetName val="Main"/>
      <sheetName val="Financ__Overview"/>
      <sheetName val="Toolbox"/>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_701"/>
      <sheetName val="_702"/>
      <sheetName val="_703"/>
      <sheetName val="_704"/>
      <sheetName val="_705"/>
      <sheetName val="_712"/>
      <sheetName val="新产品贡献率"/>
      <sheetName val="KKKKKKKK"/>
      <sheetName val="4.3.1物料损耗率"/>
      <sheetName val="设定"/>
      <sheetName val="福华整理6月负债表"/>
      <sheetName val="YS02-02"/>
      <sheetName val="_x005f_x0000__x005f_x0000__x005f_x0000__x005f_x0000__x0"/>
      <sheetName val="_04009"/>
      <sheetName val="_0401"/>
      <sheetName val="UFPrn20040930171821"/>
      <sheetName val="4-货币资金-现金"/>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其他货币资金.dbf"/>
      <sheetName val="银行存款.dbf"/>
      <sheetName val="订单"/>
      <sheetName val="#REF"/>
      <sheetName val="选项表"/>
      <sheetName val="_x005f_x005f_x005f_x0000__x005f_x005f_x005f_x0000__x005"/>
      <sheetName val="_x005f_x005f_x005f_x005f_x005f_x005f_x005f_x0000__x005f"/>
      <sheetName val="物业类型"/>
      <sheetName val="SMCTSSP2"/>
      <sheetName val="表格索引"/>
      <sheetName val="应收电费情况一览表"/>
      <sheetName val="_x005f_x005f_x005f_x005f_x005f_x005f_x005f_x005f_x005f_x005f_"/>
      <sheetName val="资产表横向"/>
      <sheetName val="目录"/>
      <sheetName val="期初调整"/>
      <sheetName val="Market share"/>
      <sheetName val="fs(for Consol)"/>
      <sheetName val="10-2.固定资产处置表"/>
      <sheetName val="_x005f_x0000__x005f_x0000__x005"/>
      <sheetName val="_x005f_x005f_x005f_x0000__x005f"/>
      <sheetName val="_x005f_x005f_x005f_x005f_"/>
      <sheetName val="C4_"/>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5f_x005f_x005f_x005f_x005f_x005f_x005f_"/>
      <sheetName val="_x005f_x0000__x005f"/>
      <sheetName val="_x005f_x005f_"/>
      <sheetName val="计算稿封面"/>
      <sheetName val="门窗表"/>
      <sheetName val="计算稿"/>
      <sheetName val="基础值集"/>
      <sheetName val="4"/>
      <sheetName val="5"/>
      <sheetName val="6"/>
      <sheetName val="7"/>
      <sheetName val="8"/>
      <sheetName val="9"/>
      <sheetName val="10"/>
      <sheetName val="11"/>
      <sheetName val="12"/>
      <sheetName val="材料采购－原材料（购价）"/>
      <sheetName val="收入明细－按客户"/>
      <sheetName val="�ܱȱ�2��"/>
      <sheetName val="�Ʊȱ�2��"/>
      <sheetName val="���ۣ�2��"/>
      <sheetName val="�ʸ���"/>
      <sheetName val="ë��"/>
      <sheetName val="�ܱȱ�"/>
      <sheetName val="�̶����ɱ�Ԥ��"/>
      <sheetName val="���ڷ���"/>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_"/>
      <sheetName val="Sheet3"/>
      <sheetName val="SW-TEO"/>
      <sheetName val="收入"/>
      <sheetName val="¹ÌÕ[£¨2£©"/>
      <sheetName val="????????"/>
      <sheetName val="_x0000__x0000__x0000__x0000__x0"/>
      <sheetName val="_x0000__x0000__x005"/>
      <sheetName val="_x0000__x005f"/>
      <sheetName val="���[��2��"/>
      <sheetName val="总人口"/>
      <sheetName val="삅ོ䚋栠Ѫ"/>
      <sheetName val="삅ོ"/>
      <sheetName val="삅ོ䚋"/>
      <sheetName val="삅ོ䚋栠"/>
      <sheetName val="삅ོ䚋栠Ѫ_x0000_ࡪ㋨ﯾ_xffff_ﱅ잃蔐緀薼糀謋⁎橓"/>
      <sheetName val="삅ོ䚋栠Ѫ_x0000_ࡪ㋨"/>
      <sheetName val="삅ོ䚋栠Ѫ_x0000_ࡪ㋨ﯾ_xffff_ﱅ잃蔐緀薼糀謋"/>
      <sheetName val="삅ོ䚋栠Ѫ_x0000_ࡪ㋨ﯾ_xffff_ﱅ잃"/>
      <sheetName val="삅ོ䚋栠Ѫ_x0000_ࡪ㋨ﯾ_xffff_ﱅ잃蔐緀薼糀"/>
      <sheetName val="삅ོ䚋栠Ѫ_x0000_ࡪ㋨ﯾ_xffff_ﱅ잃蔐緀"/>
      <sheetName val="삅ོ䚋栠Ѫ_x0000_ࡪ㋨ﯾ_xffff_ﱅ잃蔐緀薼"/>
      <sheetName val="삅ོ䚋栠Ѫ_x0000_ࡪ㋨ﯾ_xffff_ﱅ잃蔐"/>
      <sheetName val="삅ོ䚋栠Ѫ_x0000_ࡪ㋨ﯾ_xffff_ﱅ잃蔐緀薼糀謋⁎橓晴￻"/>
      <sheetName val="调整后报表"/>
      <sheetName val="B5"/>
      <sheetName val="现金流量表"/>
      <sheetName val="报表附注"/>
      <sheetName val="非流动资产汇总"/>
      <sheetName val="基础数据配置"/>
      <sheetName val="雪花干成本詨"/>
      <sheetName val="存货差异分析表"/>
      <sheetName val="一般预算收入"/>
      <sheetName val="行政区划"/>
      <sheetName val="C01-1"/>
      <sheetName val="尬尀一吀"/>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_200209"/>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6月"/>
      <sheetName val="þ"/>
      <sheetName val="发出商品"/>
      <sheetName val="综合成本分析01.01-0205"/>
      <sheetName val="FY02"/>
      <sheetName val="关联方一览表"/>
      <sheetName val="T02"/>
      <sheetName val="T04"/>
      <sheetName val="参数"/>
      <sheetName val="ZH封面"/>
      <sheetName val="ZH-1明细表"/>
      <sheetName val="合并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assumptions"/>
      <sheetName val="Control Pannel"/>
      <sheetName val="SENSITIVITY"/>
      <sheetName val="Key Assumptions output"/>
      <sheetName val="Market"/>
      <sheetName val="Price"/>
      <sheetName val="Share"/>
      <sheetName val="Subscribers"/>
      <sheetName val="Revenue"/>
      <sheetName val="CM sales"/>
      <sheetName val="Split"/>
      <sheetName val="Equip. Sales"/>
      <sheetName val="Monthly fee to Giga"/>
      <sheetName val="Expenses"/>
      <sheetName val="Expenses-assumptions"/>
      <sheetName val="Staffing"/>
      <sheetName val="Dep'n"/>
      <sheetName val="Network capex"/>
      <sheetName val="Adjusted capex"/>
      <sheetName val="Valuation"/>
      <sheetName val="Cable CSC"/>
      <sheetName val="WACC"/>
      <sheetName val="@Home Valuation"/>
      <sheetName val="Income statement"/>
      <sheetName val="Cashflow statement"/>
      <sheetName val="Balance sheet"/>
      <sheetName val="- SHEETS AFTER THIS NOT USED -"/>
      <sheetName val="CoGS-CM"/>
      <sheetName val="CoGS-Equip"/>
      <sheetName val="CoGS-Servers"/>
      <sheetName val="CoGS-CR"/>
      <sheetName val="CoGS-RAS"/>
      <sheetName val="CoGS-Switch"/>
      <sheetName val="CoGS-Router"/>
      <sheetName val="Interface"/>
      <sheetName val="Parameters"/>
      <sheetName val="Servers"/>
      <sheetName val="CR"/>
      <sheetName val="RAS"/>
      <sheetName val="PSTN"/>
      <sheetName val="Switch"/>
      <sheetName val="Router"/>
      <sheetName val="Backbone"/>
      <sheetName val="麗冠"/>
      <sheetName val="長德"/>
      <sheetName val="萬象"/>
      <sheetName val="寶福"/>
      <sheetName val="新和"/>
      <sheetName val="大豐"/>
      <sheetName val="北新"/>
      <sheetName val="家和"/>
      <sheetName val="雙星"/>
      <sheetName val="吉隆"/>
      <sheetName val="北健"/>
      <sheetName val="竹和"/>
      <sheetName val="群健"/>
      <sheetName val="雙子星"/>
      <sheetName val="三冠王"/>
      <sheetName val="慶聯"/>
      <sheetName val="港都"/>
      <sheetName val="澎湖"/>
      <sheetName val="Subscribers (2)"/>
      <sheetName val="Web"/>
      <sheetName val="Proxy"/>
      <sheetName val="Domestic"/>
      <sheetName val="Intl"/>
      <sheetName val="AV"/>
      <sheetName val="RAW"/>
      <sheetName val="Summary"/>
      <sheetName val="System"/>
      <sheetName val="Output"/>
      <sheetName val="Chart3"/>
      <sheetName val="New MSOs"/>
      <sheetName val="Split to M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ultiples"/>
      <sheetName val="Base Data"/>
      <sheetName val="Share prices"/>
      <sheetName val="Share price performance"/>
      <sheetName val="Valuation"/>
      <sheetName val="Valuation range"/>
      <sheetName val="Guidelines"/>
      <sheetName val="Blanc"/>
      <sheetName val="Standard page"/>
      <sheetName val="Dialog2"/>
      <sheetName val="Dialog4"/>
      <sheetName val="Dialog5"/>
      <sheetName val="Module1"/>
    </sheetNames>
    <sheetDataSet>
      <sheetData sheetId="0" refreshError="1">
        <row r="1">
          <cell r="R1" t="str">
            <v>use #shares fully diluted</v>
          </cell>
          <cell r="S1">
            <v>1</v>
          </cell>
        </row>
        <row r="2">
          <cell r="R2" t="str">
            <v>use current #shares</v>
          </cell>
          <cell r="S2">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inancial statements"/>
      <sheetName val="Growth assumptions"/>
      <sheetName val="Taxes"/>
      <sheetName val="Valuation"/>
      <sheetName val="Graphs"/>
      <sheetName val="Terminal value"/>
      <sheetName val="Summary"/>
      <sheetName val="FinStat (alternative layout)"/>
      <sheetName val="Blank sheet"/>
      <sheetName val="Guidance notes"/>
      <sheetName val="Financial Statement"/>
      <sheetName val="Base Data"/>
      <sheetName val="XL4Poppy"/>
      <sheetName val="Deferral"/>
      <sheetName val="Cover"/>
    </sheetNames>
    <sheetDataSet>
      <sheetData sheetId="0" refreshError="1">
        <row r="2">
          <cell r="N2" t="str">
            <v>Draft for discussion: 1st September, 2002 at 10:18 PM</v>
          </cell>
        </row>
        <row r="12">
          <cell r="H12" t="str">
            <v>Genius</v>
          </cell>
        </row>
        <row r="13">
          <cell r="H13">
            <v>37621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assumptions"/>
      <sheetName val="Control Pannel"/>
      <sheetName val="SENSITIVITY"/>
      <sheetName val="Key Assumptions output"/>
      <sheetName val="Market"/>
      <sheetName val="Price"/>
      <sheetName val="Share"/>
      <sheetName val="Subscribers"/>
      <sheetName val="Revenue"/>
      <sheetName val="CM sales"/>
      <sheetName val="Split"/>
      <sheetName val="Equip. Sales"/>
      <sheetName val="Monthly fee to Giga"/>
      <sheetName val="Expenses"/>
      <sheetName val="Expenses-assumptions"/>
      <sheetName val="Staffing"/>
      <sheetName val="Dep'n"/>
      <sheetName val="Network capex"/>
      <sheetName val="Adjusted capex"/>
      <sheetName val="Valuation"/>
      <sheetName val="Cable CSC"/>
      <sheetName val="WACC"/>
      <sheetName val="@Home Valuation"/>
      <sheetName val="Income statement"/>
      <sheetName val="Cashflow statement"/>
      <sheetName val="Balance sheet"/>
      <sheetName val="- SHEETS AFTER THIS NOT USED -"/>
      <sheetName val="CoGS-CM"/>
      <sheetName val="CoGS-Equip"/>
      <sheetName val="CoGS-Servers"/>
      <sheetName val="CoGS-CR"/>
      <sheetName val="CoGS-RAS"/>
      <sheetName val="CoGS-Switch"/>
      <sheetName val="CoGS-Router"/>
      <sheetName val="Interface"/>
      <sheetName val="Parameters"/>
      <sheetName val="Servers"/>
      <sheetName val="CR"/>
      <sheetName val="RAS"/>
      <sheetName val="PSTN"/>
      <sheetName val="Switch"/>
      <sheetName val="Router"/>
      <sheetName val="Backbone"/>
      <sheetName val="麗冠"/>
      <sheetName val="長德"/>
      <sheetName val="萬象"/>
      <sheetName val="寶福"/>
      <sheetName val="新和"/>
      <sheetName val="大豐"/>
      <sheetName val="北新"/>
      <sheetName val="家和"/>
      <sheetName val="雙星"/>
      <sheetName val="吉隆"/>
      <sheetName val="北健"/>
      <sheetName val="竹和"/>
      <sheetName val="群健"/>
      <sheetName val="雙子星"/>
      <sheetName val="三冠王"/>
      <sheetName val="慶聯"/>
      <sheetName val="港都"/>
      <sheetName val="澎湖"/>
      <sheetName val="Subscribers (2)"/>
      <sheetName val="Web"/>
      <sheetName val="Proxy"/>
      <sheetName val="Domestic"/>
      <sheetName val="Intl"/>
      <sheetName val="AV"/>
      <sheetName val="RAW"/>
      <sheetName val="Summary"/>
      <sheetName val="System"/>
      <sheetName val="Output"/>
      <sheetName val="Chart3"/>
      <sheetName val="New MSOs"/>
      <sheetName val="Split to M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Output_Broadband"/>
      <sheetName val="Output_Broadband (resized)"/>
      <sheetName val="Output_Telcos"/>
      <sheetName val="Output_Telcos (resized)"/>
      <sheetName val="MasterPriceIDLookup"/>
      <sheetName val="Issues"/>
      <sheetName val="Pricing Data"/>
      <sheetName val="BRW"/>
      <sheetName val="ENT"/>
      <sheetName val="FTHL"/>
      <sheetName val="GX"/>
      <sheetName val="IN"/>
      <sheetName val="ITCD"/>
      <sheetName val="LVLT"/>
      <sheetName val="MFNX"/>
      <sheetName val="NOPT"/>
      <sheetName val="TSIX"/>
      <sheetName val="TCM"/>
      <sheetName val="WCG"/>
      <sheetName val="T"/>
      <sheetName val="BLS"/>
      <sheetName val="Q"/>
      <sheetName val="USW"/>
      <sheetName val="SBC"/>
      <sheetName val="FON"/>
      <sheetName val="VZ"/>
      <sheetName val="GTE"/>
      <sheetName val="WCOM"/>
      <sheetName val="ALSK"/>
      <sheetName val="AT"/>
      <sheetName val="CTL"/>
      <sheetName val="CTCO"/>
      <sheetName val="STRX"/>
      <sheetName val="TGRP"/>
      <sheetName val="IIXC"/>
      <sheetName val="TDS"/>
      <sheetName val="FRO"/>
      <sheetName val="STGC"/>
      <sheetName val="PGEX"/>
      <sheetName val="RSLC"/>
      <sheetName val="IDTC"/>
      <sheetName val="PRTL"/>
      <sheetName val="CZN"/>
      <sheetName val="VYTL"/>
      <sheetName val="FX"/>
      <sheetName val="Sources"/>
      <sheetName val="Responsibility Schedule"/>
      <sheetName val="Accounting Rules_Ignore"/>
      <sheetName val="Researc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
      <sheetName val="Existing Biz Revenue"/>
      <sheetName val="New Biz Revenue"/>
      <sheetName val="COGS &amp; Expense"/>
      <sheetName val="Capex"/>
      <sheetName val="Financial Statement"/>
      <sheetName val="Valuation"/>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计资产汇总表"/>
      <sheetName val="审计负债汇总表"/>
      <sheetName val="审计利润汇总表"/>
      <sheetName val="审计现金汇总表(正表方）"/>
      <sheetName val="审计现金汇总表(附注方）"/>
      <sheetName val="试算平衡表（资产）"/>
      <sheetName val="试算平衡表（负债）"/>
      <sheetName val="试算平衡表（利润）"/>
      <sheetName val="现金流量审定表"/>
      <sheetName val="审计差异调整表（调整）"/>
      <sheetName val="审计差异调整表（调整） (2)"/>
      <sheetName val="审计差异调整表（重分类） (2)"/>
      <sheetName val="审计差异调整表（重分类）"/>
      <sheetName val="审计差异调整表（未调整）"/>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B"/>
      <sheetName val="13.65度沈_"/>
      <sheetName val="#REF!"/>
      <sheetName val="eqpmad2"/>
      <sheetName val="参数"/>
      <sheetName val="4-12-1土地使用权"/>
      <sheetName val="申报表封面"/>
      <sheetName val="2002.1-6管理费用"/>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新建工作表 "/>
      <sheetName val="PIT"/>
      <sheetName val="企业表一"/>
      <sheetName val="M-5A"/>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清单12.31"/>
      <sheetName val="#REF"/>
      <sheetName val="detail"/>
      <sheetName val="Toolbox"/>
      <sheetName val="YS02-02"/>
      <sheetName val="KKKKKKKK"/>
      <sheetName val="预收帐款"/>
      <sheetName val="SW-TEO"/>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新产品贡献率"/>
      <sheetName val="制造成本预算表A3"/>
      <sheetName val="关联方—创斯达"/>
      <sheetName val="关联方—东风汽车"/>
      <sheetName val="内销硫酸期初"/>
      <sheetName val="Breakdown-Intrim"/>
      <sheetName val="G.1R-Shou COP Gf"/>
      <sheetName val="长期借款"/>
      <sheetName val="Contacts"/>
      <sheetName val="_x0000__x0000__x0000__x0000__x0000__x0000__x0000__x0000_"/>
      <sheetName val="说明"/>
      <sheetName val="收入"/>
      <sheetName val="M-5C"/>
      <sheetName val="库存商品余额表.dbf"/>
      <sheetName val="信息表"/>
      <sheetName val="资产负债表"/>
      <sheetName val="科目余额表正式"/>
      <sheetName val="资产负债表及损益表"/>
      <sheetName val="财务费用"/>
      <sheetName val="制造费用"/>
      <sheetName val="重要内部交易"/>
      <sheetName val="管理费用"/>
      <sheetName val="目录"/>
      <sheetName val="营业费用"/>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审计调整"/>
      <sheetName val="固定资产2001年折旧"/>
      <sheetName val="所得税凭证抽查"/>
      <sheetName val="材料消耗"/>
      <sheetName val="索引表"/>
      <sheetName val="总分类账"/>
      <sheetName val="Criteria"/>
      <sheetName val="三家其他应付公司"/>
      <sheetName val="工时统计"/>
      <sheetName val="Financial Statement"/>
      <sheetName val="4-2长投债券"/>
      <sheetName val="3流资汇总"/>
      <sheetName val="Financ. Overview"/>
      <sheetName val="4-货币资金-现金"/>
      <sheetName val="分录"/>
      <sheetName val="库存商品mx"/>
      <sheetName val="主营业务成本Dy"/>
      <sheetName val="索引"/>
      <sheetName val="应付票据明细"/>
      <sheetName val="Part_Datum"/>
      <sheetName val="库存股Dy"/>
      <sheetName val="1"/>
      <sheetName val="7.0 Expenses-Total (新修正)"/>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评估结果汇总表"/>
      <sheetName val="评估结果分类汇总表"/>
      <sheetName val="流动资产汇总表"/>
      <sheetName val="流动资产--货币"/>
      <sheetName val="流动资产--货币 (2)"/>
      <sheetName val="流动资产--应收"/>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包装物"/>
      <sheetName val="流动资产-委托加工材料"/>
      <sheetName val="流动资产-产成品"/>
      <sheetName val="流动资产-在产品"/>
      <sheetName val="流动资产-分期收款"/>
      <sheetName val="流动资产-在用低值"/>
      <sheetName val="流动资产-委托代销商品"/>
      <sheetName val="受托代销商品"/>
      <sheetName val="流动资产--已完未结算工程"/>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管道和沟槽"/>
      <sheetName val="机器设备"/>
      <sheetName val="通信线路"/>
      <sheetName val="车辆"/>
      <sheetName val="电子设备"/>
      <sheetName val="工程物资"/>
      <sheetName val="土建工程"/>
      <sheetName val="设备安装"/>
      <sheetName val="通信线路在建"/>
      <sheetName val="固定资产清理"/>
      <sheetName val="待处理固定资产"/>
      <sheetName val="土地使用权"/>
      <sheetName val="其他无形资产"/>
      <sheetName val="开办费"/>
      <sheetName val="长期待摊费用"/>
      <sheetName val="其他长期资产"/>
      <sheetName val="递延税款"/>
      <sheetName val="流动负债汇总表"/>
      <sheetName val="短期借款"/>
      <sheetName val="应付票据"/>
      <sheetName val="应付帐款"/>
      <sheetName val="预收帐款"/>
      <sheetName val="代销商品款"/>
      <sheetName val="其他应付款"/>
      <sheetName val="应付工资"/>
      <sheetName val="应付福利费"/>
      <sheetName val="应交税金"/>
      <sheetName val="应付利润"/>
      <sheetName val="其他应交款"/>
      <sheetName val="预提费用"/>
      <sheetName val="一年内到期长期负债"/>
      <sheetName val="其他流动负债"/>
      <sheetName val="长期负债汇总表"/>
      <sheetName val="长期借款"/>
      <sheetName val="应付债券"/>
      <sheetName val="长期应付款"/>
      <sheetName val="住房周转金"/>
      <sheetName val="其他长期负债"/>
      <sheetName val="递延税款贷款"/>
      <sheetName val="XL4Poppy"/>
      <sheetName val="Main"/>
      <sheetName val=""/>
      <sheetName val="detail"/>
      <sheetName val="收入和成本对应表"/>
      <sheetName val="Sheet1"/>
      <sheetName val="新准则TB"/>
      <sheetName val="_x005f_x0000__x005f_x0000__x005f_x0000__x005f_x0000__x0"/>
      <sheetName val="评估汇总表(8.11改动)"/>
      <sheetName val="说明"/>
      <sheetName val="收入"/>
      <sheetName val="KKKKKKKK"/>
      <sheetName val="eqpmad2"/>
      <sheetName val="P&amp;L weekly"/>
      <sheetName val="D1会计政策调查"/>
      <sheetName val="目录"/>
      <sheetName val="短期投资"/>
      <sheetName val="Contacts"/>
      <sheetName val="Title"/>
      <sheetName val="6月"/>
      <sheetName val="应付账款 (2)"/>
      <sheetName val="清单12.31"/>
      <sheetName val="Input"/>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row r="15">
          <cell r="A15" t="b">
            <v>1</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说明"/>
      <sheetName val="销量"/>
      <sheetName val="共享"/>
      <sheetName val="促销活动"/>
      <sheetName val="活动"/>
      <sheetName val="总表"/>
      <sheetName val="固定资产折旧测试"/>
      <sheetName val="__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1¨¬_¡§¡Á¨º2¨²___¨¦2a¨º_"/>
      <sheetName val="Links"/>
      <sheetName val="Lead"/>
      <sheetName val="表1_质管部(14)"/>
      <sheetName val="表1财务部(16)_"/>
      <sheetName val="表14_-1"/>
      <sheetName val="表14_-2"/>
      <sheetName val="_能源"/>
      <sheetName val="??礫剑干啤（累"/>
      <sheetName val="??µ[½£¸ÉÆ¡£¨ÀÛ"/>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2?¡ä¡é"/>
      <sheetName val="??DT"/>
      <sheetName val="????"/>
      <sheetName val="1?¦Ì?"/>
      <sheetName val=" ?¨¹?¡ä"/>
      <sheetName val="1???"/>
      <sheetName val="???1"/>
      <sheetName val="?t???¡¥¨¬?"/>
      <sheetName val="?e?¨¬"/>
      <sheetName val="¡ã¨¹¨°?"/>
      <sheetName val="¡ã¨¹?t"/>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1¨¬?¡§¡Á¨º2¨²???¨¦2a¨º?"/>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_x0000__x0000__x0000__x0000__x0000__x0000__x0000__x0000_"/>
      <sheetName val="KKKKKKKK"/>
      <sheetName val="eqpmad2"/>
      <sheetName val="Hel-OIs"/>
      <sheetName val="????????"/>
      <sheetName val="B"/>
      <sheetName val="会计科目"/>
      <sheetName val="索引表"/>
      <sheetName val="Names"/>
      <sheetName val="燃动"/>
      <sheetName val="________"/>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600104(部门）"/>
      <sheetName val="标本-资产"/>
      <sheetName val="应收账款Cx"/>
      <sheetName val="应收账款Mx"/>
      <sheetName val="项目目录"/>
      <sheetName val="建安工程费(全)"/>
      <sheetName val="建安工程费（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refreshError="1"/>
      <sheetData sheetId="439" refreshError="1"/>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调整分录-输入"/>
      <sheetName val="新旧转换调整分录"/>
      <sheetName val="新准则资产负债表"/>
      <sheetName val="新准则利润表"/>
      <sheetName val="新准则TB"/>
      <sheetName val="新资产负债表"/>
      <sheetName val="新利润及利润分配表"/>
      <sheetName val="财务指标"/>
      <sheetName val="试算平衡表"/>
      <sheetName val="注释"/>
      <sheetName val="XBase"/>
      <sheetName val="分析分录"/>
      <sheetName val="前导表"/>
      <sheetName val="补充分录"/>
      <sheetName val="验证"/>
      <sheetName val="CF附注"/>
      <sheetName val="新现金流量表"/>
      <sheetName val="流量表新旧转换调整分录"/>
      <sheetName val="新准则现金流量表"/>
      <sheetName val="所有者权益变动表"/>
      <sheetName val="所得税"/>
      <sheetName val="台帐资料"/>
      <sheetName val="Account"/>
      <sheetName val="newAccount"/>
      <sheetName val="坏账厘定"/>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CC Calculation (2)"/>
      <sheetName val="DCF - Current Figures"/>
      <sheetName val="GenAssms"/>
      <sheetName val="电子"/>
      <sheetName val="XL4Poppy"/>
      <sheetName val="收入"/>
      <sheetName val=""/>
      <sheetName val="Sheet1"/>
      <sheetName val="试算平衡表"/>
      <sheetName val="XBase"/>
      <sheetName val="_x005f_x0000__x005f_x0000__x005f_x0000__x005f_x0000__x0"/>
    </sheetNames>
    <sheetDataSet>
      <sheetData sheetId="0" refreshError="1"/>
      <sheetData sheetId="1" refreshError="1"/>
      <sheetData sheetId="2" refreshError="1">
        <row r="29">
          <cell r="B29">
            <v>3466.1052631578946</v>
          </cell>
          <cell r="C29">
            <v>4466.3765502631586</v>
          </cell>
          <cell r="D29">
            <v>5510.5602789078957</v>
          </cell>
          <cell r="E29">
            <v>6734.1589917067831</v>
          </cell>
          <cell r="F29">
            <v>7949.5925658197157</v>
          </cell>
          <cell r="G29">
            <v>9340.7864683123225</v>
          </cell>
          <cell r="H29">
            <v>10654.616518788065</v>
          </cell>
          <cell r="I29">
            <v>12111.420653592508</v>
          </cell>
          <cell r="J29">
            <v>13453.961979066724</v>
          </cell>
          <cell r="K29">
            <v>14624.583779897946</v>
          </cell>
        </row>
        <row r="70">
          <cell r="B70">
            <v>5.0000000000000001E-3</v>
          </cell>
          <cell r="C70">
            <v>6.0000000000000001E-3</v>
          </cell>
          <cell r="D70">
            <v>7.0000000000000001E-3</v>
          </cell>
          <cell r="E70">
            <v>8.0000000000000002E-3</v>
          </cell>
          <cell r="F70">
            <v>8.9999999999999993E-3</v>
          </cell>
          <cell r="G70">
            <v>0.01</v>
          </cell>
          <cell r="H70">
            <v>0.01</v>
          </cell>
          <cell r="I70">
            <v>0.01</v>
          </cell>
          <cell r="J70">
            <v>0.01</v>
          </cell>
          <cell r="K70">
            <v>0.01</v>
          </cell>
        </row>
        <row r="71">
          <cell r="B71">
            <v>2.1999999999999999E-2</v>
          </cell>
          <cell r="C71">
            <v>2.5000000000000001E-2</v>
          </cell>
          <cell r="D71">
            <v>2.8000000000000001E-2</v>
          </cell>
          <cell r="E71">
            <v>0.03</v>
          </cell>
          <cell r="F71">
            <v>3.2000000000000001E-2</v>
          </cell>
          <cell r="G71">
            <v>3.4000000000000002E-2</v>
          </cell>
          <cell r="H71">
            <v>3.5999999999999997E-2</v>
          </cell>
          <cell r="I71">
            <v>3.7999999999999999E-2</v>
          </cell>
          <cell r="J71">
            <v>0.04</v>
          </cell>
          <cell r="K71">
            <v>0.04</v>
          </cell>
        </row>
        <row r="72">
          <cell r="B72">
            <v>1.9E-2</v>
          </cell>
          <cell r="C72">
            <v>1.9E-2</v>
          </cell>
          <cell r="D72">
            <v>0.02</v>
          </cell>
          <cell r="E72">
            <v>0.02</v>
          </cell>
          <cell r="F72">
            <v>0.02</v>
          </cell>
          <cell r="G72">
            <v>0.02</v>
          </cell>
          <cell r="H72">
            <v>0.02</v>
          </cell>
          <cell r="I72">
            <v>0.02</v>
          </cell>
          <cell r="J72">
            <v>0.02</v>
          </cell>
          <cell r="K72">
            <v>0.02</v>
          </cell>
        </row>
        <row r="80">
          <cell r="B80">
            <v>0</v>
          </cell>
          <cell r="C80">
            <v>0.03</v>
          </cell>
          <cell r="D80">
            <v>3.3000000000000002E-2</v>
          </cell>
          <cell r="E80">
            <v>3.6300000000000006E-2</v>
          </cell>
          <cell r="F80">
            <v>3.9930000000000007E-2</v>
          </cell>
          <cell r="G80">
            <v>4.1926500000000012E-2</v>
          </cell>
          <cell r="H80">
            <v>4.4022825000000015E-2</v>
          </cell>
          <cell r="I80">
            <v>4.6223966250000019E-2</v>
          </cell>
          <cell r="J80">
            <v>4.8535164562500024E-2</v>
          </cell>
          <cell r="K80">
            <v>5.096192279062503E-2</v>
          </cell>
        </row>
        <row r="81">
          <cell r="B81">
            <v>0</v>
          </cell>
          <cell r="C81">
            <v>0.02</v>
          </cell>
          <cell r="D81">
            <v>2.2000000000000002E-2</v>
          </cell>
          <cell r="E81">
            <v>2.4200000000000003E-2</v>
          </cell>
          <cell r="F81">
            <v>2.6620000000000005E-2</v>
          </cell>
          <cell r="G81">
            <v>2.7951000000000007E-2</v>
          </cell>
          <cell r="H81">
            <v>2.9348550000000008E-2</v>
          </cell>
          <cell r="I81">
            <v>3.0815977500000008E-2</v>
          </cell>
          <cell r="J81">
            <v>3.2356776375000007E-2</v>
          </cell>
          <cell r="K81">
            <v>3.3974615193750009E-2</v>
          </cell>
        </row>
        <row r="83">
          <cell r="B83">
            <v>0.12</v>
          </cell>
          <cell r="C83">
            <v>0.15</v>
          </cell>
          <cell r="D83">
            <v>0.16500000000000001</v>
          </cell>
          <cell r="E83">
            <v>0.18150000000000002</v>
          </cell>
          <cell r="F83">
            <v>0.19965000000000005</v>
          </cell>
          <cell r="G83">
            <v>0.20963250000000005</v>
          </cell>
          <cell r="H83">
            <v>0.22011412500000008</v>
          </cell>
          <cell r="I83">
            <v>0.2311198312500001</v>
          </cell>
          <cell r="J83">
            <v>0.24267582281250011</v>
          </cell>
          <cell r="K83">
            <v>0.25480961395312512</v>
          </cell>
        </row>
        <row r="87">
          <cell r="B87">
            <v>3000</v>
          </cell>
          <cell r="C87">
            <v>3300.0000000000005</v>
          </cell>
          <cell r="D87">
            <v>3630.0000000000009</v>
          </cell>
          <cell r="E87">
            <v>3993.0000000000014</v>
          </cell>
          <cell r="F87">
            <v>4392.300000000002</v>
          </cell>
          <cell r="G87">
            <v>4831.5300000000025</v>
          </cell>
          <cell r="H87">
            <v>5314.6830000000027</v>
          </cell>
          <cell r="I87">
            <v>5846.1513000000032</v>
          </cell>
          <cell r="J87">
            <v>6430.7664300000042</v>
          </cell>
          <cell r="K87">
            <v>7073.8430730000055</v>
          </cell>
        </row>
        <row r="97">
          <cell r="B97">
            <v>15000</v>
          </cell>
          <cell r="C97">
            <v>18000</v>
          </cell>
          <cell r="D97">
            <v>21600</v>
          </cell>
          <cell r="E97">
            <v>25920</v>
          </cell>
          <cell r="F97">
            <v>32400</v>
          </cell>
          <cell r="G97">
            <v>40500</v>
          </cell>
          <cell r="H97">
            <v>50625</v>
          </cell>
          <cell r="I97">
            <v>63281.25</v>
          </cell>
          <cell r="J97">
            <v>79101.5625</v>
          </cell>
          <cell r="K97">
            <v>98876.953125</v>
          </cell>
        </row>
        <row r="118">
          <cell r="B118">
            <v>500</v>
          </cell>
          <cell r="C118">
            <v>500</v>
          </cell>
          <cell r="D118">
            <v>500</v>
          </cell>
          <cell r="E118">
            <v>500</v>
          </cell>
          <cell r="F118">
            <v>500</v>
          </cell>
          <cell r="G118">
            <v>500</v>
          </cell>
          <cell r="H118">
            <v>500</v>
          </cell>
          <cell r="I118">
            <v>500</v>
          </cell>
          <cell r="J118">
            <v>500</v>
          </cell>
          <cell r="K118">
            <v>500</v>
          </cell>
        </row>
        <row r="133">
          <cell r="B133">
            <v>1000</v>
          </cell>
          <cell r="C133">
            <v>1000</v>
          </cell>
          <cell r="D133">
            <v>1000</v>
          </cell>
          <cell r="E133">
            <v>1000</v>
          </cell>
          <cell r="F133">
            <v>1000</v>
          </cell>
          <cell r="G133">
            <v>1000</v>
          </cell>
          <cell r="H133">
            <v>1000</v>
          </cell>
          <cell r="I133">
            <v>1000</v>
          </cell>
          <cell r="J133">
            <v>1000</v>
          </cell>
          <cell r="K133">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目录"/>
      <sheetName val="项目指标"/>
      <sheetName val="假设条件"/>
      <sheetName val="收入假设"/>
      <sheetName val="月度收入"/>
      <sheetName val="季度收入"/>
      <sheetName val="Sheet1"/>
      <sheetName val="收入"/>
      <sheetName val="成本"/>
      <sheetName val="费用"/>
      <sheetName val="税金"/>
      <sheetName val="融资"/>
      <sheetName val="资产负债表"/>
      <sheetName val="损益表"/>
      <sheetName val="现金流量表"/>
      <sheetName val="销售价格假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À¨ª2"/>
      <sheetName val="_¡è__¦Ì¡Á__"/>
      <sheetName val="1¨¹¨¤¨ª¡¤_¨®__¡è__"/>
      <sheetName val="1¨¬_¡§¨¦¨²2¨²3¨¦¡À__¡è__"/>
      <sheetName val="¡À¨ª1"/>
      <sheetName val="¡À¨ª3"/>
      <sheetName val="¡À¨ª4"/>
      <sheetName val="¡À¨ª5"/>
      <sheetName val="¡À¨ª6"/>
      <sheetName val="¡À¨ª7"/>
      <sheetName val="¡À¨ª8"/>
      <sheetName val="¡À¨ª9"/>
      <sheetName val="¡À¨ª10"/>
      <sheetName val="¡À¨ª11"/>
      <sheetName val="¡À¨ª12"/>
      <sheetName val="¡À¨ª13"/>
      <sheetName val="¡À¨ª14"/>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µ[½£¸ÉÆ¡£¨ÀÛ"/>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è??¦Ì¡Á??"/>
      <sheetName val="1¨¹¨¤¨ª¡¤?¨®??¡è??"/>
      <sheetName val="1¨¬?¡§¨¦¨²2¨²3¨¦¡À??¡è??"/>
      <sheetName val="2?¡ä¡é"/>
      <sheetName val="??DT"/>
      <sheetName val="????"/>
      <sheetName val="1?¦Ì?"/>
      <sheetName val=" ?¨¹?¡ä"/>
      <sheetName val="1???"/>
      <sheetName val="???1"/>
      <sheetName val="?t???¡¥¨¬?"/>
      <sheetName val="?e?¨¬"/>
      <sheetName val="¡ã¨¹¨°?"/>
      <sheetName val="¡ã¨¹?t"/>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外销样表"/>
      <sheetName val="PIT"/>
      <sheetName val="11?¨¨¨¦¨°???¨º3¨¦_x0005__x0000__x0000__x0000_뛴_x0013_亜"/>
      <sheetName val="Links"/>
      <sheetName val="Lead"/>
      <sheetName val="ÀûÈóÔ­±¨"/>
      <sheetName val="11?¨¨¨¦¨°???¨º3¨¦헾】_x0005__x0000__x0000__x0000_"/>
      <sheetName val="11?¨¨¨¦¨°???¨º3¨¦_x0005__x0000__x0000__x0000_뛴_x0013_"/>
      <sheetName val="11?¨¨¨¦¨°???¨º3¨¦_x0005__x0000__x0000__x0000_뛴_x0013_蔃"/>
      <sheetName val="Breakdown-Intrim"/>
      <sheetName val="11?¨¨¨¦¨°???¨º3_x0005__x0000__x0000__x0000_뚼_x0012_혹쉬附"/>
      <sheetName val="11?¨¨¨¦¨°???¨º3¨¦¡À԰_x0000__x0000__x0000_"/>
      <sheetName val="#REF!"/>
      <sheetName val="?譎ᨪ԰"/>
      <sheetName val="?Վ_x0000__x0000_"/>
      <sheetName val="参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sheetData sheetId="536" refreshError="1"/>
      <sheetData sheetId="537" refreshError="1"/>
      <sheetData sheetId="538" refreshError="1"/>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weekly"/>
      <sheetName val="Toolbox"/>
      <sheetName val="XL4Poppy"/>
      <sheetName val="Open"/>
      <sheetName val=""/>
      <sheetName val="GenAssms"/>
      <sheetName val="_x005f_x0000__x005f_x0000__x005f_x0000__x005f_x0000__x0"/>
      <sheetName val="POWER ASSUMPTIONS"/>
      <sheetName val="2002.1-6管理费用"/>
      <sheetName val="项目目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__500"/>
      <sheetName val="¨¢_¦Ì_D__¨®"/>
      <sheetName val="¨¢_¦Ì_520"/>
      <sheetName val="D__¨º72"/>
      <sheetName val="_¨¬_2¡À|"/>
      <sheetName val="¨¬______¡§"/>
      <sheetName val="_¨¹_____¡§"/>
      <sheetName val="_¨¹__¦Ì-__"/>
      <sheetName val="10_¨¨¨¤|¡ã¡Á"/>
      <sheetName val="10_¨¨__¡ã¡Á"/>
      <sheetName val="10_¨¨____"/>
      <sheetName val="¨°__¡¤¨º£¤¨¨a"/>
      <sheetName val="¡À¨ª5"/>
      <sheetName val="__¨®¨°o___"/>
      <sheetName val="¨¢_¦Ì__¡¤__"/>
      <sheetName val="_2¡À|_¡¤__"/>
      <sheetName val="___¡§_¡¤__"/>
      <sheetName val="¨º£¤¨¨a_¡ã____"/>
      <sheetName val="_¦Ì_¡Â"/>
      <sheetName val="_¨²¨¢_"/>
      <sheetName val="____"/>
      <sheetName val="12_¨ª"/>
      <sheetName val="¡ä¨´_¨²___¡¥"/>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所得税凭证抽查"/>
      <sheetName val="核算项目余额表"/>
      <sheetName val="2006内陆运输"/>
      <sheetName val="Financ. Overview"/>
      <sheetName val="OSP_Becht_Fin"/>
      <sheetName val="G_1R-Shou_COP_Gf"/>
      <sheetName val="G_1R_Shou_COP_Gf"/>
      <sheetName val="GP_analysis_Per_month"/>
      <sheetName val="Sales_breakdown_"/>
      <sheetName val="MA_Adj__Test"/>
      <sheetName val="Financ__Overview"/>
      <sheetName val="Ctinh 10kV"/>
      <sheetName val="会计事项调整表"/>
      <sheetName val="#REF!"/>
      <sheetName val=""/>
      <sheetName val="KKKKKKKK"/>
      <sheetName val="余良卿9月"/>
      <sheetName val="________"/>
      <sheetName val="P&amp;L weekly"/>
      <sheetName val="Sheet1"/>
      <sheetName val="外销样表"/>
      <sheetName val="盈余公积 （合并)"/>
      <sheetName val="_x005f_x0000__x005f_x0000__x005f_x0000__x005f_x0000__x0"/>
      <sheetName val="_x005f_x005f_x005f_x0000__x005f_x005f_x005f_x0000__x005"/>
      <sheetName val="Open"/>
      <sheetName val="_x005f_x005f_x005f_x005f_x005f_x005f_x005f_x0000__x005f"/>
      <sheetName val="Main"/>
      <sheetName val="¡À¨´??500"/>
      <sheetName val="¨¢?¦Ì?D??¨®"/>
      <sheetName val="¨¢?¦Ì?520"/>
      <sheetName val="D??¨º72"/>
      <sheetName val="?¨¬?2¡À|"/>
      <sheetName val="¨¬??????¡§"/>
      <sheetName val="?¨¹?????¡§"/>
      <sheetName val="?¨¹??¦Ì-??"/>
      <sheetName val="10?¨¨¨¤|¡ã¡Á"/>
      <sheetName val="10?¨¨??¡ã¡Á"/>
      <sheetName val="10?¨¨????"/>
      <sheetName val="¨°??¡¤¨º£¤¨¨a"/>
      <sheetName val="??¨®¨°o???"/>
      <sheetName val="¨¢?¦Ì??¡¤??"/>
      <sheetName val="?2¡À|?¡¤??"/>
      <sheetName val="???¡§?¡¤??"/>
      <sheetName val="¨º£¤¨¨a?¡ã????"/>
      <sheetName val="?¦Ì?¡Â"/>
      <sheetName val="?¨²¨¢?"/>
      <sheetName val="????"/>
      <sheetName val="12?¨ª"/>
      <sheetName val="¡ä¨´?¨²???¡¥"/>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CC calculation"/>
      <sheetName val="G.1R-Shou COP Gf"/>
      <sheetName val="Sheet1"/>
      <sheetName val="P&amp;L weekly"/>
      <sheetName val="附注15-1在建工程有关资料"/>
      <sheetName val="附注20-1借款"/>
      <sheetName val="附注25-应付工资及福利费"/>
      <sheetName val="附注29-应上交应弥补款项表"/>
      <sheetName val="附注37-1产品成本"/>
      <sheetName val="附注48-非货币性交易事项"/>
      <sheetName val="附注49-债务重组事项"/>
      <sheetName val="附注50-担保"/>
      <sheetName val="附注13-2对外投资"/>
      <sheetName val="附注51-对外开证"/>
    </sheetNames>
    <definedNames>
      <definedName name="ShowLog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ASSUMPTIONS"/>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G.1R-Shou COP Gf"/>
      <sheetName val="Toolbox"/>
      <sheetName val="说明"/>
      <sheetName val="销量"/>
      <sheetName val="共享"/>
      <sheetName val="促销活动"/>
      <sheetName val="活动"/>
      <sheetName val="总表"/>
      <sheetName val="XL4Poppy"/>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明细分类账"/>
      <sheetName val="eqpmad2"/>
      <sheetName val="所得税凭证抽查"/>
      <sheetName val="gvl"/>
      <sheetName val="BALANCE SHEET"/>
      <sheetName val="#REF"/>
      <sheetName val="企业表一"/>
      <sheetName val="M-5C"/>
      <sheetName val="M-5A"/>
      <sheetName val="M1-1A-1"/>
      <sheetName val="Financ. Overview"/>
      <sheetName val="清单12.31"/>
      <sheetName val="E&amp;UA應收票據及帳款,營業收入"/>
      <sheetName val="F&amp;VA存貨及營業成本"/>
      <sheetName val="S衍生性金融商品及避險、或有及承諾事項"/>
      <sheetName val="N應付票據及帳款"/>
      <sheetName val="2002.1-6管理费用"/>
      <sheetName val=""/>
      <sheetName val="物资采购含税转出"/>
      <sheetName val="附件8---销售模式统计"/>
      <sheetName val="KKKKKKKK"/>
      <sheetName val="P&amp;L weekly"/>
      <sheetName val="会计事项调整表"/>
      <sheetName val="GP analysis Per month"/>
      <sheetName val="Sales breakdown "/>
      <sheetName val="MA Adj. Test"/>
      <sheetName val="华泰"/>
      <sheetName val="华意"/>
      <sheetName val="资产负债表及损益表"/>
      <sheetName val="重要内部交易"/>
      <sheetName val="财务费用"/>
      <sheetName val="管理费用"/>
      <sheetName val="目录"/>
      <sheetName val="营业费用"/>
      <sheetName val="制造费用"/>
      <sheetName val="#REF!"/>
      <sheetName val="应收账款明细表"/>
      <sheetName val="2006"/>
      <sheetName val="折旧测试2007"/>
      <sheetName val="4产成品清单"/>
      <sheetName val="19采购明细"/>
      <sheetName val="索引"/>
      <sheetName val="三家其他应付公司"/>
      <sheetName val="________"/>
      <sheetName val="管理费用表分析-1"/>
      <sheetName val="6月"/>
      <sheetName val="损益表（按单位)01"/>
      <sheetName val="YS02-02"/>
      <sheetName val="E1020"/>
      <sheetName val="_x005f_x0000__x005f_x0000__x005f_x0000__x005f_x0000__x0"/>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nancial statements"/>
      <sheetName val="Assumption"/>
      <sheetName val="Valuation"/>
      <sheetName val="Summary"/>
      <sheetName val="Fs_monthly"/>
      <sheetName val="Assum._monthl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现金流预测"/>
      <sheetName val="主营业务收入预测"/>
      <sheetName val="2营业费用预测ok"/>
      <sheetName val="营业费用(明细)"/>
      <sheetName val="3管理费用预测ok"/>
      <sheetName val="管理费用(明细)"/>
      <sheetName val="折旧ok"/>
      <sheetName val="4固定资产构成分析"/>
      <sheetName val="5折旧预测ok"/>
      <sheetName val="6摊销预测ok"/>
      <sheetName val="7财务费用预测ok"/>
      <sheetName val="8营运资金"/>
      <sheetName val="历年资产负债"/>
      <sheetName val="Beta系数确定"/>
      <sheetName val="财务分析"/>
      <sheetName val="成本预测"/>
      <sheetName val="利润预测"/>
      <sheetName val="6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B"/>
      <sheetName val="M-5C"/>
      <sheetName val="M-5A"/>
      <sheetName val="10-3.向关联方采购固定资产"/>
      <sheetName val="#REF!"/>
      <sheetName val="detail"/>
      <sheetName val="所得税凭证抽查"/>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Open"/>
      <sheetName val="M11"/>
      <sheetName val="M11-1"/>
      <sheetName val="F1"/>
      <sheetName val=""/>
      <sheetName val="利润表"/>
      <sheetName val="Cover"/>
      <sheetName val="Assumption"/>
      <sheetName val="KKKKKKKK"/>
      <sheetName val="现金"/>
      <sheetName val="银行存款"/>
      <sheetName val="应收账款"/>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固定资产—房屋建筑物"/>
      <sheetName val="固定资产—机器设备"/>
      <sheetName val="固定资产—车辆"/>
      <sheetName val="房租"/>
      <sheetName val="CIP 转入拨付资金明细"/>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_¤__μ×__"/>
      <sheetName val="1üàí·_ó__¤__"/>
      <sheetName val="1ì_¨éú2ú3é±__¤__"/>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Main"/>
      <sheetName val="Sale breakdown"/>
      <sheetName val="应付账款Dy"/>
      <sheetName val="收入分析"/>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s"/>
      <sheetName val="Summary"/>
      <sheetName val="Bermuda (US &amp; UK)"/>
      <sheetName val="Bermuda (all countries)"/>
      <sheetName val="Funding and Valuation"/>
      <sheetName val="AUS - Aligned"/>
      <sheetName val="AUS"/>
      <sheetName val="US"/>
      <sheetName val="UK"/>
      <sheetName val="Canada"/>
      <sheetName val="Singapore"/>
      <sheetName val="HK"/>
      <sheetName val="AUS Aligned Assumptions"/>
      <sheetName val="AUS Assumptions"/>
      <sheetName val="US Assumptions"/>
      <sheetName val="UK Assumptions"/>
      <sheetName val="Canada Assumptions"/>
      <sheetName val="Singapore Assumptions"/>
      <sheetName val="HK Assumptions"/>
      <sheetName val="Common Assumptions"/>
      <sheetName val="Country Specific Data Analysis"/>
      <sheetName val="Not used----&gt;"/>
      <sheetName val="Numbers for Pack"/>
      <sheetName val="Charts for Pack"/>
      <sheetName val="cover budget"/>
      <sheetName val="Budget"/>
      <sheetName val="旧集团车流量"/>
      <sheetName val="Sch PR-2"/>
      <sheetName val="Sch PR-3"/>
      <sheetName val="预收帐款"/>
      <sheetName val="余额表"/>
      <sheetName val="2002.1-6管理费用"/>
      <sheetName val="Title"/>
      <sheetName val="Financial statements"/>
      <sheetName val="9-1折旧"/>
      <sheetName val="XL4Poppy"/>
      <sheetName val="固定资产折旧费"/>
      <sheetName val="Toolbox"/>
      <sheetName val="Financial Statement"/>
      <sheetName val="UFPrn201112061458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2">
          <cell r="E32">
            <v>0.63</v>
          </cell>
        </row>
      </sheetData>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地上商业</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row>
        <row r="61">
          <cell r="A61"/>
        </row>
        <row r="62">
          <cell r="A62"/>
        </row>
        <row r="63">
          <cell r="A63"/>
        </row>
      </sheetData>
      <sheetData sheetId="15"/>
      <sheetData sheetId="16"/>
      <sheetData sheetId="17"/>
      <sheetData sheetId="18"/>
      <sheetData sheetId="19"/>
      <sheetData sheetId="20"/>
      <sheetData sheetId="21"/>
      <sheetData sheetId="22"/>
      <sheetData sheetId="23"/>
      <sheetData sheetId="24">
        <row r="61">
          <cell r="A61" t="str">
            <v>交易情况</v>
          </cell>
          <cell r="B61"/>
          <cell r="C61" t="str">
            <v>正常</v>
          </cell>
          <cell r="D61" t="str">
            <v>其他情况</v>
          </cell>
          <cell r="E61"/>
          <cell r="F61"/>
          <cell r="G61"/>
          <cell r="H61"/>
          <cell r="I61"/>
          <cell r="J61"/>
          <cell r="K61"/>
          <cell r="L61"/>
          <cell r="M61"/>
        </row>
        <row r="63">
          <cell r="B63" t="str">
            <v>用途</v>
          </cell>
          <cell r="C63" t="str">
            <v>住宅</v>
          </cell>
          <cell r="D63" t="str">
            <v>商住</v>
          </cell>
          <cell r="E63"/>
          <cell r="F63"/>
          <cell r="G63"/>
          <cell r="H63"/>
          <cell r="I63"/>
          <cell r="J63"/>
          <cell r="K63"/>
          <cell r="L63"/>
          <cell r="M63"/>
        </row>
        <row r="86">
          <cell r="B86" t="str">
            <v>楼层-1</v>
          </cell>
          <cell r="C86">
            <v>15</v>
          </cell>
          <cell r="D86">
            <v>10</v>
          </cell>
          <cell r="E86">
            <v>8</v>
          </cell>
          <cell r="F86">
            <v>7</v>
          </cell>
          <cell r="G86">
            <v>3</v>
          </cell>
          <cell r="H86"/>
          <cell r="I86"/>
          <cell r="J86"/>
          <cell r="K86"/>
          <cell r="L86"/>
          <cell r="M86"/>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简装</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LOFT</v>
          </cell>
          <cell r="D118" t="str">
            <v>平层</v>
          </cell>
          <cell r="E118"/>
          <cell r="F118"/>
          <cell r="G118"/>
          <cell r="H118"/>
          <cell r="I118"/>
          <cell r="J118"/>
          <cell r="K118"/>
          <cell r="L118"/>
          <cell r="M118"/>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25">
        <row r="61">
          <cell r="A61" t="str">
            <v>交易情况</v>
          </cell>
          <cell r="B61"/>
          <cell r="C61" t="str">
            <v>正常</v>
          </cell>
          <cell r="D61" t="str">
            <v>其他情况</v>
          </cell>
          <cell r="E61"/>
          <cell r="F61"/>
          <cell r="G61"/>
          <cell r="H61"/>
          <cell r="I61"/>
          <cell r="J61"/>
          <cell r="K61"/>
          <cell r="L61"/>
          <cell r="M61"/>
        </row>
        <row r="63">
          <cell r="B63" t="str">
            <v>用途</v>
          </cell>
          <cell r="C63" t="str">
            <v>商业</v>
          </cell>
          <cell r="D63" t="str">
            <v>商住</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2层</v>
          </cell>
          <cell r="E92" t="str">
            <v>3层</v>
          </cell>
          <cell r="F92" t="str">
            <v>4层及以上</v>
          </cell>
          <cell r="G92" t="str">
            <v>地下1层</v>
          </cell>
          <cell r="H92"/>
          <cell r="I92"/>
          <cell r="J92"/>
          <cell r="K92"/>
          <cell r="L92"/>
          <cell r="M92"/>
        </row>
        <row r="100">
          <cell r="B100" t="str">
            <v>商业类型</v>
          </cell>
          <cell r="C100" t="str">
            <v>独栋商业</v>
          </cell>
          <cell r="D100" t="str">
            <v>商业街</v>
          </cell>
          <cell r="E100" t="str">
            <v>底商</v>
          </cell>
          <cell r="F100"/>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t="str">
            <v>适宜</v>
          </cell>
          <cell r="D120" t="str">
            <v>较适宜</v>
          </cell>
          <cell r="E120" t="str">
            <v>较不适宜</v>
          </cell>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26">
        <row r="62">
          <cell r="A62" t="str">
            <v>交易情况</v>
          </cell>
          <cell r="B62"/>
          <cell r="C62" t="str">
            <v>正常</v>
          </cell>
          <cell r="D62" t="str">
            <v>其他情况</v>
          </cell>
          <cell r="E62"/>
          <cell r="F62"/>
          <cell r="G62"/>
          <cell r="H62"/>
          <cell r="I62"/>
          <cell r="J62"/>
          <cell r="K62"/>
          <cell r="L62"/>
          <cell r="M62"/>
        </row>
        <row r="64">
          <cell r="B64" t="str">
            <v>用途</v>
          </cell>
          <cell r="C64" t="str">
            <v>办公</v>
          </cell>
          <cell r="D64" t="str">
            <v>商住</v>
          </cell>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t="str">
            <v>东</v>
          </cell>
          <cell r="D91" t="str">
            <v>南</v>
          </cell>
          <cell r="E91" t="str">
            <v>西</v>
          </cell>
          <cell r="F91" t="str">
            <v>北</v>
          </cell>
          <cell r="G91"/>
          <cell r="H91"/>
          <cell r="I91"/>
          <cell r="J91"/>
          <cell r="K91"/>
          <cell r="L91"/>
          <cell r="M91"/>
        </row>
        <row r="101">
          <cell r="B101" t="str">
            <v>建筑类型</v>
          </cell>
          <cell r="C101" t="str">
            <v>超高层</v>
          </cell>
          <cell r="D101" t="str">
            <v>高层</v>
          </cell>
          <cell r="E101" t="str">
            <v>中高层</v>
          </cell>
          <cell r="F101" t="str">
            <v>低层</v>
          </cell>
          <cell r="G101" t="str">
            <v>标准写字楼</v>
          </cell>
          <cell r="H101" t="str">
            <v>异形建筑</v>
          </cell>
          <cell r="I101"/>
          <cell r="J101"/>
          <cell r="K101"/>
          <cell r="L101"/>
          <cell r="M101"/>
        </row>
        <row r="106">
          <cell r="B106" t="str">
            <v>建筑结构</v>
          </cell>
          <cell r="C106" t="str">
            <v>钢结构</v>
          </cell>
          <cell r="D106" t="str">
            <v>钢混</v>
          </cell>
          <cell r="E106" t="str">
            <v>砖混</v>
          </cell>
          <cell r="F106"/>
          <cell r="G106"/>
          <cell r="H106"/>
          <cell r="I106"/>
          <cell r="J106"/>
          <cell r="K106"/>
          <cell r="L106"/>
          <cell r="M106"/>
        </row>
        <row r="108">
          <cell r="B108" t="str">
            <v>公共部分装修</v>
          </cell>
          <cell r="C108" t="str">
            <v>精装修</v>
          </cell>
          <cell r="D108" t="str">
            <v>普通装修</v>
          </cell>
          <cell r="E108" t="str">
            <v>简装</v>
          </cell>
          <cell r="F108" t="str">
            <v>毛坯</v>
          </cell>
          <cell r="G108"/>
          <cell r="H108"/>
          <cell r="I108"/>
          <cell r="J108"/>
          <cell r="K108"/>
          <cell r="L108"/>
          <cell r="M108"/>
        </row>
        <row r="113">
          <cell r="B113" t="str">
            <v>写字楼等级</v>
          </cell>
          <cell r="C113" t="str">
            <v>甲级</v>
          </cell>
          <cell r="D113" t="str">
            <v>乙级</v>
          </cell>
          <cell r="E113" t="str">
            <v>丙级</v>
          </cell>
          <cell r="F113"/>
          <cell r="G113"/>
          <cell r="H113"/>
          <cell r="I113"/>
          <cell r="J113"/>
          <cell r="K113"/>
          <cell r="L113"/>
          <cell r="M113"/>
        </row>
        <row r="115">
          <cell r="B115" t="str">
            <v>物业管理</v>
          </cell>
          <cell r="C115" t="str">
            <v>专业</v>
          </cell>
          <cell r="D115" t="str">
            <v>普通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超高层高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简装</v>
          </cell>
          <cell r="F123" t="str">
            <v>毛坯</v>
          </cell>
          <cell r="G123"/>
          <cell r="H123"/>
          <cell r="I123"/>
          <cell r="J123"/>
          <cell r="K123"/>
          <cell r="L123"/>
          <cell r="M123"/>
        </row>
      </sheetData>
      <sheetData sheetId="27">
        <row r="55">
          <cell r="A55" t="str">
            <v>交易情况</v>
          </cell>
          <cell r="B55"/>
          <cell r="C55" t="str">
            <v>正常</v>
          </cell>
          <cell r="D55" t="str">
            <v>其他情况</v>
          </cell>
          <cell r="E55"/>
          <cell r="F55"/>
          <cell r="G55"/>
          <cell r="H55"/>
          <cell r="I55"/>
          <cell r="J55"/>
          <cell r="K55"/>
          <cell r="L55"/>
          <cell r="M55"/>
        </row>
        <row r="57">
          <cell r="B57" t="str">
            <v>用途</v>
          </cell>
          <cell r="C57" t="str">
            <v>工业</v>
          </cell>
          <cell r="D57" t="str">
            <v>科教</v>
          </cell>
          <cell r="E57"/>
          <cell r="F57"/>
          <cell r="G57"/>
          <cell r="H57"/>
          <cell r="I57"/>
          <cell r="J57"/>
          <cell r="K57"/>
          <cell r="L57"/>
          <cell r="M57"/>
        </row>
        <row r="88">
          <cell r="B88" t="str">
            <v>建筑类型</v>
          </cell>
          <cell r="C88" t="str">
            <v>标准厂房</v>
          </cell>
          <cell r="D88" t="str">
            <v>特殊厂房</v>
          </cell>
          <cell r="E88"/>
          <cell r="F88"/>
          <cell r="G88"/>
          <cell r="H88"/>
          <cell r="I88"/>
          <cell r="J88"/>
          <cell r="K88"/>
          <cell r="L88"/>
          <cell r="M88"/>
        </row>
        <row r="93">
          <cell r="B93" t="str">
            <v>建筑结构</v>
          </cell>
          <cell r="C93" t="str">
            <v>钢结构</v>
          </cell>
          <cell r="D93" t="str">
            <v>钢混</v>
          </cell>
          <cell r="E93" t="str">
            <v>砖混</v>
          </cell>
          <cell r="F93"/>
          <cell r="G93"/>
          <cell r="H93"/>
          <cell r="I93"/>
          <cell r="J93"/>
          <cell r="K93"/>
          <cell r="L93"/>
          <cell r="M93"/>
        </row>
        <row r="95">
          <cell r="B95" t="str">
            <v>公共部分装修</v>
          </cell>
          <cell r="C95" t="str">
            <v>精装修</v>
          </cell>
          <cell r="D95" t="str">
            <v>普通装修</v>
          </cell>
          <cell r="E95" t="str">
            <v>简装</v>
          </cell>
          <cell r="F95" t="str">
            <v>毛坯</v>
          </cell>
          <cell r="G95"/>
          <cell r="H95"/>
          <cell r="I95"/>
          <cell r="J95"/>
          <cell r="K95"/>
          <cell r="L95"/>
          <cell r="M95"/>
        </row>
        <row r="100">
          <cell r="B100" t="str">
            <v>物业管理</v>
          </cell>
          <cell r="C100" t="str">
            <v>专业</v>
          </cell>
          <cell r="D100" t="str">
            <v>普通</v>
          </cell>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普通装修</v>
          </cell>
          <cell r="E104" t="str">
            <v>简装修</v>
          </cell>
          <cell r="F104" t="str">
            <v>毛坯</v>
          </cell>
          <cell r="G104"/>
          <cell r="H104"/>
          <cell r="I104"/>
          <cell r="J104"/>
          <cell r="K104"/>
          <cell r="L104"/>
          <cell r="M104"/>
        </row>
      </sheetData>
      <sheetData sheetId="28">
        <row r="51">
          <cell r="A51" t="str">
            <v>交易情况</v>
          </cell>
          <cell r="B51"/>
          <cell r="C51" t="str">
            <v>正常</v>
          </cell>
          <cell r="D51" t="str">
            <v>其他情况</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地下1层</v>
          </cell>
          <cell r="D71" t="str">
            <v>地下2层</v>
          </cell>
          <cell r="E71"/>
          <cell r="F71"/>
          <cell r="G71"/>
          <cell r="H71"/>
          <cell r="I71"/>
          <cell r="J71"/>
          <cell r="K71"/>
          <cell r="L71"/>
          <cell r="M71"/>
        </row>
        <row r="79">
          <cell r="B79" t="str">
            <v>配套类型（地上主用途）</v>
          </cell>
          <cell r="C79" t="str">
            <v>住宅</v>
          </cell>
          <cell r="D79" t="str">
            <v>商业</v>
          </cell>
          <cell r="E79" t="str">
            <v>办公</v>
          </cell>
          <cell r="F79"/>
          <cell r="G79"/>
          <cell r="H79"/>
          <cell r="I79"/>
          <cell r="J79"/>
          <cell r="K79"/>
          <cell r="L79"/>
          <cell r="M79"/>
        </row>
        <row r="83">
          <cell r="B83" t="str">
            <v>公共部分装修</v>
          </cell>
          <cell r="C83" t="str">
            <v>普通装修</v>
          </cell>
          <cell r="D83" t="str">
            <v>简装修</v>
          </cell>
          <cell r="E83"/>
          <cell r="F83"/>
          <cell r="G83"/>
          <cell r="H83"/>
          <cell r="I83"/>
          <cell r="J83"/>
          <cell r="K83"/>
          <cell r="L83"/>
          <cell r="M83"/>
        </row>
        <row r="88">
          <cell r="B88" t="str">
            <v>物业等级</v>
          </cell>
          <cell r="C88" t="str">
            <v>甲级</v>
          </cell>
          <cell r="D88" t="str">
            <v>乙级</v>
          </cell>
          <cell r="E88" t="str">
            <v>丙级</v>
          </cell>
          <cell r="F88"/>
          <cell r="G88"/>
          <cell r="H88"/>
          <cell r="I88"/>
          <cell r="J88"/>
          <cell r="K88"/>
          <cell r="L88"/>
          <cell r="M88"/>
        </row>
        <row r="93">
          <cell r="B93" t="str">
            <v>车位类型</v>
          </cell>
          <cell r="C93" t="str">
            <v>平面车位</v>
          </cell>
          <cell r="D93" t="str">
            <v>立体车位</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29">
        <row r="49">
          <cell r="A49" t="str">
            <v>交易情况</v>
          </cell>
          <cell r="B49"/>
          <cell r="C49" t="str">
            <v>正常</v>
          </cell>
          <cell r="D49" t="str">
            <v>其他情况</v>
          </cell>
          <cell r="E49"/>
          <cell r="F49"/>
          <cell r="G49"/>
          <cell r="H49"/>
          <cell r="I49"/>
          <cell r="J49"/>
          <cell r="K49"/>
          <cell r="L49"/>
          <cell r="M49"/>
        </row>
        <row r="51">
          <cell r="B51" t="str">
            <v>用途</v>
          </cell>
          <cell r="C51" t="str">
            <v>仓储</v>
          </cell>
          <cell r="D51"/>
          <cell r="E51"/>
          <cell r="F51"/>
          <cell r="G51"/>
          <cell r="H51"/>
          <cell r="I51"/>
          <cell r="J51"/>
          <cell r="K51"/>
          <cell r="L51"/>
          <cell r="M51"/>
        </row>
        <row r="69">
          <cell r="B69" t="str">
            <v>楼层</v>
          </cell>
          <cell r="C69" t="str">
            <v>地下1层</v>
          </cell>
          <cell r="D69" t="str">
            <v>地下2层</v>
          </cell>
          <cell r="E69"/>
          <cell r="F69"/>
          <cell r="G69"/>
          <cell r="H69"/>
          <cell r="I69"/>
          <cell r="J69"/>
          <cell r="K69"/>
          <cell r="L69"/>
          <cell r="M69"/>
        </row>
        <row r="77">
          <cell r="B77" t="str">
            <v>公共部分装修</v>
          </cell>
          <cell r="C77" t="str">
            <v>普通装修</v>
          </cell>
          <cell r="D77" t="str">
            <v>简装修</v>
          </cell>
          <cell r="E77"/>
          <cell r="F77"/>
          <cell r="G77"/>
          <cell r="H77"/>
          <cell r="I77"/>
          <cell r="J77"/>
          <cell r="K77"/>
          <cell r="L77"/>
          <cell r="M77"/>
        </row>
        <row r="82">
          <cell r="B82" t="str">
            <v>物业等级</v>
          </cell>
          <cell r="C82" t="str">
            <v>甲级</v>
          </cell>
          <cell r="D82" t="str">
            <v>乙级</v>
          </cell>
          <cell r="E82" t="str">
            <v>丙级</v>
          </cell>
          <cell r="F82"/>
          <cell r="G82"/>
          <cell r="H82"/>
          <cell r="I82"/>
          <cell r="J82"/>
          <cell r="K82"/>
          <cell r="L82"/>
          <cell r="M82"/>
        </row>
        <row r="84">
          <cell r="B84" t="str">
            <v>有无电梯</v>
          </cell>
          <cell r="C84" t="str">
            <v>无</v>
          </cell>
          <cell r="D84" t="str">
            <v>有</v>
          </cell>
          <cell r="E84"/>
          <cell r="F84"/>
          <cell r="G84"/>
          <cell r="H84"/>
          <cell r="I84"/>
          <cell r="J84"/>
          <cell r="K84"/>
          <cell r="L84"/>
          <cell r="M84"/>
        </row>
        <row r="89">
          <cell r="B89" t="str">
            <v>是否封闭</v>
          </cell>
          <cell r="C89" t="str">
            <v>否</v>
          </cell>
          <cell r="D89" t="str">
            <v>是</v>
          </cell>
          <cell r="E89"/>
          <cell r="F89"/>
          <cell r="G89"/>
          <cell r="H89"/>
          <cell r="I89"/>
          <cell r="J89"/>
          <cell r="K89"/>
          <cell r="L89"/>
          <cell r="M89"/>
        </row>
      </sheetData>
      <sheetData sheetId="30">
        <row r="73">
          <cell r="A73" t="str">
            <v>交易情况</v>
          </cell>
          <cell r="B73"/>
          <cell r="C73" t="str">
            <v>正常</v>
          </cell>
          <cell r="D73" t="str">
            <v>其他情况</v>
          </cell>
          <cell r="E73"/>
          <cell r="F73"/>
          <cell r="G73"/>
          <cell r="H73"/>
          <cell r="I73"/>
          <cell r="J73"/>
          <cell r="K73"/>
          <cell r="L73"/>
          <cell r="M73"/>
        </row>
        <row r="75">
          <cell r="B75" t="str">
            <v>用途</v>
          </cell>
          <cell r="C75" t="str">
            <v>商业</v>
          </cell>
          <cell r="D75" t="str">
            <v>二类居住</v>
          </cell>
          <cell r="E75"/>
          <cell r="F75"/>
          <cell r="G75"/>
          <cell r="H75"/>
          <cell r="I75"/>
          <cell r="J75"/>
          <cell r="K75"/>
          <cell r="L75"/>
          <cell r="M75"/>
        </row>
        <row r="106">
          <cell r="B106" t="str">
            <v>毗邻道路的类型与等级</v>
          </cell>
          <cell r="C106" t="str">
            <v>高速路</v>
          </cell>
          <cell r="D106" t="str">
            <v>快速路</v>
          </cell>
          <cell r="E106" t="str">
            <v>主干道</v>
          </cell>
          <cell r="F106" t="str">
            <v>次干道</v>
          </cell>
          <cell r="G106" t="str">
            <v>支路</v>
          </cell>
          <cell r="H106"/>
          <cell r="I106"/>
          <cell r="J106"/>
          <cell r="K106"/>
          <cell r="L106"/>
          <cell r="M106"/>
        </row>
        <row r="108">
          <cell r="B108" t="str">
            <v>土地级别</v>
          </cell>
          <cell r="C108" t="str">
            <v>1级</v>
          </cell>
          <cell r="D108" t="str">
            <v>2级</v>
          </cell>
          <cell r="E108" t="str">
            <v>3级</v>
          </cell>
          <cell r="F108"/>
          <cell r="G108"/>
          <cell r="H108"/>
          <cell r="I108"/>
          <cell r="J108"/>
          <cell r="K108"/>
          <cell r="L108"/>
          <cell r="M108"/>
        </row>
        <row r="119">
          <cell r="B119" t="str">
            <v>宗地形状</v>
          </cell>
          <cell r="C119" t="str">
            <v>规则</v>
          </cell>
          <cell r="D119" t="str">
            <v>较规则</v>
          </cell>
          <cell r="E119" t="str">
            <v>较不规则</v>
          </cell>
          <cell r="F119" t="str">
            <v>不规则</v>
          </cell>
          <cell r="G119"/>
          <cell r="H119"/>
          <cell r="I119"/>
          <cell r="J119"/>
          <cell r="K119"/>
          <cell r="L119"/>
          <cell r="M119"/>
        </row>
        <row r="121">
          <cell r="B121" t="str">
            <v>临街宽度及深度</v>
          </cell>
          <cell r="C121" t="str">
            <v>比例适宜</v>
          </cell>
          <cell r="D121" t="str">
            <v>比例较适宜</v>
          </cell>
          <cell r="E121" t="str">
            <v>比较较不适宜</v>
          </cell>
          <cell r="F121"/>
          <cell r="G121"/>
          <cell r="H121"/>
          <cell r="I121"/>
          <cell r="J121"/>
          <cell r="K121"/>
          <cell r="L121"/>
          <cell r="M121"/>
        </row>
        <row r="123">
          <cell r="B123" t="str">
            <v>宗地开发程度</v>
          </cell>
          <cell r="C123" t="str">
            <v>七通一平</v>
          </cell>
          <cell r="D123" t="str">
            <v>六通一平</v>
          </cell>
          <cell r="E123" t="str">
            <v>五通一平</v>
          </cell>
          <cell r="F123" t="str">
            <v>四通一平</v>
          </cell>
          <cell r="G123" t="str">
            <v>三通一平</v>
          </cell>
          <cell r="H123"/>
          <cell r="I123"/>
          <cell r="J123"/>
          <cell r="K123"/>
          <cell r="L123"/>
          <cell r="M123"/>
        </row>
        <row r="125">
          <cell r="B125" t="str">
            <v>工程地质条件</v>
          </cell>
          <cell r="C125" t="str">
            <v>好</v>
          </cell>
          <cell r="D125" t="str">
            <v>较好</v>
          </cell>
          <cell r="E125" t="str">
            <v>一般</v>
          </cell>
          <cell r="F125" t="str">
            <v>较差</v>
          </cell>
          <cell r="G125" t="str">
            <v>差</v>
          </cell>
          <cell r="H125"/>
          <cell r="I125"/>
          <cell r="J125"/>
          <cell r="K125"/>
          <cell r="L125"/>
          <cell r="M125"/>
        </row>
      </sheetData>
      <sheetData sheetId="31">
        <row r="70">
          <cell r="B70" t="str">
            <v>用途</v>
          </cell>
          <cell r="C70" t="str">
            <v>工业</v>
          </cell>
          <cell r="D70" t="str">
            <v>科教</v>
          </cell>
          <cell r="E70"/>
          <cell r="F70"/>
          <cell r="G70"/>
          <cell r="H70"/>
          <cell r="I70"/>
          <cell r="J70"/>
          <cell r="K70"/>
          <cell r="L70"/>
          <cell r="M70"/>
        </row>
        <row r="97">
          <cell r="B97" t="str">
            <v>毗邻道路的类型与等级</v>
          </cell>
          <cell r="C97" t="str">
            <v>高速路</v>
          </cell>
          <cell r="D97" t="str">
            <v>快速路</v>
          </cell>
          <cell r="E97" t="str">
            <v>主干道</v>
          </cell>
          <cell r="F97" t="str">
            <v>次干道</v>
          </cell>
          <cell r="G97" t="str">
            <v>支路</v>
          </cell>
          <cell r="H97"/>
          <cell r="I97"/>
          <cell r="J97"/>
          <cell r="K97"/>
          <cell r="L97"/>
          <cell r="M97"/>
        </row>
        <row r="99">
          <cell r="B99" t="str">
            <v>土地级别</v>
          </cell>
          <cell r="C99" t="str">
            <v>1级</v>
          </cell>
          <cell r="D99" t="str">
            <v>2级</v>
          </cell>
          <cell r="E99" t="str">
            <v>3级</v>
          </cell>
          <cell r="F99" t="str">
            <v>4级</v>
          </cell>
          <cell r="G99" t="str">
            <v>5级</v>
          </cell>
          <cell r="H99"/>
          <cell r="I99"/>
          <cell r="J99"/>
          <cell r="K99"/>
          <cell r="L99"/>
          <cell r="M99"/>
        </row>
        <row r="110">
          <cell r="B110" t="str">
            <v>宗地形状</v>
          </cell>
          <cell r="C110" t="str">
            <v>规则</v>
          </cell>
          <cell r="D110" t="str">
            <v>较规则</v>
          </cell>
          <cell r="E110" t="str">
            <v>较不规则</v>
          </cell>
          <cell r="F110" t="str">
            <v>不规则</v>
          </cell>
          <cell r="G110"/>
          <cell r="H110"/>
          <cell r="I110"/>
          <cell r="J110"/>
          <cell r="K110"/>
          <cell r="L110"/>
          <cell r="M110"/>
        </row>
        <row r="112">
          <cell r="B112" t="str">
            <v>宗地开发程度</v>
          </cell>
          <cell r="C112" t="str">
            <v>七通一平</v>
          </cell>
          <cell r="D112" t="str">
            <v>六通一平</v>
          </cell>
          <cell r="E112" t="str">
            <v>五通一平</v>
          </cell>
          <cell r="F112" t="str">
            <v>四通一平</v>
          </cell>
          <cell r="G112" t="str">
            <v>三通一平</v>
          </cell>
          <cell r="H112"/>
          <cell r="I112"/>
          <cell r="J112"/>
          <cell r="K112"/>
          <cell r="L112"/>
          <cell r="M112"/>
        </row>
        <row r="114">
          <cell r="B114" t="str">
            <v>工程地质条件</v>
          </cell>
          <cell r="C114" t="str">
            <v>好</v>
          </cell>
          <cell r="D114" t="str">
            <v>较好</v>
          </cell>
          <cell r="E114" t="str">
            <v>一般</v>
          </cell>
          <cell r="F114" t="str">
            <v>较差</v>
          </cell>
          <cell r="G114" t="str">
            <v>差</v>
          </cell>
          <cell r="H114"/>
          <cell r="I114"/>
          <cell r="J114"/>
          <cell r="K114"/>
          <cell r="L114"/>
          <cell r="M114"/>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row r="5">
          <cell r="A5"/>
          <cell r="B5" t="str">
            <v>修正项2</v>
          </cell>
          <cell r="C5">
            <v>211</v>
          </cell>
          <cell r="D5">
            <v>212</v>
          </cell>
          <cell r="E5">
            <v>213</v>
          </cell>
          <cell r="F5">
            <v>214</v>
          </cell>
          <cell r="G5">
            <v>215</v>
          </cell>
          <cell r="H5">
            <v>216</v>
          </cell>
          <cell r="I5">
            <v>217</v>
          </cell>
          <cell r="J5">
            <v>218</v>
          </cell>
          <cell r="K5"/>
          <cell r="L5"/>
          <cell r="M5"/>
          <cell r="N5"/>
          <cell r="O5"/>
          <cell r="P5"/>
          <cell r="Q5"/>
          <cell r="R5"/>
          <cell r="S5"/>
          <cell r="T5">
            <v>0.5</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v>0.5</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v>311</v>
          </cell>
          <cell r="D9">
            <v>312</v>
          </cell>
          <cell r="E9">
            <v>313</v>
          </cell>
          <cell r="F9">
            <v>314</v>
          </cell>
          <cell r="G9">
            <v>315</v>
          </cell>
          <cell r="H9"/>
          <cell r="I9"/>
          <cell r="J9"/>
          <cell r="K9"/>
          <cell r="L9"/>
          <cell r="M9"/>
          <cell r="N9"/>
          <cell r="O9"/>
          <cell r="P9"/>
          <cell r="Q9"/>
          <cell r="R9"/>
          <cell r="S9"/>
          <cell r="T9">
            <v>1.5</v>
          </cell>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v>411</v>
          </cell>
          <cell r="D11">
            <v>412</v>
          </cell>
          <cell r="E11">
            <v>413</v>
          </cell>
          <cell r="F11">
            <v>414</v>
          </cell>
          <cell r="G11">
            <v>415</v>
          </cell>
          <cell r="H11"/>
          <cell r="I11"/>
          <cell r="J11"/>
          <cell r="K11"/>
          <cell r="L11"/>
          <cell r="M11"/>
          <cell r="N11"/>
          <cell r="O11"/>
          <cell r="P11"/>
          <cell r="Q11"/>
          <cell r="R11"/>
          <cell r="S11"/>
          <cell r="T11">
            <v>0.5</v>
          </cell>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v>611</v>
          </cell>
          <cell r="D13">
            <v>612</v>
          </cell>
          <cell r="E13">
            <v>613</v>
          </cell>
          <cell r="F13">
            <v>614</v>
          </cell>
          <cell r="G13">
            <v>615</v>
          </cell>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v>711</v>
          </cell>
          <cell r="D15">
            <v>712</v>
          </cell>
          <cell r="E15">
            <v>713</v>
          </cell>
          <cell r="F15">
            <v>714</v>
          </cell>
          <cell r="G15">
            <v>715</v>
          </cell>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7"/>
      <sheetData sheetId="38"/>
      <sheetData sheetId="39"/>
      <sheetData sheetId="40"/>
      <sheetData sheetId="41"/>
      <sheetData sheetId="42"/>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股份固定资产"/>
      <sheetName val="固定资产汇总表"/>
      <sheetName val="评估原值"/>
      <sheetName val="评估折旧"/>
      <sheetName val="4-10日"/>
      <sheetName val="评估调整"/>
      <sheetName val="账面原值"/>
      <sheetName val="账面折旧"/>
      <sheetName val="账面折旧-2"/>
      <sheetName val="房屋OK"/>
      <sheetName val="构筑物"/>
      <sheetName val="管道"/>
      <sheetName val="水工-大坝"/>
      <sheetName val="水工房屋"/>
      <sheetName val="水工设备"/>
      <sheetName val="设备"/>
      <sheetName val="车辆"/>
      <sheetName val="电子"/>
      <sheetName val="6月"/>
      <sheetName val="安全费购置设备用途字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A5">
            <v>1610101</v>
          </cell>
          <cell r="B5" t="str">
            <v>主机</v>
          </cell>
          <cell r="C5">
            <v>5.5599999999999997E-2</v>
          </cell>
          <cell r="D5">
            <v>1054957552.73</v>
          </cell>
          <cell r="E5">
            <v>4887969.9943156661</v>
          </cell>
          <cell r="F5">
            <v>18</v>
          </cell>
          <cell r="G5" t="str">
            <v>发电</v>
          </cell>
        </row>
        <row r="6">
          <cell r="A6">
            <v>1610102</v>
          </cell>
          <cell r="B6" t="str">
            <v>辅机</v>
          </cell>
          <cell r="C6">
            <v>5.5599999999999997E-2</v>
          </cell>
          <cell r="D6">
            <v>139678156.22</v>
          </cell>
          <cell r="E6">
            <v>647175.45715266664</v>
          </cell>
          <cell r="F6">
            <v>18</v>
          </cell>
          <cell r="G6" t="str">
            <v>发电</v>
          </cell>
        </row>
        <row r="7">
          <cell r="A7">
            <v>1610103</v>
          </cell>
          <cell r="B7" t="str">
            <v>其他发电设备</v>
          </cell>
          <cell r="C7">
            <v>5.5599999999999997E-2</v>
          </cell>
          <cell r="D7">
            <v>23641636.91</v>
          </cell>
          <cell r="E7">
            <v>109539.58434966666</v>
          </cell>
          <cell r="F7">
            <v>18</v>
          </cell>
          <cell r="G7" t="str">
            <v>发电</v>
          </cell>
        </row>
        <row r="8">
          <cell r="A8">
            <v>1610201</v>
          </cell>
          <cell r="B8" t="str">
            <v>变压器</v>
          </cell>
          <cell r="C8">
            <v>5.5599999999999997E-2</v>
          </cell>
          <cell r="D8">
            <v>157678068.56</v>
          </cell>
          <cell r="E8">
            <v>730575.05099466664</v>
          </cell>
          <cell r="F8">
            <v>18</v>
          </cell>
          <cell r="G8" t="str">
            <v>发电</v>
          </cell>
        </row>
        <row r="9">
          <cell r="A9">
            <v>1610202</v>
          </cell>
          <cell r="B9" t="str">
            <v>一般控制设备</v>
          </cell>
          <cell r="C9">
            <v>5.5599999999999997E-2</v>
          </cell>
          <cell r="D9">
            <v>73870484.650000006</v>
          </cell>
          <cell r="E9">
            <v>342266.57887833333</v>
          </cell>
          <cell r="F9">
            <v>18</v>
          </cell>
          <cell r="G9" t="str">
            <v>发电</v>
          </cell>
        </row>
        <row r="10">
          <cell r="A10">
            <v>1610203</v>
          </cell>
          <cell r="B10" t="str">
            <v xml:space="preserve">电气控制设备 </v>
          </cell>
          <cell r="C10">
            <v>5.5599999999999997E-2</v>
          </cell>
          <cell r="D10">
            <v>111382182.02</v>
          </cell>
          <cell r="E10">
            <v>516070.77669266658</v>
          </cell>
          <cell r="F10">
            <v>18</v>
          </cell>
          <cell r="G10" t="str">
            <v>发电</v>
          </cell>
        </row>
        <row r="11">
          <cell r="A11">
            <v>1610204</v>
          </cell>
          <cell r="B11" t="str">
            <v>电缆</v>
          </cell>
          <cell r="C11">
            <v>5.5599999999999997E-2</v>
          </cell>
          <cell r="D11">
            <v>16110582.460000001</v>
          </cell>
          <cell r="E11">
            <v>74645.698731333337</v>
          </cell>
          <cell r="F11">
            <v>18</v>
          </cell>
          <cell r="G11" t="str">
            <v>发电</v>
          </cell>
        </row>
        <row r="12">
          <cell r="A12">
            <v>1610205</v>
          </cell>
          <cell r="B12" t="str">
            <v>管理用变压器</v>
          </cell>
          <cell r="C12">
            <v>5.5599999999999997E-2</v>
          </cell>
          <cell r="D12">
            <v>1830339.26</v>
          </cell>
          <cell r="E12">
            <v>8480.5719046666654</v>
          </cell>
          <cell r="F12">
            <v>18</v>
          </cell>
          <cell r="G12" t="str">
            <v>发电</v>
          </cell>
        </row>
        <row r="13">
          <cell r="A13">
            <v>1610301</v>
          </cell>
          <cell r="B13" t="str">
            <v>配电线路</v>
          </cell>
          <cell r="C13">
            <v>5.5599999999999997E-2</v>
          </cell>
          <cell r="D13">
            <v>5851758.54</v>
          </cell>
          <cell r="E13">
            <v>27113.147901999997</v>
          </cell>
          <cell r="F13">
            <v>18</v>
          </cell>
          <cell r="G13" t="str">
            <v>发电</v>
          </cell>
        </row>
        <row r="14">
          <cell r="A14">
            <v>1610302</v>
          </cell>
          <cell r="B14" t="str">
            <v>配电控制设备</v>
          </cell>
          <cell r="C14">
            <v>5.5599999999999997E-2</v>
          </cell>
          <cell r="D14">
            <v>15922371.439999999</v>
          </cell>
          <cell r="E14">
            <v>73773.65433866666</v>
          </cell>
          <cell r="F14">
            <v>18</v>
          </cell>
          <cell r="G14" t="str">
            <v>发电</v>
          </cell>
        </row>
        <row r="15">
          <cell r="A15">
            <v>1610303</v>
          </cell>
          <cell r="B15" t="str">
            <v>一般配电设备</v>
          </cell>
          <cell r="C15">
            <v>5.5599999999999997E-2</v>
          </cell>
          <cell r="D15">
            <v>18934315.640000001</v>
          </cell>
          <cell r="E15">
            <v>87728.99579866667</v>
          </cell>
          <cell r="F15">
            <v>18</v>
          </cell>
          <cell r="G15" t="str">
            <v>发电</v>
          </cell>
        </row>
        <row r="16">
          <cell r="A16">
            <v>1610304</v>
          </cell>
          <cell r="B16" t="str">
            <v>管理用配电设备</v>
          </cell>
          <cell r="C16">
            <v>5.5599999999999997E-2</v>
          </cell>
          <cell r="D16">
            <v>2170331.79</v>
          </cell>
          <cell r="E16">
            <v>10055.870626999998</v>
          </cell>
          <cell r="F16">
            <v>18</v>
          </cell>
          <cell r="G16" t="str">
            <v>发电</v>
          </cell>
        </row>
        <row r="17">
          <cell r="A17">
            <v>1610401</v>
          </cell>
          <cell r="B17" t="str">
            <v>通讯线路</v>
          </cell>
          <cell r="C17">
            <v>0.1</v>
          </cell>
          <cell r="D17">
            <v>7567063.9400000004</v>
          </cell>
          <cell r="E17">
            <v>63058.866166666674</v>
          </cell>
          <cell r="F17">
            <v>10</v>
          </cell>
          <cell r="G17" t="str">
            <v>通用</v>
          </cell>
        </row>
        <row r="18">
          <cell r="A18">
            <v>1610402</v>
          </cell>
          <cell r="B18" t="str">
            <v>通讯设备</v>
          </cell>
          <cell r="C18">
            <v>0.125</v>
          </cell>
          <cell r="D18">
            <v>33541184.670000002</v>
          </cell>
          <cell r="E18">
            <v>349387.34031250002</v>
          </cell>
          <cell r="F18">
            <v>8</v>
          </cell>
          <cell r="G18" t="str">
            <v>通用</v>
          </cell>
        </row>
        <row r="19">
          <cell r="A19">
            <v>1610501</v>
          </cell>
          <cell r="B19" t="str">
            <v>自动化控制设备</v>
          </cell>
          <cell r="C19">
            <v>0.125</v>
          </cell>
          <cell r="D19">
            <v>84277116.530000001</v>
          </cell>
          <cell r="E19">
            <v>877886.63052083331</v>
          </cell>
          <cell r="F19">
            <v>8</v>
          </cell>
          <cell r="G19" t="str">
            <v>通用</v>
          </cell>
        </row>
        <row r="20">
          <cell r="A20">
            <v>1610502</v>
          </cell>
          <cell r="B20" t="str">
            <v>电子计算机</v>
          </cell>
          <cell r="C20">
            <v>0.2</v>
          </cell>
          <cell r="D20">
            <v>35104042.130000003</v>
          </cell>
          <cell r="E20">
            <v>585067.36883333337</v>
          </cell>
          <cell r="F20">
            <v>5</v>
          </cell>
          <cell r="G20" t="str">
            <v>通用</v>
          </cell>
        </row>
        <row r="21">
          <cell r="A21">
            <v>1610503</v>
          </cell>
          <cell r="B21" t="str">
            <v>仪器仪表设备及测试设备</v>
          </cell>
          <cell r="C21">
            <v>0.1429</v>
          </cell>
          <cell r="D21">
            <v>25196940.48</v>
          </cell>
          <cell r="E21">
            <v>300053.56621600001</v>
          </cell>
          <cell r="F21">
            <v>7</v>
          </cell>
          <cell r="G21" t="str">
            <v>通用</v>
          </cell>
        </row>
        <row r="22">
          <cell r="A22">
            <v>16106</v>
          </cell>
          <cell r="B22" t="str">
            <v>水工机械设备</v>
          </cell>
          <cell r="C22">
            <v>7.1400000000000005E-2</v>
          </cell>
          <cell r="D22">
            <v>360586190.25999999</v>
          </cell>
          <cell r="E22">
            <v>2145487.8320470001</v>
          </cell>
          <cell r="F22">
            <v>14</v>
          </cell>
          <cell r="G22" t="str">
            <v>通用</v>
          </cell>
        </row>
        <row r="23">
          <cell r="A23">
            <v>1610601</v>
          </cell>
          <cell r="B23" t="str">
            <v>水工机械设备</v>
          </cell>
          <cell r="F23">
            <v>14</v>
          </cell>
          <cell r="G23" t="str">
            <v>通用</v>
          </cell>
        </row>
        <row r="24">
          <cell r="A24">
            <v>1610602</v>
          </cell>
          <cell r="B24" t="str">
            <v>水工机械设备</v>
          </cell>
          <cell r="F24">
            <v>14</v>
          </cell>
          <cell r="G24" t="str">
            <v>通用</v>
          </cell>
        </row>
        <row r="25">
          <cell r="A25">
            <v>1610603</v>
          </cell>
          <cell r="B25" t="str">
            <v>水工机械设备</v>
          </cell>
          <cell r="F25">
            <v>14</v>
          </cell>
          <cell r="G25" t="str">
            <v>通用</v>
          </cell>
        </row>
        <row r="26">
          <cell r="A26">
            <v>1610604</v>
          </cell>
          <cell r="B26" t="str">
            <v>水工机械设备</v>
          </cell>
          <cell r="F26">
            <v>14</v>
          </cell>
          <cell r="G26" t="str">
            <v>通用</v>
          </cell>
        </row>
        <row r="27">
          <cell r="A27">
            <v>1610605</v>
          </cell>
          <cell r="B27" t="str">
            <v>水工机械设备</v>
          </cell>
          <cell r="F27">
            <v>14</v>
          </cell>
          <cell r="G27" t="str">
            <v>通用</v>
          </cell>
        </row>
        <row r="28">
          <cell r="A28">
            <v>1610606</v>
          </cell>
          <cell r="B28" t="str">
            <v>水工机械设备</v>
          </cell>
          <cell r="F28">
            <v>14</v>
          </cell>
          <cell r="G28" t="str">
            <v>通用</v>
          </cell>
        </row>
        <row r="29">
          <cell r="A29">
            <v>1610607</v>
          </cell>
          <cell r="B29" t="str">
            <v>水工机械设备</v>
          </cell>
          <cell r="F29">
            <v>14</v>
          </cell>
          <cell r="G29" t="str">
            <v>通用</v>
          </cell>
        </row>
        <row r="30">
          <cell r="A30">
            <v>1610608</v>
          </cell>
          <cell r="B30" t="str">
            <v>水工机械设备</v>
          </cell>
          <cell r="F30">
            <v>14</v>
          </cell>
          <cell r="G30" t="str">
            <v>通用</v>
          </cell>
        </row>
        <row r="31">
          <cell r="A31">
            <v>1610609</v>
          </cell>
          <cell r="B31" t="str">
            <v>水工机械设备</v>
          </cell>
          <cell r="F31">
            <v>14</v>
          </cell>
          <cell r="G31" t="str">
            <v>通用</v>
          </cell>
        </row>
        <row r="32">
          <cell r="A32">
            <v>1610610</v>
          </cell>
          <cell r="B32" t="str">
            <v>水工机械设备</v>
          </cell>
          <cell r="F32">
            <v>14</v>
          </cell>
          <cell r="G32" t="str">
            <v>通用</v>
          </cell>
        </row>
        <row r="33">
          <cell r="A33">
            <v>16107</v>
          </cell>
          <cell r="B33" t="str">
            <v>生产用检修维护设备</v>
          </cell>
          <cell r="C33">
            <v>7.1400000000000005E-2</v>
          </cell>
          <cell r="D33">
            <v>34992264.140000001</v>
          </cell>
          <cell r="E33">
            <v>208203.97163300004</v>
          </cell>
          <cell r="F33">
            <v>14</v>
          </cell>
          <cell r="G33" t="str">
            <v>通用</v>
          </cell>
        </row>
        <row r="34">
          <cell r="A34">
            <v>1610701</v>
          </cell>
          <cell r="B34" t="str">
            <v>生产用检修维护设备</v>
          </cell>
          <cell r="F34">
            <v>14</v>
          </cell>
          <cell r="G34" t="str">
            <v>通用</v>
          </cell>
        </row>
        <row r="35">
          <cell r="A35">
            <v>1610702</v>
          </cell>
          <cell r="B35" t="str">
            <v>生产用检修维护设备</v>
          </cell>
          <cell r="F35">
            <v>14</v>
          </cell>
          <cell r="G35" t="str">
            <v>通用</v>
          </cell>
        </row>
        <row r="36">
          <cell r="A36">
            <v>1610703</v>
          </cell>
          <cell r="B36" t="str">
            <v>生产用检修维护设备</v>
          </cell>
          <cell r="F36">
            <v>14</v>
          </cell>
          <cell r="G36" t="str">
            <v>通用</v>
          </cell>
        </row>
        <row r="37">
          <cell r="A37">
            <v>1610704</v>
          </cell>
          <cell r="B37" t="str">
            <v>生产用检修维护设备</v>
          </cell>
          <cell r="F37">
            <v>14</v>
          </cell>
          <cell r="G37" t="str">
            <v>通用</v>
          </cell>
        </row>
        <row r="38">
          <cell r="A38">
            <v>1610705</v>
          </cell>
          <cell r="B38" t="str">
            <v>生产用检修维护设备</v>
          </cell>
          <cell r="F38">
            <v>14</v>
          </cell>
          <cell r="G38" t="str">
            <v>通用</v>
          </cell>
        </row>
        <row r="39">
          <cell r="A39">
            <v>1610706</v>
          </cell>
          <cell r="B39" t="str">
            <v>生产用检修维护设备</v>
          </cell>
          <cell r="F39">
            <v>14</v>
          </cell>
          <cell r="G39" t="str">
            <v>通用</v>
          </cell>
        </row>
        <row r="40">
          <cell r="A40">
            <v>1610707</v>
          </cell>
          <cell r="B40" t="str">
            <v>生产用检修维护设备</v>
          </cell>
          <cell r="F40">
            <v>14</v>
          </cell>
          <cell r="G40" t="str">
            <v>通用</v>
          </cell>
        </row>
        <row r="41">
          <cell r="A41">
            <v>1610708</v>
          </cell>
          <cell r="B41" t="str">
            <v>生产用检修维护设备</v>
          </cell>
          <cell r="F41">
            <v>14</v>
          </cell>
          <cell r="G41" t="str">
            <v>通用</v>
          </cell>
        </row>
        <row r="42">
          <cell r="A42">
            <v>1610709</v>
          </cell>
          <cell r="B42" t="str">
            <v>生产用检修维护设备</v>
          </cell>
          <cell r="F42">
            <v>14</v>
          </cell>
          <cell r="G42" t="str">
            <v>通用</v>
          </cell>
        </row>
        <row r="43">
          <cell r="A43">
            <v>1610710</v>
          </cell>
          <cell r="B43" t="str">
            <v>生产用检修维护设备</v>
          </cell>
          <cell r="F43">
            <v>14</v>
          </cell>
          <cell r="G43" t="str">
            <v>通用</v>
          </cell>
        </row>
        <row r="44">
          <cell r="A44">
            <v>1610801</v>
          </cell>
          <cell r="B44" t="str">
            <v>生产管理部门机械设备</v>
          </cell>
          <cell r="C44">
            <v>7.1400000000000005E-2</v>
          </cell>
          <cell r="D44">
            <v>44385491.240000002</v>
          </cell>
          <cell r="E44">
            <v>264093.67287800001</v>
          </cell>
          <cell r="F44">
            <v>14</v>
          </cell>
          <cell r="G44" t="str">
            <v>通用</v>
          </cell>
        </row>
        <row r="45">
          <cell r="A45">
            <v>1610802</v>
          </cell>
          <cell r="B45" t="str">
            <v>生产管理部门电子设备</v>
          </cell>
          <cell r="C45">
            <v>0.2</v>
          </cell>
          <cell r="D45">
            <v>24526171.57</v>
          </cell>
          <cell r="E45">
            <v>408769.52616666671</v>
          </cell>
          <cell r="F45">
            <v>5</v>
          </cell>
          <cell r="G45" t="str">
            <v>通用</v>
          </cell>
        </row>
        <row r="46">
          <cell r="A46">
            <v>1610803</v>
          </cell>
          <cell r="B46" t="str">
            <v>电视复印打印机</v>
          </cell>
          <cell r="C46">
            <v>0.2</v>
          </cell>
          <cell r="D46">
            <v>3730018.05</v>
          </cell>
          <cell r="E46">
            <v>62166.967499999999</v>
          </cell>
          <cell r="F46">
            <v>5</v>
          </cell>
          <cell r="G46" t="str">
            <v>通用</v>
          </cell>
        </row>
        <row r="47">
          <cell r="A47">
            <v>1610901</v>
          </cell>
          <cell r="B47" t="str">
            <v>水上运输设备</v>
          </cell>
          <cell r="C47">
            <v>0.1</v>
          </cell>
          <cell r="D47">
            <v>7497539.9500000002</v>
          </cell>
          <cell r="E47">
            <v>62479.499583333345</v>
          </cell>
          <cell r="F47">
            <v>10</v>
          </cell>
          <cell r="G47" t="str">
            <v>运输</v>
          </cell>
        </row>
        <row r="48">
          <cell r="A48">
            <v>1610902</v>
          </cell>
          <cell r="B48" t="str">
            <v>汽车运输设备</v>
          </cell>
          <cell r="C48">
            <v>0.1</v>
          </cell>
          <cell r="D48">
            <v>70540875.469999999</v>
          </cell>
          <cell r="E48">
            <v>587840.62891666673</v>
          </cell>
          <cell r="F48">
            <v>10</v>
          </cell>
          <cell r="G48" t="str">
            <v>运输</v>
          </cell>
        </row>
        <row r="49">
          <cell r="A49">
            <v>1610903</v>
          </cell>
          <cell r="B49" t="str">
            <v>其他运输设备</v>
          </cell>
          <cell r="C49">
            <v>0.1</v>
          </cell>
          <cell r="D49">
            <v>2215050.59</v>
          </cell>
          <cell r="E49">
            <v>18458.754916666669</v>
          </cell>
          <cell r="F49">
            <v>10</v>
          </cell>
          <cell r="G49" t="str">
            <v>运输</v>
          </cell>
        </row>
        <row r="50">
          <cell r="A50" t="str">
            <v>1610A01</v>
          </cell>
          <cell r="B50" t="str">
            <v>坝外水电厂用房</v>
          </cell>
          <cell r="C50">
            <v>2.86E-2</v>
          </cell>
          <cell r="D50">
            <v>57278985.960000001</v>
          </cell>
          <cell r="E50">
            <v>136514.91653800002</v>
          </cell>
          <cell r="F50">
            <v>35</v>
          </cell>
          <cell r="G50" t="str">
            <v>房屋</v>
          </cell>
        </row>
        <row r="51">
          <cell r="A51" t="str">
            <v>1610A02</v>
          </cell>
          <cell r="B51" t="str">
            <v>生产管理用房</v>
          </cell>
          <cell r="C51">
            <v>2.86E-2</v>
          </cell>
          <cell r="D51">
            <v>139640460.61000001</v>
          </cell>
          <cell r="E51">
            <v>332809.7644538334</v>
          </cell>
          <cell r="F51">
            <v>35</v>
          </cell>
          <cell r="G51" t="str">
            <v>房屋</v>
          </cell>
        </row>
        <row r="52">
          <cell r="A52" t="str">
            <v>1610A03</v>
          </cell>
          <cell r="B52" t="str">
            <v>生产用简易房</v>
          </cell>
          <cell r="C52">
            <v>0.1</v>
          </cell>
          <cell r="D52">
            <v>363526</v>
          </cell>
          <cell r="E52">
            <v>3029.3833333333332</v>
          </cell>
          <cell r="F52">
            <v>10</v>
          </cell>
          <cell r="G52" t="str">
            <v>房屋</v>
          </cell>
        </row>
        <row r="53">
          <cell r="A53" t="str">
            <v>1610B01</v>
          </cell>
          <cell r="B53" t="str">
            <v>水电站大坝</v>
          </cell>
          <cell r="C53">
            <v>1.8200000000000001E-2</v>
          </cell>
          <cell r="D53">
            <v>4440091909.71</v>
          </cell>
          <cell r="E53">
            <v>6734139.3963935003</v>
          </cell>
          <cell r="F53">
            <v>55</v>
          </cell>
          <cell r="G53" t="str">
            <v>房屋</v>
          </cell>
        </row>
        <row r="54">
          <cell r="A54" t="str">
            <v>1610B02</v>
          </cell>
          <cell r="B54" t="str">
            <v>生产用道路码头围墙</v>
          </cell>
          <cell r="C54">
            <v>6.6699999999999995E-2</v>
          </cell>
          <cell r="D54">
            <v>39859462.299999997</v>
          </cell>
          <cell r="E54">
            <v>221552.17795083331</v>
          </cell>
          <cell r="F54">
            <v>15</v>
          </cell>
          <cell r="G54" t="str">
            <v>房屋</v>
          </cell>
        </row>
        <row r="55">
          <cell r="A55" t="str">
            <v>1610B03</v>
          </cell>
          <cell r="B55" t="str">
            <v>其他生产用建筑物</v>
          </cell>
          <cell r="C55">
            <v>6.6699999999999995E-2</v>
          </cell>
          <cell r="D55">
            <v>26177102.859999999</v>
          </cell>
          <cell r="E55">
            <v>145501.06339683331</v>
          </cell>
          <cell r="F55">
            <v>15</v>
          </cell>
          <cell r="G55" t="str">
            <v>房屋</v>
          </cell>
        </row>
        <row r="56">
          <cell r="A56" t="str">
            <v>1610C01</v>
          </cell>
          <cell r="B56" t="str">
            <v>医院用设备</v>
          </cell>
          <cell r="C56">
            <v>0.125</v>
          </cell>
          <cell r="D56">
            <v>6633176.5599999996</v>
          </cell>
          <cell r="E56">
            <v>69095.589166666658</v>
          </cell>
          <cell r="F56">
            <v>8</v>
          </cell>
          <cell r="G56" t="str">
            <v>通用</v>
          </cell>
        </row>
        <row r="57">
          <cell r="A57" t="str">
            <v>1610C02</v>
          </cell>
          <cell r="B57" t="str">
            <v>宣教部门用机械设备</v>
          </cell>
          <cell r="C57">
            <v>7.1400000000000005E-2</v>
          </cell>
          <cell r="D57">
            <v>1063775.05</v>
          </cell>
          <cell r="E57">
            <v>6329.4615475000001</v>
          </cell>
          <cell r="F57">
            <v>14</v>
          </cell>
          <cell r="G57" t="str">
            <v>通用</v>
          </cell>
        </row>
        <row r="58">
          <cell r="A58" t="str">
            <v>1610C03</v>
          </cell>
          <cell r="B58" t="str">
            <v>宣教部门用电子设备</v>
          </cell>
          <cell r="C58">
            <v>0.2</v>
          </cell>
          <cell r="D58">
            <v>6157885.8799999999</v>
          </cell>
          <cell r="E58">
            <v>102631.43133333333</v>
          </cell>
          <cell r="F58">
            <v>5</v>
          </cell>
          <cell r="G58" t="str">
            <v>通用</v>
          </cell>
        </row>
        <row r="59">
          <cell r="A59" t="str">
            <v>1610C04</v>
          </cell>
          <cell r="B59" t="str">
            <v>生活福利部门用机械</v>
          </cell>
          <cell r="C59">
            <v>7.1400000000000005E-2</v>
          </cell>
          <cell r="D59">
            <v>6574080.8099999996</v>
          </cell>
          <cell r="E59">
            <v>39115.780819500003</v>
          </cell>
          <cell r="F59">
            <v>14</v>
          </cell>
          <cell r="G59" t="str">
            <v>通用</v>
          </cell>
        </row>
        <row r="60">
          <cell r="A60" t="str">
            <v>1610C05</v>
          </cell>
          <cell r="B60" t="str">
            <v>生活福利部门用电视</v>
          </cell>
          <cell r="C60">
            <v>0.2</v>
          </cell>
          <cell r="D60">
            <v>243486.1</v>
          </cell>
          <cell r="E60">
            <v>4058.1016666666669</v>
          </cell>
          <cell r="F60">
            <v>5</v>
          </cell>
          <cell r="G60" t="str">
            <v>通用</v>
          </cell>
        </row>
        <row r="61">
          <cell r="A61" t="str">
            <v>1610C06</v>
          </cell>
          <cell r="B61" t="str">
            <v>职工宿舍</v>
          </cell>
          <cell r="C61">
            <v>2.86E-2</v>
          </cell>
          <cell r="D61">
            <v>15868782.35</v>
          </cell>
          <cell r="E61">
            <v>37820.597934166668</v>
          </cell>
          <cell r="F61">
            <v>35</v>
          </cell>
          <cell r="G61" t="str">
            <v>房屋</v>
          </cell>
        </row>
        <row r="62">
          <cell r="A62" t="str">
            <v>1610C07</v>
          </cell>
          <cell r="B62" t="str">
            <v>其他非生产用房</v>
          </cell>
          <cell r="C62">
            <v>2.86E-2</v>
          </cell>
          <cell r="D62">
            <v>32178054.23</v>
          </cell>
          <cell r="E62">
            <v>76691.029248166669</v>
          </cell>
          <cell r="F62">
            <v>35</v>
          </cell>
          <cell r="G62" t="str">
            <v>房屋</v>
          </cell>
        </row>
        <row r="63">
          <cell r="A63" t="str">
            <v>1610C08</v>
          </cell>
          <cell r="B63" t="str">
            <v>非生产用简易房</v>
          </cell>
          <cell r="C63">
            <v>6.6699999999999995E-2</v>
          </cell>
          <cell r="D63">
            <v>1076310.97</v>
          </cell>
          <cell r="E63">
            <v>5982.495141583332</v>
          </cell>
          <cell r="F63">
            <v>15</v>
          </cell>
          <cell r="G63" t="str">
            <v>房屋</v>
          </cell>
        </row>
        <row r="64">
          <cell r="A64" t="str">
            <v>1610C09</v>
          </cell>
          <cell r="B64" t="str">
            <v>非生产用建筑物</v>
          </cell>
          <cell r="C64">
            <v>6.6699999999999995E-2</v>
          </cell>
          <cell r="D64">
            <v>15639435.789999999</v>
          </cell>
          <cell r="E64">
            <v>86929.197266083327</v>
          </cell>
          <cell r="F64">
            <v>15</v>
          </cell>
          <cell r="G64" t="str">
            <v>房屋</v>
          </cell>
        </row>
        <row r="65">
          <cell r="A65" t="str">
            <v>1610D03</v>
          </cell>
          <cell r="B65" t="str">
            <v>出租汽车运输设备</v>
          </cell>
          <cell r="C65">
            <v>0.1</v>
          </cell>
          <cell r="D65">
            <v>164637</v>
          </cell>
          <cell r="E65">
            <v>1371.9750000000001</v>
          </cell>
          <cell r="F65">
            <v>10</v>
          </cell>
          <cell r="G65" t="str">
            <v>运输</v>
          </cell>
        </row>
        <row r="66">
          <cell r="A66" t="str">
            <v>1610D04</v>
          </cell>
          <cell r="B66" t="str">
            <v>出租其他发电设备</v>
          </cell>
          <cell r="C66">
            <v>7.1400000000000005E-2</v>
          </cell>
          <cell r="D66">
            <v>0</v>
          </cell>
          <cell r="E66">
            <v>0</v>
          </cell>
          <cell r="F66">
            <v>14</v>
          </cell>
          <cell r="G66" t="str">
            <v>发电</v>
          </cell>
        </row>
        <row r="67">
          <cell r="A67" t="str">
            <v>1610D07</v>
          </cell>
          <cell r="B67" t="str">
            <v>出租普通金属切削机床</v>
          </cell>
          <cell r="C67">
            <v>7.1400000000000005E-2</v>
          </cell>
          <cell r="D67">
            <v>0</v>
          </cell>
          <cell r="E67">
            <v>0</v>
          </cell>
          <cell r="F67">
            <v>14</v>
          </cell>
          <cell r="G67" t="str">
            <v>通用</v>
          </cell>
        </row>
        <row r="68">
          <cell r="A68" t="str">
            <v>1610D09</v>
          </cell>
          <cell r="B68" t="str">
            <v>出租焊接设备</v>
          </cell>
          <cell r="C68">
            <v>7.1400000000000005E-2</v>
          </cell>
          <cell r="D68">
            <v>0</v>
          </cell>
          <cell r="E68">
            <v>0</v>
          </cell>
          <cell r="F68">
            <v>14</v>
          </cell>
          <cell r="G68" t="str">
            <v>通用</v>
          </cell>
        </row>
        <row r="69">
          <cell r="A69" t="str">
            <v>1610D0A</v>
          </cell>
          <cell r="B69" t="str">
            <v>出租其他检修维护设备</v>
          </cell>
          <cell r="C69">
            <v>7.1400000000000005E-2</v>
          </cell>
          <cell r="D69">
            <v>0</v>
          </cell>
          <cell r="E69">
            <v>0</v>
          </cell>
          <cell r="F69">
            <v>14</v>
          </cell>
          <cell r="G69" t="str">
            <v>通用</v>
          </cell>
        </row>
        <row r="70">
          <cell r="A70" t="str">
            <v>1610D0B</v>
          </cell>
          <cell r="B70" t="str">
            <v>出租机械设备</v>
          </cell>
          <cell r="C70">
            <v>7.1400000000000005E-2</v>
          </cell>
          <cell r="D70">
            <v>0</v>
          </cell>
          <cell r="E70">
            <v>0</v>
          </cell>
          <cell r="F70">
            <v>14</v>
          </cell>
          <cell r="G70" t="str">
            <v>通用</v>
          </cell>
        </row>
        <row r="71">
          <cell r="A71" t="str">
            <v>1610D0C</v>
          </cell>
          <cell r="B71" t="str">
            <v>出租其他运输设备</v>
          </cell>
          <cell r="C71">
            <v>0.1</v>
          </cell>
          <cell r="D71">
            <v>234518</v>
          </cell>
          <cell r="E71">
            <v>1954.3166666666668</v>
          </cell>
          <cell r="F71">
            <v>10</v>
          </cell>
          <cell r="G71" t="str">
            <v>运输</v>
          </cell>
        </row>
        <row r="72">
          <cell r="A72" t="str">
            <v>1610D0E</v>
          </cell>
          <cell r="B72" t="str">
            <v>出租生活福利部门用机械</v>
          </cell>
          <cell r="C72">
            <v>7.1400000000000005E-2</v>
          </cell>
          <cell r="D72">
            <v>0</v>
          </cell>
          <cell r="E72">
            <v>0</v>
          </cell>
          <cell r="F72">
            <v>14</v>
          </cell>
          <cell r="G72" t="str">
            <v>通用</v>
          </cell>
        </row>
        <row r="73">
          <cell r="A73" t="str">
            <v>1610D0H</v>
          </cell>
          <cell r="B73" t="str">
            <v>出租管理用房</v>
          </cell>
          <cell r="C73">
            <v>2.86E-2</v>
          </cell>
          <cell r="D73">
            <v>0</v>
          </cell>
          <cell r="E73">
            <v>0</v>
          </cell>
          <cell r="F73">
            <v>35</v>
          </cell>
          <cell r="G73" t="str">
            <v>房屋</v>
          </cell>
        </row>
      </sheetData>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表一"/>
      <sheetName val="M-5A"/>
      <sheetName val="M-5C"/>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_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_表一"/>
      <sheetName val="收益汇总7"/>
      <sheetName val="G9-"/>
      <sheetName val="G-"/>
      <sheetName val="-"/>
      <sheetName val="中山低值"/>
      <sheetName val="TMﾃﾞｰﾀ"/>
      <sheetName val="_x001f_0-BS_؁"/>
      <sheetName val="选择报表"/>
      <sheetName val="应纳所得税明细衠"/>
      <sheetName val="衠外项目-银行承兑汇票"/>
      <sheetName val="°sÑAmÏh"/>
      <sheetName val="master"/>
      <sheetName val="毛利率分析表"/>
      <sheetName val="预收帐款"/>
      <sheetName val="成本计算单_汇总显示_"/>
      <sheetName val="非应计贷몘횀2002"/>
      <sheetName val="长_x0013_"/>
      <sheetName val=""/>
      <sheetName val="同业存放Ⱦ"/>
      <sheetName val="表二甲机务F型"/>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资产负债表"/>
      <sheetName val="1月应收"/>
      <sheetName val="内部购入存货明细表"/>
      <sheetName val="雇员保险4-6月'01年度"/>
      <sheetName val="附表6"/>
      <sheetName val="F1"/>
      <sheetName val="Sign Off Form"/>
      <sheetName val="AP1998KX(estimated)"/>
      <sheetName val="内仓免税进口"/>
      <sheetName val="original2"/>
      <sheetName val="Parameters"/>
      <sheetName val="设备部房屋"/>
      <sheetName val="_____ª¥$_x0004_____RÝ_x0013__RÝ"/>
      <sheetName val="________x0007____zà_x0013______"/>
      <sheetName val="同业存放Ⱦ_"/>
      <sheetName val="皊褢Am蠎h"/>
      <sheetName val="汇总"/>
      <sheetName val="清单12.31"/>
      <sheetName val="F9-3-1"/>
      <sheetName val="食品原料（美爵）"/>
      <sheetName val="长_x0013_"/>
      <sheetName val="索引"/>
      <sheetName val="A10-1"/>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_细表"/>
      <sheetName val="F21A"/>
      <sheetName val="Data List"/>
      <sheetName val="Dropdown list"/>
      <sheetName val="Apr"/>
      <sheetName val="XREF"/>
      <sheetName val="核算项目余额表"/>
      <sheetName val="三家其他应付公司"/>
      <sheetName val="成本"/>
      <sheetName val="材料消耗"/>
      <sheetName val="分析表"/>
      <sheetName val="A301-Direct"/>
      <sheetName val="4-货币资金-现金"/>
      <sheetName val="_x005f_x001f_0-BS_x005f_x000a_؁"/>
      <sheetName val="_x005f_x001f_0-BS_؁"/>
      <sheetName val="表外项目_x005f_xffff_保函"/>
      <sheetName val="长_x005f_x0013_"/>
      <sheetName val="_x005f_x0000___x005f_x0000__x005f_x0000__x005f_x0000_ª¥"/>
      <sheetName val="_x005f_x0000__x005f_x0000__x005f_x0000__x005f_x0000__x0"/>
      <sheetName val="同业存放Ⱦ_x005f_x0000_"/>
      <sheetName val="7a.Other Inc Exp"/>
      <sheetName val="促销费内容"/>
      <sheetName val="Australia"/>
      <sheetName val="DATA"/>
      <sheetName val="__x0007____¨__x0016______Ý_x0013__Ý"/>
      <sheetName val="________x0007____®à_x0013______"/>
      <sheetName val="__x0001____¨__x0016______Ý_x0013__Ý"/>
      <sheetName val="U1200 PL Int Income"/>
      <sheetName val="ｺｽﾄｾﾝﾀｰ符号表"/>
      <sheetName val="Control"/>
      <sheetName val="U111"/>
      <sheetName val="U100"/>
      <sheetName val="生产部金额"/>
      <sheetName val="F130&quot;"/>
      <sheetName val="9808 Outside Plant"/>
      <sheetName val="产品销售收入与成本明细表"/>
      <sheetName val="应纳所得税明细衈"/>
      <sheetName val="其他货币资金.dbf"/>
      <sheetName val="银行存款.dbf"/>
      <sheetName val="2005"/>
      <sheetName val="宣1"/>
      <sheetName val="总公司2002.12.31"/>
      <sheetName val="G402."/>
      <sheetName val="合噶利"/>
      <sheetName val=")R¦m"/>
      <sheetName val="account"/>
      <sheetName val="2002 VS 2003"/>
      <sheetName val="试算平衡表"/>
      <sheetName val="长_x005f_x0013_"/>
      <sheetName val="_x005f_x0000__x005f_x0007__x005f_x0000__x005f_x0000__x0"/>
      <sheetName val="_x005f_x0000__x005f_x0001__x005f_x0000__x005f_x0000__x0"/>
      <sheetName val="_____ª¥$_x005f_x0004_____RÝ_x005f_x0013__RÝ"/>
      <sheetName val="________x005f_x0007____zà_x005f_x0013______"/>
      <sheetName val="无形资产-2_x005f_x0010_03"/>
      <sheetName val="_x005f_x005f_x005f_x001f_0-BS_x005f_x005f_x005f_x000a_؁"/>
      <sheetName val="_x005f_x005f_x005f_x001f_0-BS_؁"/>
      <sheetName val="表外项目_x005f_x005f_x005f_xffff_保函"/>
      <sheetName val="长_x005f_x005f_x005f_x0013_"/>
      <sheetName val="_x005f_x005f_x005f_x0000___x005f_x005f_x005f_x0000__x00"/>
      <sheetName val="_x005f_x005f_x005f_x0000__x005f_x005f_x005f_x0000__x005"/>
      <sheetName val="同业存放Ⱦ_x005f_x005f_x005f_x0000_"/>
      <sheetName val="__x005f_x0007____¨__x005f_x0016______Ý_x00"/>
      <sheetName val="________x005f_x0007____®à_x005f_x0013______"/>
      <sheetName val="__x005f_x0001____¨__x005f_x0016______Ý_x00"/>
      <sheetName val="Financ. Overview"/>
      <sheetName val="Toolbox"/>
      <sheetName val="选择项"/>
      <sheetName val="‚a‚l‚o“h‘•’¼Þ"/>
      <sheetName val="2月开票明细表"/>
      <sheetName val="AP movement"/>
      <sheetName val="Links"/>
      <sheetName val="Lead"/>
      <sheetName val="AR Ageing - 1130"/>
      <sheetName val="機種対応表(無断変更禁止)"/>
      <sheetName val="A3"/>
      <sheetName val="TITAL2007"/>
      <sheetName val="应收票据(关联方)"/>
      <sheetName val="UFPrn20021113090847"/>
      <sheetName val="中旅集團屬下和中投屬下公司明細表"/>
      <sheetName val="02-U310"/>
      <sheetName val="收回以前年度已స"/>
      <sheetName val="合并底稿-自营"/>
      <sheetName val="11"/>
      <sheetName val="Coach Chassis (inventory)"/>
      <sheetName val="购进汇总"/>
      <sheetName val="冲估价汇总"/>
      <sheetName val="估价汇总"/>
      <sheetName val="大口径耗用汇总"/>
      <sheetName val="轧钢耗用汇总"/>
      <sheetName val="N300外币应付"/>
      <sheetName val="流资汇总"/>
      <sheetName val="假设 Assumptions"/>
      <sheetName val="ZLR1"/>
      <sheetName val="2006管理费用明细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
      <sheetName val="股资_(3)1"/>
      <sheetName val="合并利润表_(2)1"/>
      <sheetName val="股资_(2)1"/>
      <sheetName val="合利_(2)1"/>
      <sheetName val="所_(2)1"/>
      <sheetName val="本资_(2)1"/>
      <sheetName val="合利增减_(2)1"/>
      <sheetName val="利分_(2)1"/>
      <sheetName val="本费_(2)1"/>
      <sheetName val="衍生金融工具?细表"/>
      <sheetName val="企?表一"/>
      <sheetName val="_x001f_0-BS_x000a_؁"/>
      <sheetName val="_x0000_*_x0000__x0000__x0000_ª¥$_x0004__x0000__x0000__x0000__x0000_RÝ_x0013__x0000_RÝ"/>
      <sheetName val="_x0000__x0000__x0000__x0000__x0000__x0000__x0000__x0007__x0000__x0000__x0000_zà_x0013__x0000__x0000__x0000__x0000__x0000_"/>
      <sheetName val="?*???ª¥$_x0004_????RÝ_x0013_?RÝ"/>
      <sheetName val="???????_x0007_???zà_x0013_?????"/>
      <sheetName val="同业存放Ⱦ?"/>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衍生金蚍工具?细表"/>
      <sheetName val="?_x0007_???¨/_x0016_?????Ý_x0013_?Ý"/>
      <sheetName val="???????_x0007_???®à_x0013_?????"/>
      <sheetName val="?_x0001_???¨/_x0016_?????Ý_x0013_?Ý"/>
      <sheetName val="_x005f_x0000_*_x005f_x0000__x005f_x0000__x005f_x0000_ª¥"/>
      <sheetName val="0-BS_x000a_؁"/>
      <sheetName val="间_(2)1"/>
      <sheetName val="直_(2)1"/>
      <sheetName val="短期投资_1"/>
      <sheetName val="TITEM_(2)1"/>
      <sheetName val="ZHITEM_(2)1"/>
      <sheetName val="王府井_(2)1"/>
      <sheetName val="日程"/>
      <sheetName val="進め方"/>
      <sheetName val="Finsum-NAS"/>
      <sheetName val="NAS-BS"/>
      <sheetName val="制造费用审定表"/>
      <sheetName val="미구주"/>
      <sheetName val="원가관리"/>
      <sheetName val="长"/>
      <sheetName val="*ª¥$RÝRÝ"/>
      <sheetName val="zà"/>
      <sheetName val="表六_"/>
      <sheetName val="无形资产-203"/>
      <sheetName val="长"/>
      <sheetName val="¨/ÝÝ"/>
      <sheetName val="®à"/>
      <sheetName val="Data_List"/>
      <sheetName val="Dropdown_list"/>
      <sheetName val="Sign_Off_Form"/>
      <sheetName val="?*???ª¥$????RÝ?RÝ"/>
      <sheetName val="??????????zà?????"/>
      <sheetName val="_____ª¥$____RÝ_RÝ"/>
      <sheetName val="__________zà_____"/>
      <sheetName val="清单12_31"/>
      <sheetName val="_ª¥$RÝRÝ"/>
      <sheetName val="¨_ÝÝ"/>
      <sheetName val="6月"/>
      <sheetName val="t0_name"/>
      <sheetName val="FF-6"/>
      <sheetName val="U211B"/>
      <sheetName val="IV- int binominal"/>
      <sheetName val="_x005f_x001f_0-BS_x000a_؁"/>
      <sheetName val="?*???ª¥$_x005f_x0004_????RÝ_x005f_x0013_?RÝ"/>
      <sheetName val="???????_x005f_x0007_???zà_x005f_x0013_?????"/>
      <sheetName val="?*???$_x0004_????R??R"/>
      <sheetName val="???????_x0007_???z??????"/>
      <sheetName val="_x0000_â "/>
      <sheetName val="其他业务利润明细表"/>
      <sheetName val="资产负债表1"/>
      <sheetName val="综合"/>
      <sheetName val="_____$_x0004_____R__R"/>
      <sheetName val="________x0007____z______"/>
      <sheetName val="XL4Poppy"/>
      <sheetName val="COA"/>
      <sheetName val="CA_new"/>
      <sheetName val="112月费用明细归类表-3188"/>
      <sheetName val="Yr_1997"/>
      <sheetName val="岭头19-1"/>
      <sheetName val="表头（请先填写）"/>
      <sheetName val="审定表G5-1"/>
      <sheetName val="明细表G5-2-1"/>
    </sheetNames>
    <sheetDataSet>
      <sheetData sheetId="0"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 refreshError="1">
        <row r="10">
          <cell r="B10">
            <v>0</v>
          </cell>
          <cell r="C10">
            <v>0</v>
          </cell>
          <cell r="D10">
            <v>0</v>
          </cell>
        </row>
        <row r="14">
          <cell r="B14">
            <v>0</v>
          </cell>
          <cell r="C14">
            <v>0</v>
          </cell>
          <cell r="D14">
            <v>0</v>
          </cell>
        </row>
        <row r="15">
          <cell r="B15">
            <v>0</v>
          </cell>
          <cell r="C15">
            <v>0</v>
          </cell>
          <cell r="D15">
            <v>0</v>
          </cell>
        </row>
      </sheetData>
      <sheetData sheetId="2" refreshError="1">
        <row r="24">
          <cell r="B24">
            <v>0</v>
          </cell>
          <cell r="D24">
            <v>0</v>
          </cell>
          <cell r="F2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1货币资金"/>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5运输设备"/>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汇总表"/>
      <sheetName val="税"/>
      <sheetName val="工资表"/>
      <sheetName val="1&amp;其他应收"/>
      <sheetName val="P!6 所得税-递延税项"/>
      <sheetName val="01"/>
      <sheetName val="02"/>
      <sheetName val="03"/>
      <sheetName val="04"/>
      <sheetName val="05"/>
      <sheetName val="税金计提"/>
      <sheetName val="税金计提 (2)"/>
      <sheetName val="税金计提 (3)"/>
      <sheetName val="6月合并"/>
      <sheetName val="税金计提07"/>
      <sheetName val="企业表一"/>
      <sheetName val="M-5C"/>
      <sheetName val="M-5A"/>
      <sheetName val="长期投资汇总衬"/>
      <sheetName val="中山低值"/>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13 铁路配件.xlsῘ长期投资--其他投资"/>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뼀቙"/>
      <sheetName val="资产对帐清Տ"/>
      <sheetName val="XXXXXX_x0005__x0000_"/>
      <sheetName val="资产对帐清쌀እ"/>
      <sheetName val="XXXXXX헾"/>
      <sheetName val="表9-1 租赁合同汇总衬"/>
      <sheetName val="XXXXXX蚘_x0013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股份固定资产"/>
      <sheetName val="期初固定资产"/>
      <sheetName val="固定资产汇总表"/>
      <sheetName val="房屋OK"/>
      <sheetName val="构筑物"/>
      <sheetName val="管道"/>
      <sheetName val="水工-大坝"/>
      <sheetName val="水工-金属"/>
      <sheetName val="设备"/>
      <sheetName val="车辆"/>
      <sheetName val="电子"/>
      <sheetName val="在建"/>
      <sheetName val="6月"/>
      <sheetName val="折旧"/>
      <sheetName val="XL4Poppy"/>
      <sheetName val="企业表一"/>
      <sheetName val="M-5C"/>
      <sheetName val="M-5A"/>
      <sheetName val="目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C7" t="str">
            <v>（厂部）</v>
          </cell>
        </row>
        <row r="8">
          <cell r="B8" t="str">
            <v>001-0019250</v>
          </cell>
          <cell r="C8" t="str">
            <v>计算机</v>
          </cell>
          <cell r="D8" t="str">
            <v>DELL</v>
          </cell>
          <cell r="F8" t="str">
            <v>台</v>
          </cell>
          <cell r="I8">
            <v>11337</v>
          </cell>
          <cell r="J8">
            <v>11053.56</v>
          </cell>
          <cell r="K8">
            <v>11337</v>
          </cell>
          <cell r="L8">
            <v>11053.56</v>
          </cell>
          <cell r="M8">
            <v>9800</v>
          </cell>
          <cell r="N8">
            <v>50</v>
          </cell>
          <cell r="O8">
            <v>4900</v>
          </cell>
          <cell r="P8">
            <v>-55.67039035387694</v>
          </cell>
          <cell r="Q8" t="str">
            <v>安监处</v>
          </cell>
        </row>
        <row r="9">
          <cell r="B9" t="str">
            <v>001-0008730</v>
          </cell>
          <cell r="C9" t="str">
            <v>计算机</v>
          </cell>
          <cell r="D9" t="str">
            <v>笔记本   TP560</v>
          </cell>
          <cell r="E9" t="str">
            <v>托普</v>
          </cell>
          <cell r="F9" t="str">
            <v>台</v>
          </cell>
          <cell r="G9">
            <v>9707</v>
          </cell>
          <cell r="H9">
            <v>9707</v>
          </cell>
          <cell r="I9">
            <v>35500</v>
          </cell>
          <cell r="J9">
            <v>18933.34</v>
          </cell>
          <cell r="K9">
            <v>35500</v>
          </cell>
          <cell r="L9">
            <v>18933.34</v>
          </cell>
          <cell r="M9">
            <v>12000</v>
          </cell>
          <cell r="N9">
            <v>15</v>
          </cell>
          <cell r="O9">
            <v>1800</v>
          </cell>
          <cell r="P9">
            <v>-90.492961094027777</v>
          </cell>
          <cell r="Q9" t="str">
            <v>财务处</v>
          </cell>
        </row>
        <row r="10">
          <cell r="B10" t="str">
            <v>001-0008732</v>
          </cell>
          <cell r="C10" t="str">
            <v>打印机</v>
          </cell>
          <cell r="D10" t="str">
            <v>BJC-70</v>
          </cell>
          <cell r="E10" t="str">
            <v>加仑</v>
          </cell>
          <cell r="F10" t="str">
            <v>台</v>
          </cell>
          <cell r="G10">
            <v>9707</v>
          </cell>
          <cell r="H10">
            <v>9707</v>
          </cell>
          <cell r="I10">
            <v>2800</v>
          </cell>
          <cell r="J10">
            <v>1493.34</v>
          </cell>
          <cell r="K10">
            <v>2800</v>
          </cell>
          <cell r="L10">
            <v>1493.34</v>
          </cell>
          <cell r="M10">
            <v>12000</v>
          </cell>
          <cell r="N10">
            <v>15</v>
          </cell>
          <cell r="O10">
            <v>1800</v>
          </cell>
          <cell r="P10">
            <v>20.535176182249192</v>
          </cell>
          <cell r="Q10" t="str">
            <v>财务处</v>
          </cell>
        </row>
        <row r="11">
          <cell r="B11" t="str">
            <v>001-0008740</v>
          </cell>
          <cell r="C11" t="str">
            <v>送纸机</v>
          </cell>
          <cell r="D11" t="str">
            <v>EPSON原装</v>
          </cell>
          <cell r="E11" t="str">
            <v>EPSON公司</v>
          </cell>
          <cell r="F11" t="str">
            <v>台</v>
          </cell>
          <cell r="G11">
            <v>9707</v>
          </cell>
          <cell r="H11">
            <v>9707</v>
          </cell>
          <cell r="I11">
            <v>2300</v>
          </cell>
          <cell r="J11">
            <v>1226.6600000000001</v>
          </cell>
          <cell r="K11">
            <v>2300</v>
          </cell>
          <cell r="L11">
            <v>1226.6600000000001</v>
          </cell>
          <cell r="M11">
            <v>2000</v>
          </cell>
          <cell r="N11">
            <v>15</v>
          </cell>
          <cell r="O11">
            <v>300</v>
          </cell>
          <cell r="P11">
            <v>-75.543345344268175</v>
          </cell>
          <cell r="Q11" t="str">
            <v>财务处</v>
          </cell>
        </row>
        <row r="12">
          <cell r="B12" t="str">
            <v>001-0009013</v>
          </cell>
          <cell r="C12" t="str">
            <v>计算机</v>
          </cell>
          <cell r="D12" t="str">
            <v>HPVL6/233</v>
          </cell>
          <cell r="E12" t="str">
            <v>HP公司</v>
          </cell>
          <cell r="F12" t="str">
            <v>台</v>
          </cell>
          <cell r="G12">
            <v>9805</v>
          </cell>
          <cell r="H12">
            <v>9805</v>
          </cell>
          <cell r="I12">
            <v>14500</v>
          </cell>
          <cell r="J12">
            <v>8941.68</v>
          </cell>
          <cell r="K12">
            <v>14500</v>
          </cell>
          <cell r="L12">
            <v>8941.68</v>
          </cell>
          <cell r="M12">
            <v>4500</v>
          </cell>
          <cell r="N12">
            <v>15</v>
          </cell>
          <cell r="O12">
            <v>675</v>
          </cell>
          <cell r="P12">
            <v>-92.451083017956364</v>
          </cell>
          <cell r="Q12" t="str">
            <v>财务处</v>
          </cell>
        </row>
        <row r="13">
          <cell r="B13" t="str">
            <v>001-0009077</v>
          </cell>
          <cell r="C13" t="str">
            <v>计算机</v>
          </cell>
          <cell r="D13" t="str">
            <v>HPVET/266</v>
          </cell>
          <cell r="E13" t="str">
            <v>HP公司</v>
          </cell>
          <cell r="F13" t="str">
            <v>台</v>
          </cell>
          <cell r="G13">
            <v>9809</v>
          </cell>
          <cell r="H13">
            <v>9809</v>
          </cell>
          <cell r="I13">
            <v>25200</v>
          </cell>
          <cell r="J13">
            <v>16380</v>
          </cell>
          <cell r="K13">
            <v>25200</v>
          </cell>
          <cell r="L13">
            <v>16380</v>
          </cell>
          <cell r="M13">
            <v>5000</v>
          </cell>
          <cell r="N13">
            <v>15</v>
          </cell>
          <cell r="O13">
            <v>750</v>
          </cell>
          <cell r="P13">
            <v>-95.42124542124543</v>
          </cell>
          <cell r="Q13" t="str">
            <v>财务处</v>
          </cell>
        </row>
        <row r="14">
          <cell r="B14" t="str">
            <v>001-0010136</v>
          </cell>
          <cell r="C14" t="str">
            <v>复印机</v>
          </cell>
          <cell r="D14" t="str">
            <v>理光4495</v>
          </cell>
          <cell r="E14" t="str">
            <v>理光</v>
          </cell>
          <cell r="F14" t="str">
            <v>台</v>
          </cell>
          <cell r="G14">
            <v>9909</v>
          </cell>
          <cell r="H14">
            <v>9909</v>
          </cell>
          <cell r="I14">
            <v>22500</v>
          </cell>
          <cell r="J14">
            <v>15468.73</v>
          </cell>
          <cell r="K14">
            <v>22500</v>
          </cell>
          <cell r="L14">
            <v>15468.73</v>
          </cell>
          <cell r="M14">
            <v>17000</v>
          </cell>
          <cell r="N14">
            <v>50</v>
          </cell>
          <cell r="O14">
            <v>8500</v>
          </cell>
          <cell r="P14">
            <v>-45.050434004601541</v>
          </cell>
          <cell r="Q14" t="str">
            <v>财务处</v>
          </cell>
        </row>
        <row r="15">
          <cell r="B15" t="str">
            <v>001-0011690</v>
          </cell>
          <cell r="C15" t="str">
            <v>打印机</v>
          </cell>
          <cell r="D15" t="str">
            <v>喷墨</v>
          </cell>
          <cell r="E15" t="str">
            <v>加仑</v>
          </cell>
          <cell r="F15" t="str">
            <v>台</v>
          </cell>
          <cell r="G15">
            <v>200012</v>
          </cell>
          <cell r="H15">
            <v>200012</v>
          </cell>
          <cell r="I15">
            <v>2150</v>
          </cell>
          <cell r="J15">
            <v>1814.05</v>
          </cell>
          <cell r="K15">
            <v>2150</v>
          </cell>
          <cell r="L15">
            <v>1814.05</v>
          </cell>
          <cell r="M15">
            <v>2000</v>
          </cell>
          <cell r="N15">
            <v>75</v>
          </cell>
          <cell r="O15">
            <v>1500</v>
          </cell>
          <cell r="P15">
            <v>-17.312091728452909</v>
          </cell>
          <cell r="Q15" t="str">
            <v>财务处</v>
          </cell>
        </row>
        <row r="16">
          <cell r="B16" t="str">
            <v>001-0011691</v>
          </cell>
          <cell r="C16" t="str">
            <v>打印机</v>
          </cell>
          <cell r="D16" t="str">
            <v>喷墨</v>
          </cell>
          <cell r="E16" t="str">
            <v>加仑</v>
          </cell>
          <cell r="F16" t="str">
            <v>台</v>
          </cell>
          <cell r="G16">
            <v>200012</v>
          </cell>
          <cell r="H16">
            <v>200012</v>
          </cell>
          <cell r="I16">
            <v>2150</v>
          </cell>
          <cell r="J16">
            <v>1814.05</v>
          </cell>
          <cell r="K16">
            <v>2150</v>
          </cell>
          <cell r="L16">
            <v>1814.05</v>
          </cell>
          <cell r="M16">
            <v>2000</v>
          </cell>
          <cell r="N16">
            <v>75</v>
          </cell>
          <cell r="O16">
            <v>1500</v>
          </cell>
          <cell r="P16">
            <v>-17.312091728452909</v>
          </cell>
          <cell r="Q16" t="str">
            <v>财务处</v>
          </cell>
        </row>
        <row r="17">
          <cell r="B17" t="str">
            <v>001-0011756</v>
          </cell>
          <cell r="C17" t="str">
            <v>计算机</v>
          </cell>
          <cell r="D17" t="str">
            <v>HPLL2229A</v>
          </cell>
          <cell r="E17" t="str">
            <v>HP公司</v>
          </cell>
          <cell r="F17" t="str">
            <v>台</v>
          </cell>
          <cell r="G17">
            <v>200012</v>
          </cell>
          <cell r="H17">
            <v>200012</v>
          </cell>
          <cell r="I17">
            <v>9500</v>
          </cell>
          <cell r="J17">
            <v>8312.49</v>
          </cell>
          <cell r="K17">
            <v>9500</v>
          </cell>
          <cell r="L17">
            <v>8312.49</v>
          </cell>
          <cell r="M17">
            <v>9000</v>
          </cell>
          <cell r="N17">
            <v>75</v>
          </cell>
          <cell r="O17">
            <v>6750</v>
          </cell>
          <cell r="P17">
            <v>-18.796894793256889</v>
          </cell>
          <cell r="Q17" t="str">
            <v>财务处</v>
          </cell>
        </row>
        <row r="18">
          <cell r="B18" t="str">
            <v>001-0011757</v>
          </cell>
          <cell r="C18" t="str">
            <v>计算机</v>
          </cell>
          <cell r="D18" t="str">
            <v>HPLL2229A</v>
          </cell>
          <cell r="E18" t="str">
            <v>HP公司</v>
          </cell>
          <cell r="F18" t="str">
            <v>台</v>
          </cell>
          <cell r="G18">
            <v>200012</v>
          </cell>
          <cell r="H18">
            <v>200012</v>
          </cell>
          <cell r="I18">
            <v>9500</v>
          </cell>
          <cell r="J18">
            <v>8312.49</v>
          </cell>
          <cell r="K18">
            <v>9500</v>
          </cell>
          <cell r="L18">
            <v>8312.49</v>
          </cell>
          <cell r="M18">
            <v>9000</v>
          </cell>
          <cell r="N18">
            <v>75</v>
          </cell>
          <cell r="O18">
            <v>6750</v>
          </cell>
          <cell r="P18">
            <v>-18.796894793256889</v>
          </cell>
          <cell r="Q18" t="str">
            <v>财务处</v>
          </cell>
        </row>
        <row r="19">
          <cell r="B19" t="str">
            <v>001-0011758</v>
          </cell>
          <cell r="C19" t="str">
            <v>计算机</v>
          </cell>
          <cell r="D19" t="str">
            <v>HPLL2229A</v>
          </cell>
          <cell r="E19" t="str">
            <v>HP公司</v>
          </cell>
          <cell r="F19" t="str">
            <v>台</v>
          </cell>
          <cell r="G19">
            <v>200012</v>
          </cell>
          <cell r="H19">
            <v>200012</v>
          </cell>
          <cell r="I19">
            <v>9500</v>
          </cell>
          <cell r="J19">
            <v>8312.49</v>
          </cell>
          <cell r="K19">
            <v>9500</v>
          </cell>
          <cell r="L19">
            <v>8312.49</v>
          </cell>
          <cell r="M19">
            <v>9000</v>
          </cell>
          <cell r="N19">
            <v>75</v>
          </cell>
          <cell r="O19">
            <v>6750</v>
          </cell>
          <cell r="P19">
            <v>-18.796894793256889</v>
          </cell>
          <cell r="Q19" t="str">
            <v>财务处</v>
          </cell>
        </row>
        <row r="20">
          <cell r="B20" t="str">
            <v>001-0018606</v>
          </cell>
          <cell r="C20" t="str">
            <v>打印机</v>
          </cell>
          <cell r="D20" t="str">
            <v>HP6L激光</v>
          </cell>
          <cell r="E20" t="str">
            <v>HP公司</v>
          </cell>
          <cell r="F20" t="str">
            <v>台</v>
          </cell>
          <cell r="G20">
            <v>200109</v>
          </cell>
          <cell r="H20">
            <v>200109</v>
          </cell>
          <cell r="I20">
            <v>3090</v>
          </cell>
          <cell r="J20">
            <v>2929.06</v>
          </cell>
          <cell r="K20">
            <v>3090</v>
          </cell>
          <cell r="L20">
            <v>2929.06</v>
          </cell>
          <cell r="M20">
            <v>3200</v>
          </cell>
          <cell r="N20">
            <v>90</v>
          </cell>
          <cell r="O20">
            <v>2880</v>
          </cell>
          <cell r="P20">
            <v>-1.6749400831666112</v>
          </cell>
          <cell r="Q20" t="str">
            <v>财务处</v>
          </cell>
        </row>
        <row r="21">
          <cell r="B21" t="str">
            <v>001-0019286</v>
          </cell>
          <cell r="C21" t="str">
            <v>计算机</v>
          </cell>
          <cell r="D21" t="str">
            <v>DELL</v>
          </cell>
          <cell r="E21" t="str">
            <v>DELL公司</v>
          </cell>
          <cell r="F21" t="str">
            <v>台</v>
          </cell>
          <cell r="G21">
            <v>200111</v>
          </cell>
          <cell r="H21">
            <v>200111</v>
          </cell>
          <cell r="I21">
            <v>11337</v>
          </cell>
          <cell r="J21">
            <v>11053.56</v>
          </cell>
          <cell r="K21">
            <v>11337</v>
          </cell>
          <cell r="L21">
            <v>11053.56</v>
          </cell>
          <cell r="M21">
            <v>11000</v>
          </cell>
          <cell r="N21">
            <v>90</v>
          </cell>
          <cell r="O21">
            <v>9900</v>
          </cell>
          <cell r="P21">
            <v>-10.43609479660851</v>
          </cell>
          <cell r="Q21" t="str">
            <v>财务处</v>
          </cell>
        </row>
        <row r="22">
          <cell r="B22" t="str">
            <v>001-0019287</v>
          </cell>
          <cell r="C22" t="str">
            <v>计算机</v>
          </cell>
          <cell r="D22" t="str">
            <v>DELL</v>
          </cell>
          <cell r="E22" t="str">
            <v>DELL公司</v>
          </cell>
          <cell r="F22" t="str">
            <v>台</v>
          </cell>
          <cell r="G22">
            <v>200111</v>
          </cell>
          <cell r="H22">
            <v>200111</v>
          </cell>
          <cell r="I22">
            <v>11337</v>
          </cell>
          <cell r="J22">
            <v>11053.56</v>
          </cell>
          <cell r="K22">
            <v>11337</v>
          </cell>
          <cell r="L22">
            <v>11053.56</v>
          </cell>
          <cell r="M22">
            <v>11000</v>
          </cell>
          <cell r="N22">
            <v>90</v>
          </cell>
          <cell r="O22">
            <v>9900</v>
          </cell>
          <cell r="P22">
            <v>-10.43609479660851</v>
          </cell>
          <cell r="Q22" t="str">
            <v>财务处</v>
          </cell>
        </row>
        <row r="23">
          <cell r="B23" t="str">
            <v>001-0019288</v>
          </cell>
          <cell r="C23" t="str">
            <v>计算机</v>
          </cell>
          <cell r="D23" t="str">
            <v>DELL</v>
          </cell>
          <cell r="E23" t="str">
            <v>DELL公司</v>
          </cell>
          <cell r="F23" t="str">
            <v>台</v>
          </cell>
          <cell r="G23">
            <v>200111</v>
          </cell>
          <cell r="H23">
            <v>200111</v>
          </cell>
          <cell r="I23">
            <v>11337</v>
          </cell>
          <cell r="J23">
            <v>11053.56</v>
          </cell>
          <cell r="K23">
            <v>11337</v>
          </cell>
          <cell r="L23">
            <v>11053.56</v>
          </cell>
          <cell r="M23">
            <v>11000</v>
          </cell>
          <cell r="N23">
            <v>90</v>
          </cell>
          <cell r="O23">
            <v>9900</v>
          </cell>
          <cell r="P23">
            <v>-10.43609479660851</v>
          </cell>
          <cell r="Q23" t="str">
            <v>财务处</v>
          </cell>
        </row>
        <row r="24">
          <cell r="B24" t="str">
            <v>001-0019969</v>
          </cell>
          <cell r="C24" t="str">
            <v>打印机</v>
          </cell>
          <cell r="D24" t="str">
            <v>HP6L</v>
          </cell>
          <cell r="E24" t="str">
            <v>HP公司</v>
          </cell>
          <cell r="F24" t="str">
            <v>台</v>
          </cell>
          <cell r="G24">
            <v>200112</v>
          </cell>
          <cell r="H24">
            <v>200112</v>
          </cell>
          <cell r="I24">
            <v>3400</v>
          </cell>
          <cell r="J24">
            <v>3329.16</v>
          </cell>
          <cell r="K24">
            <v>3400</v>
          </cell>
          <cell r="L24">
            <v>3329.16</v>
          </cell>
          <cell r="M24">
            <v>3200</v>
          </cell>
          <cell r="N24">
            <v>90</v>
          </cell>
          <cell r="O24">
            <v>2880</v>
          </cell>
          <cell r="P24">
            <v>-13.491691597880543</v>
          </cell>
          <cell r="Q24" t="str">
            <v>财务处</v>
          </cell>
        </row>
        <row r="25">
          <cell r="B25" t="str">
            <v>001-0019970</v>
          </cell>
          <cell r="C25" t="str">
            <v>打印机</v>
          </cell>
          <cell r="D25" t="str">
            <v>HP6L</v>
          </cell>
          <cell r="E25" t="str">
            <v>HP公司</v>
          </cell>
          <cell r="F25" t="str">
            <v>台</v>
          </cell>
          <cell r="G25">
            <v>200112</v>
          </cell>
          <cell r="H25">
            <v>200112</v>
          </cell>
          <cell r="I25">
            <v>3400</v>
          </cell>
          <cell r="J25">
            <v>3329.16</v>
          </cell>
          <cell r="K25">
            <v>3400</v>
          </cell>
          <cell r="L25">
            <v>3329.16</v>
          </cell>
          <cell r="M25">
            <v>3200</v>
          </cell>
          <cell r="N25">
            <v>90</v>
          </cell>
          <cell r="O25">
            <v>2880</v>
          </cell>
          <cell r="P25">
            <v>-13.491691597880543</v>
          </cell>
          <cell r="Q25" t="str">
            <v>财务处</v>
          </cell>
        </row>
        <row r="26">
          <cell r="B26" t="str">
            <v>001-0020076</v>
          </cell>
          <cell r="C26" t="str">
            <v>扫描仪</v>
          </cell>
          <cell r="D26" t="str">
            <v>O2000</v>
          </cell>
          <cell r="E26" t="str">
            <v>清华紫光</v>
          </cell>
          <cell r="F26" t="str">
            <v>台</v>
          </cell>
          <cell r="G26">
            <v>200112</v>
          </cell>
          <cell r="H26">
            <v>200112</v>
          </cell>
          <cell r="I26">
            <v>2800</v>
          </cell>
          <cell r="J26">
            <v>2761.12</v>
          </cell>
          <cell r="K26">
            <v>2800</v>
          </cell>
          <cell r="L26">
            <v>2761.12</v>
          </cell>
          <cell r="M26">
            <v>2800</v>
          </cell>
          <cell r="N26">
            <v>90</v>
          </cell>
          <cell r="O26">
            <v>2520</v>
          </cell>
          <cell r="P26">
            <v>-8.7326881845048341</v>
          </cell>
          <cell r="Q26" t="str">
            <v>财务处</v>
          </cell>
        </row>
        <row r="27">
          <cell r="B27" t="str">
            <v>001-0007994</v>
          </cell>
          <cell r="C27" t="str">
            <v>照相机镜头</v>
          </cell>
          <cell r="D27" t="str">
            <v>HF28-80QD</v>
          </cell>
          <cell r="F27" t="str">
            <v>台</v>
          </cell>
          <cell r="I27">
            <v>1800</v>
          </cell>
          <cell r="J27">
            <v>937.83</v>
          </cell>
          <cell r="K27">
            <v>1800</v>
          </cell>
          <cell r="L27">
            <v>937.83</v>
          </cell>
          <cell r="M27">
            <v>0</v>
          </cell>
          <cell r="O27">
            <v>0</v>
          </cell>
          <cell r="P27">
            <v>-100</v>
          </cell>
          <cell r="Q27" t="str">
            <v>报废</v>
          </cell>
        </row>
        <row r="28">
          <cell r="B28" t="str">
            <v>001-0007998</v>
          </cell>
          <cell r="C28" t="str">
            <v>闪光灯</v>
          </cell>
          <cell r="D28" t="str">
            <v>540EZ</v>
          </cell>
          <cell r="F28" t="str">
            <v>台</v>
          </cell>
          <cell r="I28">
            <v>3000</v>
          </cell>
          <cell r="J28">
            <v>1563.06</v>
          </cell>
          <cell r="K28">
            <v>3000</v>
          </cell>
          <cell r="L28">
            <v>1563.06</v>
          </cell>
          <cell r="M28">
            <v>0</v>
          </cell>
          <cell r="O28">
            <v>0</v>
          </cell>
          <cell r="P28">
            <v>-100</v>
          </cell>
          <cell r="Q28" t="str">
            <v>报废</v>
          </cell>
        </row>
        <row r="29">
          <cell r="B29" t="str">
            <v>001-0007999</v>
          </cell>
          <cell r="C29" t="str">
            <v>照相机机身</v>
          </cell>
          <cell r="D29" t="str">
            <v>EOS5QD</v>
          </cell>
          <cell r="F29" t="str">
            <v>台</v>
          </cell>
          <cell r="I29">
            <v>6500</v>
          </cell>
          <cell r="J29">
            <v>3386.66</v>
          </cell>
          <cell r="K29">
            <v>6500</v>
          </cell>
          <cell r="L29">
            <v>3386.66</v>
          </cell>
          <cell r="M29">
            <v>4800</v>
          </cell>
          <cell r="N29">
            <v>80</v>
          </cell>
          <cell r="O29">
            <v>3840</v>
          </cell>
          <cell r="P29">
            <v>13.386049972539322</v>
          </cell>
          <cell r="Q29" t="str">
            <v>厂办</v>
          </cell>
        </row>
        <row r="30">
          <cell r="B30" t="str">
            <v>001-0008243</v>
          </cell>
          <cell r="C30" t="str">
            <v>打印机</v>
          </cell>
          <cell r="D30" t="str">
            <v>LQ-1600KII</v>
          </cell>
          <cell r="F30" t="str">
            <v>台</v>
          </cell>
          <cell r="G30">
            <v>98</v>
          </cell>
          <cell r="H30">
            <v>98</v>
          </cell>
          <cell r="I30">
            <v>4050</v>
          </cell>
          <cell r="J30">
            <v>2483.65</v>
          </cell>
          <cell r="K30">
            <v>4050</v>
          </cell>
          <cell r="L30">
            <v>2483.65</v>
          </cell>
          <cell r="M30">
            <v>3200</v>
          </cell>
          <cell r="N30">
            <v>20</v>
          </cell>
          <cell r="O30">
            <v>640</v>
          </cell>
          <cell r="P30">
            <v>-74.231473838906453</v>
          </cell>
          <cell r="Q30" t="str">
            <v>厂办</v>
          </cell>
        </row>
        <row r="31">
          <cell r="B31" t="str">
            <v>001-0008276</v>
          </cell>
          <cell r="C31" t="str">
            <v>计算机</v>
          </cell>
          <cell r="D31" t="str">
            <v>HP586/100</v>
          </cell>
          <cell r="F31" t="str">
            <v>台</v>
          </cell>
          <cell r="G31">
            <v>98</v>
          </cell>
          <cell r="H31">
            <v>98</v>
          </cell>
          <cell r="I31">
            <v>21200</v>
          </cell>
          <cell r="J31">
            <v>13000.9</v>
          </cell>
          <cell r="K31">
            <v>21200</v>
          </cell>
          <cell r="L31">
            <v>13000.9</v>
          </cell>
          <cell r="M31">
            <v>4000</v>
          </cell>
          <cell r="N31">
            <v>15</v>
          </cell>
          <cell r="O31">
            <v>600</v>
          </cell>
          <cell r="P31">
            <v>-95.384934889123059</v>
          </cell>
          <cell r="Q31" t="str">
            <v>厂办</v>
          </cell>
        </row>
        <row r="32">
          <cell r="B32" t="str">
            <v>001-0008749</v>
          </cell>
          <cell r="C32" t="str">
            <v>复印机</v>
          </cell>
          <cell r="D32" t="str">
            <v>4495</v>
          </cell>
          <cell r="F32" t="str">
            <v>台</v>
          </cell>
          <cell r="I32">
            <v>25000</v>
          </cell>
          <cell r="J32">
            <v>10416.66</v>
          </cell>
          <cell r="K32">
            <v>25000</v>
          </cell>
          <cell r="L32">
            <v>10416.66</v>
          </cell>
          <cell r="M32">
            <v>22000</v>
          </cell>
          <cell r="N32">
            <v>40</v>
          </cell>
          <cell r="O32">
            <v>8800</v>
          </cell>
          <cell r="P32">
            <v>-15.519945932765397</v>
          </cell>
          <cell r="Q32" t="str">
            <v>厂办</v>
          </cell>
        </row>
        <row r="33">
          <cell r="B33" t="str">
            <v>001-0008948</v>
          </cell>
          <cell r="C33" t="str">
            <v>碎纸机</v>
          </cell>
          <cell r="D33" t="str">
            <v>奥士达908</v>
          </cell>
          <cell r="F33" t="str">
            <v>台</v>
          </cell>
          <cell r="G33">
            <v>97</v>
          </cell>
          <cell r="H33">
            <v>97</v>
          </cell>
          <cell r="I33">
            <v>3200</v>
          </cell>
          <cell r="J33">
            <v>2228.96</v>
          </cell>
          <cell r="K33">
            <v>3200</v>
          </cell>
          <cell r="L33">
            <v>2228.96</v>
          </cell>
          <cell r="M33">
            <v>2800</v>
          </cell>
          <cell r="N33">
            <v>50</v>
          </cell>
          <cell r="O33">
            <v>1400</v>
          </cell>
          <cell r="P33">
            <v>-37.190438590194532</v>
          </cell>
          <cell r="Q33" t="str">
            <v>厂办</v>
          </cell>
        </row>
        <row r="34">
          <cell r="B34" t="str">
            <v>001-0008949</v>
          </cell>
          <cell r="C34" t="str">
            <v>碎纸机</v>
          </cell>
          <cell r="D34" t="str">
            <v>奥士达908</v>
          </cell>
          <cell r="F34" t="str">
            <v>台</v>
          </cell>
          <cell r="G34">
            <v>97</v>
          </cell>
          <cell r="H34">
            <v>97</v>
          </cell>
          <cell r="I34">
            <v>3200</v>
          </cell>
          <cell r="J34">
            <v>2228.96</v>
          </cell>
          <cell r="K34">
            <v>3200</v>
          </cell>
          <cell r="L34">
            <v>2228.96</v>
          </cell>
          <cell r="M34">
            <v>2800</v>
          </cell>
          <cell r="N34">
            <v>50</v>
          </cell>
          <cell r="O34">
            <v>1400</v>
          </cell>
          <cell r="P34">
            <v>-37.190438590194532</v>
          </cell>
          <cell r="Q34" t="str">
            <v>厂办</v>
          </cell>
        </row>
        <row r="35">
          <cell r="B35" t="str">
            <v>001-0008950</v>
          </cell>
          <cell r="C35" t="str">
            <v>碎纸机</v>
          </cell>
          <cell r="D35" t="str">
            <v>奥士达908</v>
          </cell>
          <cell r="F35" t="str">
            <v>台</v>
          </cell>
          <cell r="G35">
            <v>97</v>
          </cell>
          <cell r="H35">
            <v>97</v>
          </cell>
          <cell r="I35">
            <v>3200</v>
          </cell>
          <cell r="J35">
            <v>2228.96</v>
          </cell>
          <cell r="K35">
            <v>3200</v>
          </cell>
          <cell r="L35">
            <v>2228.96</v>
          </cell>
          <cell r="M35">
            <v>2800</v>
          </cell>
          <cell r="N35">
            <v>50</v>
          </cell>
          <cell r="O35">
            <v>1400</v>
          </cell>
          <cell r="P35">
            <v>-37.190438590194532</v>
          </cell>
          <cell r="Q35" t="str">
            <v>厂办</v>
          </cell>
        </row>
        <row r="36">
          <cell r="B36" t="str">
            <v>001-0008951</v>
          </cell>
          <cell r="C36" t="str">
            <v>碎纸机</v>
          </cell>
          <cell r="D36" t="str">
            <v>奥士达908</v>
          </cell>
          <cell r="F36" t="str">
            <v>台</v>
          </cell>
          <cell r="G36">
            <v>97</v>
          </cell>
          <cell r="H36">
            <v>97</v>
          </cell>
          <cell r="I36">
            <v>3200</v>
          </cell>
          <cell r="J36">
            <v>2228.96</v>
          </cell>
          <cell r="K36">
            <v>3200</v>
          </cell>
          <cell r="L36">
            <v>2228.96</v>
          </cell>
          <cell r="M36">
            <v>2800</v>
          </cell>
          <cell r="N36">
            <v>50</v>
          </cell>
          <cell r="O36">
            <v>1400</v>
          </cell>
          <cell r="P36">
            <v>-37.190438590194532</v>
          </cell>
          <cell r="Q36" t="str">
            <v>厂办</v>
          </cell>
        </row>
        <row r="37">
          <cell r="B37" t="str">
            <v>001-0008953</v>
          </cell>
          <cell r="C37" t="str">
            <v>碎纸机</v>
          </cell>
          <cell r="D37" t="str">
            <v>奥士达908</v>
          </cell>
          <cell r="F37" t="str">
            <v>台</v>
          </cell>
          <cell r="G37">
            <v>97</v>
          </cell>
          <cell r="H37">
            <v>97</v>
          </cell>
          <cell r="I37">
            <v>3200</v>
          </cell>
          <cell r="J37">
            <v>2228.96</v>
          </cell>
          <cell r="K37">
            <v>3200</v>
          </cell>
          <cell r="L37">
            <v>2228.96</v>
          </cell>
          <cell r="M37">
            <v>2800</v>
          </cell>
          <cell r="N37">
            <v>50</v>
          </cell>
          <cell r="O37">
            <v>1400</v>
          </cell>
          <cell r="P37">
            <v>-37.190438590194532</v>
          </cell>
          <cell r="Q37" t="str">
            <v>厂办</v>
          </cell>
        </row>
        <row r="38">
          <cell r="B38" t="str">
            <v>001-0008954</v>
          </cell>
          <cell r="C38" t="str">
            <v>碎纸机</v>
          </cell>
          <cell r="D38" t="str">
            <v>奥士达908</v>
          </cell>
          <cell r="F38" t="str">
            <v>台</v>
          </cell>
          <cell r="G38">
            <v>97</v>
          </cell>
          <cell r="H38">
            <v>97</v>
          </cell>
          <cell r="I38">
            <v>3200</v>
          </cell>
          <cell r="J38">
            <v>2228.96</v>
          </cell>
          <cell r="K38">
            <v>3200</v>
          </cell>
          <cell r="L38">
            <v>2228.96</v>
          </cell>
          <cell r="M38">
            <v>2800</v>
          </cell>
          <cell r="N38">
            <v>50</v>
          </cell>
          <cell r="O38">
            <v>1400</v>
          </cell>
          <cell r="P38">
            <v>-37.190438590194532</v>
          </cell>
          <cell r="Q38" t="str">
            <v>厂办</v>
          </cell>
        </row>
        <row r="39">
          <cell r="B39" t="str">
            <v>001-0008955</v>
          </cell>
          <cell r="C39" t="str">
            <v>碎纸机</v>
          </cell>
          <cell r="D39" t="str">
            <v>奥士达908</v>
          </cell>
          <cell r="F39" t="str">
            <v>台</v>
          </cell>
          <cell r="G39">
            <v>97</v>
          </cell>
          <cell r="H39">
            <v>97</v>
          </cell>
          <cell r="I39">
            <v>3200</v>
          </cell>
          <cell r="J39">
            <v>2228.96</v>
          </cell>
          <cell r="K39">
            <v>3200</v>
          </cell>
          <cell r="L39">
            <v>2228.96</v>
          </cell>
          <cell r="M39">
            <v>2800</v>
          </cell>
          <cell r="N39">
            <v>50</v>
          </cell>
          <cell r="O39">
            <v>1400</v>
          </cell>
          <cell r="P39">
            <v>-37.190438590194532</v>
          </cell>
          <cell r="Q39" t="str">
            <v>厂办</v>
          </cell>
        </row>
        <row r="40">
          <cell r="B40" t="str">
            <v>001-0008956</v>
          </cell>
          <cell r="C40" t="str">
            <v>碎纸机</v>
          </cell>
          <cell r="D40" t="str">
            <v>奥士达908</v>
          </cell>
          <cell r="F40" t="str">
            <v>台</v>
          </cell>
          <cell r="G40">
            <v>97</v>
          </cell>
          <cell r="H40">
            <v>97</v>
          </cell>
          <cell r="I40">
            <v>3200</v>
          </cell>
          <cell r="J40">
            <v>2228.96</v>
          </cell>
          <cell r="K40">
            <v>3200</v>
          </cell>
          <cell r="L40">
            <v>2228.96</v>
          </cell>
          <cell r="M40">
            <v>2800</v>
          </cell>
          <cell r="N40">
            <v>50</v>
          </cell>
          <cell r="O40">
            <v>1400</v>
          </cell>
          <cell r="P40">
            <v>-37.190438590194532</v>
          </cell>
          <cell r="Q40" t="str">
            <v>厂办</v>
          </cell>
        </row>
        <row r="41">
          <cell r="B41" t="str">
            <v>001-0008957</v>
          </cell>
          <cell r="C41" t="str">
            <v>碎纸机</v>
          </cell>
          <cell r="D41" t="str">
            <v>奥士达908</v>
          </cell>
          <cell r="F41" t="str">
            <v>台</v>
          </cell>
          <cell r="G41">
            <v>97</v>
          </cell>
          <cell r="H41">
            <v>97</v>
          </cell>
          <cell r="I41">
            <v>3200</v>
          </cell>
          <cell r="J41">
            <v>2228.96</v>
          </cell>
          <cell r="K41">
            <v>3200</v>
          </cell>
          <cell r="L41">
            <v>2228.96</v>
          </cell>
          <cell r="M41">
            <v>2800</v>
          </cell>
          <cell r="N41">
            <v>50</v>
          </cell>
          <cell r="O41">
            <v>1400</v>
          </cell>
          <cell r="P41">
            <v>-37.190438590194532</v>
          </cell>
          <cell r="Q41" t="str">
            <v>厂办</v>
          </cell>
        </row>
        <row r="42">
          <cell r="B42" t="str">
            <v>001-0009020</v>
          </cell>
          <cell r="C42" t="str">
            <v>电视机</v>
          </cell>
          <cell r="D42" t="str">
            <v>3419PD</v>
          </cell>
          <cell r="F42" t="str">
            <v>台</v>
          </cell>
          <cell r="G42">
            <v>97</v>
          </cell>
          <cell r="H42">
            <v>97</v>
          </cell>
          <cell r="I42">
            <v>19480</v>
          </cell>
          <cell r="J42">
            <v>10145.82</v>
          </cell>
          <cell r="K42">
            <v>19480</v>
          </cell>
          <cell r="L42">
            <v>10145.82</v>
          </cell>
          <cell r="M42">
            <v>5400</v>
          </cell>
          <cell r="N42">
            <v>40</v>
          </cell>
          <cell r="O42">
            <v>2160</v>
          </cell>
          <cell r="P42">
            <v>-78.7104443011999</v>
          </cell>
          <cell r="Q42" t="str">
            <v>厂办</v>
          </cell>
        </row>
        <row r="43">
          <cell r="B43" t="str">
            <v>001-0009022</v>
          </cell>
          <cell r="C43" t="str">
            <v>碎纸机</v>
          </cell>
          <cell r="D43" t="str">
            <v>奥士达908</v>
          </cell>
          <cell r="F43" t="str">
            <v>台</v>
          </cell>
          <cell r="G43">
            <v>97</v>
          </cell>
          <cell r="H43">
            <v>97</v>
          </cell>
          <cell r="I43">
            <v>29500</v>
          </cell>
          <cell r="J43">
            <v>21425.83</v>
          </cell>
          <cell r="K43">
            <v>29500</v>
          </cell>
          <cell r="L43">
            <v>21425.83</v>
          </cell>
          <cell r="M43">
            <v>25200</v>
          </cell>
          <cell r="N43">
            <v>40</v>
          </cell>
          <cell r="O43">
            <v>10080</v>
          </cell>
          <cell r="P43">
            <v>-52.953981246000751</v>
          </cell>
          <cell r="Q43" t="str">
            <v>厂办</v>
          </cell>
        </row>
        <row r="44">
          <cell r="B44" t="str">
            <v>001-0009023</v>
          </cell>
          <cell r="C44" t="str">
            <v>传真机</v>
          </cell>
          <cell r="D44" t="str">
            <v>佳能380</v>
          </cell>
          <cell r="F44" t="str">
            <v>台</v>
          </cell>
          <cell r="I44">
            <v>9893</v>
          </cell>
          <cell r="J44">
            <v>7185.3</v>
          </cell>
          <cell r="K44">
            <v>9893</v>
          </cell>
          <cell r="L44">
            <v>7185.3</v>
          </cell>
          <cell r="M44">
            <v>8500</v>
          </cell>
          <cell r="N44">
            <v>70</v>
          </cell>
          <cell r="O44">
            <v>5950</v>
          </cell>
          <cell r="P44">
            <v>-17.192044869386113</v>
          </cell>
          <cell r="Q44" t="str">
            <v>厂办</v>
          </cell>
        </row>
        <row r="45">
          <cell r="B45" t="str">
            <v>001-0009045</v>
          </cell>
          <cell r="C45" t="str">
            <v>计算机</v>
          </cell>
          <cell r="D45" t="str">
            <v>HPVE7266</v>
          </cell>
          <cell r="F45" t="str">
            <v>台</v>
          </cell>
          <cell r="G45">
            <v>98</v>
          </cell>
          <cell r="H45">
            <v>98</v>
          </cell>
          <cell r="I45">
            <v>12600</v>
          </cell>
          <cell r="J45">
            <v>7980</v>
          </cell>
          <cell r="K45">
            <v>12600</v>
          </cell>
          <cell r="L45">
            <v>7980</v>
          </cell>
          <cell r="M45">
            <v>6000</v>
          </cell>
          <cell r="N45">
            <v>20</v>
          </cell>
          <cell r="O45">
            <v>1200</v>
          </cell>
          <cell r="P45">
            <v>-84.962406015037601</v>
          </cell>
          <cell r="Q45" t="str">
            <v>厂办</v>
          </cell>
        </row>
        <row r="46">
          <cell r="B46" t="str">
            <v>001-0009059</v>
          </cell>
          <cell r="C46" t="str">
            <v>录像机</v>
          </cell>
          <cell r="D46" t="str">
            <v/>
          </cell>
          <cell r="F46" t="str">
            <v>台</v>
          </cell>
          <cell r="G46">
            <v>2000</v>
          </cell>
          <cell r="H46">
            <v>2000</v>
          </cell>
          <cell r="I46">
            <v>3500</v>
          </cell>
          <cell r="J46">
            <v>2583.6799999999998</v>
          </cell>
          <cell r="K46">
            <v>3500</v>
          </cell>
          <cell r="L46">
            <v>2583.6799999999998</v>
          </cell>
          <cell r="M46">
            <v>3200</v>
          </cell>
          <cell r="N46">
            <v>80</v>
          </cell>
          <cell r="O46">
            <v>2560</v>
          </cell>
          <cell r="P46">
            <v>-0.91652216992815816</v>
          </cell>
          <cell r="Q46" t="str">
            <v>厂办</v>
          </cell>
        </row>
        <row r="47">
          <cell r="B47" t="str">
            <v>001-0010129</v>
          </cell>
          <cell r="C47" t="str">
            <v>照相机镜头</v>
          </cell>
          <cell r="D47" t="str">
            <v>100-300mm</v>
          </cell>
          <cell r="F47" t="str">
            <v>台</v>
          </cell>
          <cell r="G47">
            <v>99</v>
          </cell>
          <cell r="H47">
            <v>99</v>
          </cell>
          <cell r="I47">
            <v>2600</v>
          </cell>
          <cell r="J47">
            <v>2135.9</v>
          </cell>
          <cell r="K47">
            <v>2600</v>
          </cell>
          <cell r="L47">
            <v>2135.9</v>
          </cell>
          <cell r="M47">
            <v>2600</v>
          </cell>
          <cell r="N47">
            <v>70</v>
          </cell>
          <cell r="O47">
            <v>1820</v>
          </cell>
          <cell r="P47">
            <v>-14.790018259281807</v>
          </cell>
          <cell r="Q47" t="str">
            <v>厂办</v>
          </cell>
        </row>
        <row r="48">
          <cell r="B48" t="str">
            <v>001-0010138</v>
          </cell>
          <cell r="C48" t="str">
            <v>打印机</v>
          </cell>
          <cell r="D48" t="str">
            <v>激光  HP6L</v>
          </cell>
          <cell r="F48" t="str">
            <v>台</v>
          </cell>
          <cell r="G48">
            <v>99</v>
          </cell>
          <cell r="H48">
            <v>99</v>
          </cell>
          <cell r="I48">
            <v>3150</v>
          </cell>
          <cell r="J48">
            <v>2165.63</v>
          </cell>
          <cell r="K48">
            <v>3150</v>
          </cell>
          <cell r="L48">
            <v>2165.63</v>
          </cell>
          <cell r="M48">
            <v>3100</v>
          </cell>
          <cell r="N48">
            <v>60</v>
          </cell>
          <cell r="O48">
            <v>1860</v>
          </cell>
          <cell r="P48">
            <v>-14.112752409229651</v>
          </cell>
          <cell r="Q48" t="str">
            <v>厂办</v>
          </cell>
        </row>
        <row r="49">
          <cell r="B49" t="str">
            <v>001-0010151</v>
          </cell>
          <cell r="C49" t="str">
            <v>传真机</v>
          </cell>
          <cell r="D49" t="str">
            <v>三星SF2900</v>
          </cell>
          <cell r="F49" t="str">
            <v>台</v>
          </cell>
          <cell r="G49">
            <v>2001</v>
          </cell>
          <cell r="H49">
            <v>2001</v>
          </cell>
          <cell r="I49">
            <v>3205</v>
          </cell>
          <cell r="J49">
            <v>2804.39</v>
          </cell>
          <cell r="K49">
            <v>3205</v>
          </cell>
          <cell r="L49">
            <v>2804.39</v>
          </cell>
          <cell r="M49">
            <v>3200</v>
          </cell>
          <cell r="N49">
            <v>90</v>
          </cell>
          <cell r="O49">
            <v>2880</v>
          </cell>
          <cell r="P49">
            <v>2.696129996184558</v>
          </cell>
          <cell r="Q49" t="str">
            <v>厂办</v>
          </cell>
        </row>
        <row r="50">
          <cell r="B50" t="str">
            <v>001-0010160</v>
          </cell>
          <cell r="C50" t="str">
            <v>计算机</v>
          </cell>
          <cell r="D50" t="str">
            <v>HPVE8</v>
          </cell>
          <cell r="F50" t="str">
            <v>台</v>
          </cell>
          <cell r="G50">
            <v>99</v>
          </cell>
          <cell r="H50">
            <v>99</v>
          </cell>
          <cell r="I50">
            <v>12700</v>
          </cell>
          <cell r="J50">
            <v>9525.01</v>
          </cell>
          <cell r="K50">
            <v>12700</v>
          </cell>
          <cell r="L50">
            <v>9525.01</v>
          </cell>
          <cell r="M50">
            <v>8500</v>
          </cell>
          <cell r="N50">
            <v>50</v>
          </cell>
          <cell r="O50">
            <v>4250</v>
          </cell>
          <cell r="P50">
            <v>-55.380624272310477</v>
          </cell>
          <cell r="Q50" t="str">
            <v>厂办</v>
          </cell>
        </row>
        <row r="51">
          <cell r="B51" t="str">
            <v>001-0010310</v>
          </cell>
          <cell r="C51" t="str">
            <v>彩电</v>
          </cell>
          <cell r="D51" t="str">
            <v>长虹C3419PD</v>
          </cell>
          <cell r="F51" t="str">
            <v>台</v>
          </cell>
          <cell r="I51">
            <v>8600</v>
          </cell>
          <cell r="J51">
            <v>6091.68</v>
          </cell>
          <cell r="K51">
            <v>8600</v>
          </cell>
          <cell r="L51">
            <v>6091.68</v>
          </cell>
          <cell r="M51">
            <v>5400</v>
          </cell>
          <cell r="N51">
            <v>50</v>
          </cell>
          <cell r="O51">
            <v>2700</v>
          </cell>
          <cell r="P51">
            <v>-55.677251595618948</v>
          </cell>
          <cell r="Q51" t="str">
            <v>厂办</v>
          </cell>
        </row>
        <row r="52">
          <cell r="B52" t="str">
            <v>001-0010332</v>
          </cell>
          <cell r="C52" t="str">
            <v>录相机</v>
          </cell>
          <cell r="D52" t="str">
            <v>HPRVCD-1</v>
          </cell>
          <cell r="F52" t="str">
            <v>台</v>
          </cell>
          <cell r="G52">
            <v>99</v>
          </cell>
          <cell r="H52">
            <v>99</v>
          </cell>
          <cell r="I52">
            <v>3400</v>
          </cell>
          <cell r="J52">
            <v>2723.68</v>
          </cell>
          <cell r="K52">
            <v>3400</v>
          </cell>
          <cell r="L52">
            <v>2723.68</v>
          </cell>
          <cell r="M52">
            <v>3200</v>
          </cell>
          <cell r="N52">
            <v>60</v>
          </cell>
          <cell r="O52">
            <v>1920</v>
          </cell>
          <cell r="P52">
            <v>-29.507137402338007</v>
          </cell>
          <cell r="Q52" t="str">
            <v>厂办</v>
          </cell>
        </row>
        <row r="53">
          <cell r="B53" t="str">
            <v>001-0011389</v>
          </cell>
          <cell r="C53" t="str">
            <v>碎纸机</v>
          </cell>
          <cell r="D53" t="str">
            <v>奥士达908</v>
          </cell>
          <cell r="F53" t="str">
            <v>台</v>
          </cell>
          <cell r="G53">
            <v>99</v>
          </cell>
          <cell r="H53">
            <v>99</v>
          </cell>
          <cell r="I53">
            <v>3000</v>
          </cell>
          <cell r="J53">
            <v>2625.15</v>
          </cell>
          <cell r="K53">
            <v>3000</v>
          </cell>
          <cell r="L53">
            <v>2625.15</v>
          </cell>
          <cell r="M53">
            <v>2800</v>
          </cell>
          <cell r="N53">
            <v>70</v>
          </cell>
          <cell r="O53">
            <v>1960</v>
          </cell>
          <cell r="P53">
            <v>-25.337599756204408</v>
          </cell>
          <cell r="Q53" t="str">
            <v>厂办</v>
          </cell>
        </row>
        <row r="54">
          <cell r="B54" t="str">
            <v>001-0011501</v>
          </cell>
          <cell r="C54" t="str">
            <v>计算机</v>
          </cell>
          <cell r="D54" t="str">
            <v>HP8188A</v>
          </cell>
          <cell r="F54" t="str">
            <v>台</v>
          </cell>
          <cell r="G54">
            <v>98</v>
          </cell>
          <cell r="H54">
            <v>98</v>
          </cell>
          <cell r="I54">
            <v>9050</v>
          </cell>
          <cell r="J54">
            <v>7692.49</v>
          </cell>
          <cell r="K54">
            <v>9050</v>
          </cell>
          <cell r="L54">
            <v>7692.49</v>
          </cell>
          <cell r="M54">
            <v>7000</v>
          </cell>
          <cell r="N54">
            <v>25</v>
          </cell>
          <cell r="O54">
            <v>1750</v>
          </cell>
          <cell r="P54">
            <v>-77.250539162221855</v>
          </cell>
          <cell r="Q54" t="str">
            <v>厂办</v>
          </cell>
        </row>
        <row r="55">
          <cell r="B55" t="str">
            <v>001-0011511</v>
          </cell>
          <cell r="C55" t="str">
            <v>计算机</v>
          </cell>
          <cell r="D55" t="str">
            <v>HP8188A</v>
          </cell>
          <cell r="F55" t="str">
            <v>台</v>
          </cell>
          <cell r="G55">
            <v>98</v>
          </cell>
          <cell r="H55">
            <v>98</v>
          </cell>
          <cell r="I55">
            <v>9050</v>
          </cell>
          <cell r="J55">
            <v>7692.49</v>
          </cell>
          <cell r="K55">
            <v>9050</v>
          </cell>
          <cell r="L55">
            <v>7692.49</v>
          </cell>
          <cell r="M55">
            <v>7000</v>
          </cell>
          <cell r="N55">
            <v>25</v>
          </cell>
          <cell r="O55">
            <v>1750</v>
          </cell>
          <cell r="P55">
            <v>-77.250539162221855</v>
          </cell>
          <cell r="Q55" t="str">
            <v>厂办</v>
          </cell>
        </row>
        <row r="56">
          <cell r="B56" t="str">
            <v>001-0011528</v>
          </cell>
          <cell r="C56" t="str">
            <v>激光打印机</v>
          </cell>
          <cell r="D56" t="str">
            <v>联想</v>
          </cell>
          <cell r="F56" t="str">
            <v>台</v>
          </cell>
          <cell r="I56">
            <v>8650</v>
          </cell>
          <cell r="J56">
            <v>7028.14</v>
          </cell>
          <cell r="K56">
            <v>8650</v>
          </cell>
          <cell r="L56">
            <v>7028.14</v>
          </cell>
          <cell r="M56">
            <v>0</v>
          </cell>
          <cell r="O56">
            <v>0</v>
          </cell>
          <cell r="P56">
            <v>-100</v>
          </cell>
          <cell r="Q56" t="str">
            <v>报废</v>
          </cell>
        </row>
        <row r="57">
          <cell r="B57" t="str">
            <v>001-0011699</v>
          </cell>
          <cell r="C57" t="str">
            <v>打印机</v>
          </cell>
          <cell r="D57" t="str">
            <v>HP6L</v>
          </cell>
          <cell r="F57" t="str">
            <v>台</v>
          </cell>
          <cell r="I57">
            <v>3250</v>
          </cell>
          <cell r="J57">
            <v>2742.2</v>
          </cell>
          <cell r="K57">
            <v>3250</v>
          </cell>
          <cell r="L57">
            <v>2742.2</v>
          </cell>
          <cell r="M57">
            <v>3200</v>
          </cell>
          <cell r="N57">
            <v>80</v>
          </cell>
          <cell r="O57">
            <v>2560</v>
          </cell>
          <cell r="P57">
            <v>-6.6443001969221731</v>
          </cell>
          <cell r="Q57" t="str">
            <v>厂办</v>
          </cell>
        </row>
        <row r="58">
          <cell r="B58" t="str">
            <v>001-0011759</v>
          </cell>
          <cell r="C58" t="str">
            <v>计算机</v>
          </cell>
          <cell r="D58" t="str">
            <v>HPLL2229A</v>
          </cell>
          <cell r="F58" t="str">
            <v>台</v>
          </cell>
          <cell r="G58">
            <v>2001</v>
          </cell>
          <cell r="H58">
            <v>2001</v>
          </cell>
          <cell r="I58">
            <v>9500</v>
          </cell>
          <cell r="J58">
            <v>8312.49</v>
          </cell>
          <cell r="K58">
            <v>9500</v>
          </cell>
          <cell r="L58">
            <v>8312.49</v>
          </cell>
          <cell r="M58">
            <v>9000</v>
          </cell>
          <cell r="N58">
            <v>85</v>
          </cell>
          <cell r="O58">
            <v>7650</v>
          </cell>
          <cell r="P58">
            <v>-7.9698140990244779</v>
          </cell>
          <cell r="Q58" t="str">
            <v>厂办</v>
          </cell>
        </row>
        <row r="59">
          <cell r="B59" t="str">
            <v>001-0011760</v>
          </cell>
          <cell r="C59" t="str">
            <v>计算机</v>
          </cell>
          <cell r="D59" t="str">
            <v>HPLL2229A</v>
          </cell>
          <cell r="F59" t="str">
            <v>台</v>
          </cell>
          <cell r="G59">
            <v>2001</v>
          </cell>
          <cell r="H59">
            <v>2001</v>
          </cell>
          <cell r="I59">
            <v>9500</v>
          </cell>
          <cell r="J59">
            <v>8312.49</v>
          </cell>
          <cell r="K59">
            <v>9500</v>
          </cell>
          <cell r="L59">
            <v>8312.49</v>
          </cell>
          <cell r="M59">
            <v>9000</v>
          </cell>
          <cell r="N59">
            <v>85</v>
          </cell>
          <cell r="O59">
            <v>7650</v>
          </cell>
          <cell r="P59">
            <v>-7.9698140990244779</v>
          </cell>
          <cell r="Q59" t="str">
            <v>厂办</v>
          </cell>
        </row>
        <row r="60">
          <cell r="B60" t="str">
            <v>001-0011761</v>
          </cell>
          <cell r="C60" t="str">
            <v>计算机</v>
          </cell>
          <cell r="D60" t="str">
            <v>HPLL2229A</v>
          </cell>
          <cell r="F60" t="str">
            <v>台</v>
          </cell>
          <cell r="G60">
            <v>2001</v>
          </cell>
          <cell r="H60">
            <v>2001</v>
          </cell>
          <cell r="I60">
            <v>9500</v>
          </cell>
          <cell r="J60">
            <v>8312.49</v>
          </cell>
          <cell r="K60">
            <v>9500</v>
          </cell>
          <cell r="L60">
            <v>8312.49</v>
          </cell>
          <cell r="M60">
            <v>9000</v>
          </cell>
          <cell r="N60">
            <v>85</v>
          </cell>
          <cell r="O60">
            <v>7650</v>
          </cell>
          <cell r="P60">
            <v>-7.9698140990244779</v>
          </cell>
          <cell r="Q60" t="str">
            <v>厂办</v>
          </cell>
        </row>
        <row r="61">
          <cell r="B61" t="str">
            <v>001-0011762</v>
          </cell>
          <cell r="C61" t="str">
            <v>计算机</v>
          </cell>
          <cell r="D61" t="str">
            <v>HPVL2229A</v>
          </cell>
          <cell r="F61" t="str">
            <v>台</v>
          </cell>
          <cell r="G61">
            <v>2001</v>
          </cell>
          <cell r="H61">
            <v>2001</v>
          </cell>
          <cell r="I61">
            <v>9500</v>
          </cell>
          <cell r="J61">
            <v>8312.49</v>
          </cell>
          <cell r="K61">
            <v>9500</v>
          </cell>
          <cell r="L61">
            <v>8312.49</v>
          </cell>
          <cell r="M61">
            <v>9000</v>
          </cell>
          <cell r="N61">
            <v>85</v>
          </cell>
          <cell r="O61">
            <v>7650</v>
          </cell>
          <cell r="P61">
            <v>-7.9698140990244779</v>
          </cell>
          <cell r="Q61" t="str">
            <v>厂办</v>
          </cell>
        </row>
        <row r="62">
          <cell r="B62" t="str">
            <v>001-0011770</v>
          </cell>
          <cell r="C62" t="str">
            <v>计算机</v>
          </cell>
          <cell r="D62" t="str">
            <v>HPVL2229A</v>
          </cell>
          <cell r="F62" t="str">
            <v>台</v>
          </cell>
          <cell r="G62">
            <v>2001</v>
          </cell>
          <cell r="H62">
            <v>2001</v>
          </cell>
          <cell r="I62">
            <v>9500</v>
          </cell>
          <cell r="J62">
            <v>8312.49</v>
          </cell>
          <cell r="K62">
            <v>9500</v>
          </cell>
          <cell r="L62">
            <v>8312.49</v>
          </cell>
          <cell r="M62">
            <v>9000</v>
          </cell>
          <cell r="N62">
            <v>85</v>
          </cell>
          <cell r="O62">
            <v>7650</v>
          </cell>
          <cell r="P62">
            <v>-7.9698140990244779</v>
          </cell>
          <cell r="Q62" t="str">
            <v>厂办</v>
          </cell>
        </row>
        <row r="63">
          <cell r="B63" t="str">
            <v>001-0017824</v>
          </cell>
          <cell r="C63" t="str">
            <v>打印机</v>
          </cell>
          <cell r="D63" t="str">
            <v>HP6L</v>
          </cell>
          <cell r="F63" t="str">
            <v>台</v>
          </cell>
          <cell r="I63">
            <v>6400</v>
          </cell>
          <cell r="J63">
            <v>5973.34</v>
          </cell>
          <cell r="K63">
            <v>6400</v>
          </cell>
          <cell r="L63">
            <v>5973.34</v>
          </cell>
          <cell r="M63">
            <v>6400</v>
          </cell>
          <cell r="N63">
            <v>90</v>
          </cell>
          <cell r="O63">
            <v>5760</v>
          </cell>
          <cell r="P63">
            <v>-3.5715361924819304</v>
          </cell>
          <cell r="Q63" t="str">
            <v>厂办</v>
          </cell>
        </row>
        <row r="64">
          <cell r="B64" t="str">
            <v>001-0017825</v>
          </cell>
          <cell r="C64" t="str">
            <v>计算机</v>
          </cell>
          <cell r="D64" t="str">
            <v>IBM</v>
          </cell>
          <cell r="F64" t="str">
            <v>台</v>
          </cell>
          <cell r="I64">
            <v>23300</v>
          </cell>
          <cell r="J64">
            <v>21746.66</v>
          </cell>
          <cell r="K64">
            <v>23300</v>
          </cell>
          <cell r="L64">
            <v>21746.66</v>
          </cell>
          <cell r="M64">
            <v>21000</v>
          </cell>
          <cell r="N64">
            <v>90</v>
          </cell>
          <cell r="O64">
            <v>18900</v>
          </cell>
          <cell r="P64">
            <v>-13.090102112232408</v>
          </cell>
          <cell r="Q64" t="str">
            <v>厂办</v>
          </cell>
        </row>
        <row r="65">
          <cell r="B65" t="str">
            <v>001-0017833</v>
          </cell>
          <cell r="C65" t="str">
            <v>打印机</v>
          </cell>
          <cell r="D65" t="str">
            <v>HP61</v>
          </cell>
          <cell r="F65" t="str">
            <v>台</v>
          </cell>
          <cell r="I65">
            <v>2817</v>
          </cell>
          <cell r="J65">
            <v>2494.23</v>
          </cell>
          <cell r="K65">
            <v>2817</v>
          </cell>
          <cell r="L65">
            <v>2494.23</v>
          </cell>
          <cell r="M65">
            <v>3200</v>
          </cell>
          <cell r="N65">
            <v>80</v>
          </cell>
          <cell r="O65">
            <v>2560</v>
          </cell>
          <cell r="P65">
            <v>2.6368859327327465</v>
          </cell>
          <cell r="Q65" t="str">
            <v>厂办</v>
          </cell>
        </row>
        <row r="66">
          <cell r="B66" t="str">
            <v>001-0018083</v>
          </cell>
          <cell r="C66" t="str">
            <v>打印机</v>
          </cell>
          <cell r="D66" t="str">
            <v>EPSON 5800</v>
          </cell>
          <cell r="F66" t="str">
            <v>台</v>
          </cell>
          <cell r="I66">
            <v>3000</v>
          </cell>
          <cell r="J66">
            <v>2850</v>
          </cell>
          <cell r="K66">
            <v>3000</v>
          </cell>
          <cell r="L66">
            <v>2850</v>
          </cell>
          <cell r="M66">
            <v>3000</v>
          </cell>
          <cell r="N66">
            <v>90</v>
          </cell>
          <cell r="O66">
            <v>2700</v>
          </cell>
          <cell r="P66">
            <v>-5.2631578947368416</v>
          </cell>
          <cell r="Q66" t="str">
            <v>厂办</v>
          </cell>
        </row>
        <row r="67">
          <cell r="B67" t="str">
            <v>001-0018084</v>
          </cell>
          <cell r="C67" t="str">
            <v>计算机</v>
          </cell>
          <cell r="D67" t="str">
            <v>IBMA602</v>
          </cell>
          <cell r="F67" t="str">
            <v>台</v>
          </cell>
          <cell r="G67">
            <v>2001</v>
          </cell>
          <cell r="H67">
            <v>2001</v>
          </cell>
          <cell r="I67">
            <v>13000</v>
          </cell>
          <cell r="J67">
            <v>12350.01</v>
          </cell>
          <cell r="K67">
            <v>13000</v>
          </cell>
          <cell r="L67">
            <v>12350.01</v>
          </cell>
          <cell r="M67">
            <v>13000</v>
          </cell>
          <cell r="N67">
            <v>90</v>
          </cell>
          <cell r="O67">
            <v>11700</v>
          </cell>
          <cell r="P67">
            <v>-5.2632346046683383</v>
          </cell>
          <cell r="Q67" t="str">
            <v>厂办</v>
          </cell>
        </row>
        <row r="68">
          <cell r="B68" t="str">
            <v>001-0018503</v>
          </cell>
          <cell r="C68" t="str">
            <v>计算机</v>
          </cell>
          <cell r="D68" t="str">
            <v>6210EC笔记本电脑</v>
          </cell>
          <cell r="F68" t="str">
            <v>台</v>
          </cell>
          <cell r="G68">
            <v>2000</v>
          </cell>
          <cell r="H68">
            <v>2000</v>
          </cell>
          <cell r="I68">
            <v>11880</v>
          </cell>
          <cell r="J68">
            <v>11385</v>
          </cell>
          <cell r="K68">
            <v>11880</v>
          </cell>
          <cell r="L68">
            <v>11385</v>
          </cell>
          <cell r="M68">
            <v>11000</v>
          </cell>
          <cell r="N68">
            <v>90</v>
          </cell>
          <cell r="O68">
            <v>9900</v>
          </cell>
          <cell r="P68">
            <v>-13.043478260869565</v>
          </cell>
          <cell r="Q68" t="str">
            <v>厂办</v>
          </cell>
        </row>
        <row r="69">
          <cell r="B69" t="str">
            <v>001-0018504</v>
          </cell>
          <cell r="C69" t="str">
            <v>计算机</v>
          </cell>
          <cell r="D69" t="str">
            <v>6210EC笔记本电脑</v>
          </cell>
          <cell r="F69" t="str">
            <v>台</v>
          </cell>
          <cell r="I69">
            <v>11880</v>
          </cell>
          <cell r="J69">
            <v>11385</v>
          </cell>
          <cell r="K69">
            <v>11880</v>
          </cell>
          <cell r="L69">
            <v>11385</v>
          </cell>
          <cell r="M69">
            <v>11000</v>
          </cell>
          <cell r="N69">
            <v>90</v>
          </cell>
          <cell r="O69">
            <v>9900</v>
          </cell>
          <cell r="P69">
            <v>-13.043478260869565</v>
          </cell>
          <cell r="Q69" t="str">
            <v>厂办</v>
          </cell>
        </row>
        <row r="70">
          <cell r="B70" t="str">
            <v>001-0019243</v>
          </cell>
          <cell r="C70" t="str">
            <v>传真机</v>
          </cell>
          <cell r="D70" t="str">
            <v>松下8310</v>
          </cell>
          <cell r="F70" t="str">
            <v>台</v>
          </cell>
          <cell r="G70">
            <v>2001</v>
          </cell>
          <cell r="H70">
            <v>2001</v>
          </cell>
          <cell r="I70">
            <v>7150</v>
          </cell>
          <cell r="J70">
            <v>7060.63</v>
          </cell>
          <cell r="K70">
            <v>7150</v>
          </cell>
          <cell r="L70">
            <v>7060.63</v>
          </cell>
          <cell r="M70">
            <v>7100</v>
          </cell>
          <cell r="N70">
            <v>90</v>
          </cell>
          <cell r="O70">
            <v>6390</v>
          </cell>
          <cell r="P70">
            <v>-9.4981609289822586</v>
          </cell>
          <cell r="Q70" t="str">
            <v>厂办</v>
          </cell>
        </row>
        <row r="71">
          <cell r="B71" t="str">
            <v>001-0019258</v>
          </cell>
          <cell r="C71" t="str">
            <v>计算机</v>
          </cell>
          <cell r="D71" t="str">
            <v>DELL</v>
          </cell>
          <cell r="F71" t="str">
            <v>台</v>
          </cell>
          <cell r="G71">
            <v>2001</v>
          </cell>
          <cell r="H71">
            <v>2001</v>
          </cell>
          <cell r="I71">
            <v>11337</v>
          </cell>
          <cell r="J71">
            <v>11053.56</v>
          </cell>
          <cell r="K71">
            <v>11337</v>
          </cell>
          <cell r="L71">
            <v>11053.56</v>
          </cell>
          <cell r="M71">
            <v>11300</v>
          </cell>
          <cell r="N71">
            <v>90</v>
          </cell>
          <cell r="O71">
            <v>10170</v>
          </cell>
          <cell r="P71">
            <v>-7.9934428365160137</v>
          </cell>
          <cell r="Q71" t="str">
            <v>厂办</v>
          </cell>
        </row>
        <row r="72">
          <cell r="B72" t="str">
            <v>001-0019259</v>
          </cell>
          <cell r="C72" t="str">
            <v>计算机</v>
          </cell>
          <cell r="D72" t="str">
            <v>DELL</v>
          </cell>
          <cell r="F72" t="str">
            <v>台</v>
          </cell>
          <cell r="G72">
            <v>2001</v>
          </cell>
          <cell r="H72">
            <v>2001</v>
          </cell>
          <cell r="I72">
            <v>11337</v>
          </cell>
          <cell r="J72">
            <v>11053.56</v>
          </cell>
          <cell r="K72">
            <v>11337</v>
          </cell>
          <cell r="L72">
            <v>11053.56</v>
          </cell>
          <cell r="M72">
            <v>11300</v>
          </cell>
          <cell r="N72">
            <v>90</v>
          </cell>
          <cell r="O72">
            <v>10170</v>
          </cell>
          <cell r="P72">
            <v>-7.9934428365160137</v>
          </cell>
          <cell r="Q72" t="str">
            <v>厂办</v>
          </cell>
        </row>
        <row r="73">
          <cell r="B73" t="str">
            <v>001-0019260</v>
          </cell>
          <cell r="C73" t="str">
            <v>计算机</v>
          </cell>
          <cell r="D73" t="str">
            <v>DELL</v>
          </cell>
          <cell r="F73" t="str">
            <v>台</v>
          </cell>
          <cell r="G73">
            <v>2001</v>
          </cell>
          <cell r="H73">
            <v>2001</v>
          </cell>
          <cell r="I73">
            <v>11337</v>
          </cell>
          <cell r="J73">
            <v>11053.56</v>
          </cell>
          <cell r="K73">
            <v>11337</v>
          </cell>
          <cell r="L73">
            <v>11053.56</v>
          </cell>
          <cell r="M73">
            <v>11300</v>
          </cell>
          <cell r="N73">
            <v>90</v>
          </cell>
          <cell r="O73">
            <v>10170</v>
          </cell>
          <cell r="P73">
            <v>-7.9934428365160137</v>
          </cell>
          <cell r="Q73" t="str">
            <v>厂办</v>
          </cell>
        </row>
        <row r="74">
          <cell r="B74" t="str">
            <v>001-0019261</v>
          </cell>
          <cell r="C74" t="str">
            <v>计算机</v>
          </cell>
          <cell r="D74" t="str">
            <v>DELL</v>
          </cell>
          <cell r="F74" t="str">
            <v>台</v>
          </cell>
          <cell r="G74">
            <v>2001</v>
          </cell>
          <cell r="H74">
            <v>2001</v>
          </cell>
          <cell r="I74">
            <v>11337</v>
          </cell>
          <cell r="J74">
            <v>11053.56</v>
          </cell>
          <cell r="K74">
            <v>11337</v>
          </cell>
          <cell r="L74">
            <v>11053.56</v>
          </cell>
          <cell r="M74">
            <v>11300</v>
          </cell>
          <cell r="N74">
            <v>90</v>
          </cell>
          <cell r="O74">
            <v>10170</v>
          </cell>
          <cell r="P74">
            <v>-7.9934428365160137</v>
          </cell>
          <cell r="Q74" t="str">
            <v>厂办</v>
          </cell>
        </row>
        <row r="75">
          <cell r="B75" t="str">
            <v>001-0019262</v>
          </cell>
          <cell r="C75" t="str">
            <v>计算机</v>
          </cell>
          <cell r="D75" t="str">
            <v>DELL</v>
          </cell>
          <cell r="F75" t="str">
            <v>台</v>
          </cell>
          <cell r="G75">
            <v>2001</v>
          </cell>
          <cell r="H75">
            <v>2001</v>
          </cell>
          <cell r="I75">
            <v>11337</v>
          </cell>
          <cell r="J75">
            <v>11053.56</v>
          </cell>
          <cell r="K75">
            <v>11337</v>
          </cell>
          <cell r="L75">
            <v>11053.56</v>
          </cell>
          <cell r="M75">
            <v>11300</v>
          </cell>
          <cell r="N75">
            <v>90</v>
          </cell>
          <cell r="O75">
            <v>10170</v>
          </cell>
          <cell r="P75">
            <v>-7.9934428365160137</v>
          </cell>
          <cell r="Q75" t="str">
            <v>厂办</v>
          </cell>
        </row>
        <row r="76">
          <cell r="B76" t="str">
            <v>001-0019263</v>
          </cell>
          <cell r="C76" t="str">
            <v>计算机</v>
          </cell>
          <cell r="D76" t="str">
            <v>DELL</v>
          </cell>
          <cell r="F76" t="str">
            <v>台</v>
          </cell>
          <cell r="G76">
            <v>2001</v>
          </cell>
          <cell r="H76">
            <v>2001</v>
          </cell>
          <cell r="I76">
            <v>11337</v>
          </cell>
          <cell r="J76">
            <v>11053.56</v>
          </cell>
          <cell r="K76">
            <v>11337</v>
          </cell>
          <cell r="L76">
            <v>11053.56</v>
          </cell>
          <cell r="M76">
            <v>11300</v>
          </cell>
          <cell r="N76">
            <v>90</v>
          </cell>
          <cell r="O76">
            <v>10170</v>
          </cell>
          <cell r="P76">
            <v>-7.9934428365160137</v>
          </cell>
          <cell r="Q76" t="str">
            <v>厂办</v>
          </cell>
        </row>
        <row r="77">
          <cell r="B77" t="str">
            <v>001-0019264</v>
          </cell>
          <cell r="C77" t="str">
            <v>计算机</v>
          </cell>
          <cell r="D77" t="str">
            <v>DELL</v>
          </cell>
          <cell r="F77" t="str">
            <v>台</v>
          </cell>
          <cell r="G77">
            <v>2001</v>
          </cell>
          <cell r="H77">
            <v>2001</v>
          </cell>
          <cell r="I77">
            <v>11337</v>
          </cell>
          <cell r="J77">
            <v>11053.56</v>
          </cell>
          <cell r="K77">
            <v>11337</v>
          </cell>
          <cell r="L77">
            <v>11053.56</v>
          </cell>
          <cell r="M77">
            <v>11300</v>
          </cell>
          <cell r="N77">
            <v>90</v>
          </cell>
          <cell r="O77">
            <v>10170</v>
          </cell>
          <cell r="P77">
            <v>-7.9934428365160137</v>
          </cell>
          <cell r="Q77" t="str">
            <v>厂办</v>
          </cell>
        </row>
        <row r="78">
          <cell r="B78" t="str">
            <v>001-0019962</v>
          </cell>
          <cell r="C78" t="str">
            <v>传真机</v>
          </cell>
          <cell r="D78" t="str">
            <v>夏普F0-1460</v>
          </cell>
          <cell r="F78" t="str">
            <v>台</v>
          </cell>
          <cell r="G78">
            <v>2001</v>
          </cell>
          <cell r="H78">
            <v>2001</v>
          </cell>
          <cell r="I78">
            <v>2400</v>
          </cell>
          <cell r="J78">
            <v>2380</v>
          </cell>
          <cell r="K78">
            <v>2400</v>
          </cell>
          <cell r="L78">
            <v>2380</v>
          </cell>
          <cell r="M78">
            <v>2400</v>
          </cell>
          <cell r="N78">
            <v>90</v>
          </cell>
          <cell r="O78">
            <v>2160</v>
          </cell>
          <cell r="P78">
            <v>-9.2436974789915975</v>
          </cell>
          <cell r="Q78" t="str">
            <v>厂办</v>
          </cell>
        </row>
        <row r="79">
          <cell r="B79" t="str">
            <v>001-0020055</v>
          </cell>
          <cell r="C79" t="str">
            <v>变焦镜头</v>
          </cell>
          <cell r="D79" t="str">
            <v>佳能 28-105mm</v>
          </cell>
          <cell r="F79" t="str">
            <v>台</v>
          </cell>
          <cell r="G79">
            <v>2001</v>
          </cell>
          <cell r="H79">
            <v>2001</v>
          </cell>
          <cell r="I79">
            <v>1780</v>
          </cell>
          <cell r="J79">
            <v>1780</v>
          </cell>
          <cell r="K79">
            <v>1780</v>
          </cell>
          <cell r="L79">
            <v>1780</v>
          </cell>
          <cell r="M79">
            <v>1780</v>
          </cell>
          <cell r="N79">
            <v>90</v>
          </cell>
          <cell r="O79">
            <v>1602</v>
          </cell>
          <cell r="P79">
            <v>-10</v>
          </cell>
          <cell r="Q79" t="str">
            <v>厂办</v>
          </cell>
        </row>
        <row r="80">
          <cell r="B80" t="str">
            <v>001-0020769</v>
          </cell>
          <cell r="C80" t="str">
            <v>打印机</v>
          </cell>
          <cell r="D80" t="str">
            <v>HP  6L</v>
          </cell>
          <cell r="F80" t="str">
            <v>台</v>
          </cell>
          <cell r="G80">
            <v>99</v>
          </cell>
          <cell r="H80">
            <v>99</v>
          </cell>
          <cell r="I80">
            <v>3090</v>
          </cell>
          <cell r="J80">
            <v>2961.24</v>
          </cell>
          <cell r="K80">
            <v>3090</v>
          </cell>
          <cell r="L80">
            <v>2961.24</v>
          </cell>
          <cell r="M80">
            <v>3200</v>
          </cell>
          <cell r="N80">
            <v>60</v>
          </cell>
          <cell r="O80">
            <v>1920</v>
          </cell>
          <cell r="P80">
            <v>-35.162296875633174</v>
          </cell>
          <cell r="Q80" t="str">
            <v>厂办</v>
          </cell>
        </row>
        <row r="81">
          <cell r="B81" t="str">
            <v>001-0020770</v>
          </cell>
          <cell r="C81" t="str">
            <v>打印机</v>
          </cell>
          <cell r="D81" t="str">
            <v>HP  6L</v>
          </cell>
          <cell r="F81" t="str">
            <v>台</v>
          </cell>
          <cell r="G81">
            <v>99</v>
          </cell>
          <cell r="H81">
            <v>99</v>
          </cell>
          <cell r="I81">
            <v>3090</v>
          </cell>
          <cell r="J81">
            <v>2961.24</v>
          </cell>
          <cell r="K81">
            <v>3090</v>
          </cell>
          <cell r="L81">
            <v>2961.24</v>
          </cell>
          <cell r="M81">
            <v>3200</v>
          </cell>
          <cell r="N81">
            <v>60</v>
          </cell>
          <cell r="O81">
            <v>1920</v>
          </cell>
          <cell r="P81">
            <v>-35.162296875633174</v>
          </cell>
          <cell r="Q81" t="str">
            <v>厂办</v>
          </cell>
        </row>
        <row r="82">
          <cell r="B82" t="str">
            <v>001-0020771</v>
          </cell>
          <cell r="C82" t="str">
            <v>打印机</v>
          </cell>
          <cell r="D82" t="str">
            <v>HP  6L</v>
          </cell>
          <cell r="F82" t="str">
            <v>台</v>
          </cell>
          <cell r="G82">
            <v>99</v>
          </cell>
          <cell r="H82">
            <v>99</v>
          </cell>
          <cell r="I82">
            <v>3090</v>
          </cell>
          <cell r="J82">
            <v>2961.24</v>
          </cell>
          <cell r="K82">
            <v>3090</v>
          </cell>
          <cell r="L82">
            <v>2961.24</v>
          </cell>
          <cell r="M82">
            <v>3200</v>
          </cell>
          <cell r="N82">
            <v>60</v>
          </cell>
          <cell r="O82">
            <v>1920</v>
          </cell>
          <cell r="P82">
            <v>-35.162296875633174</v>
          </cell>
          <cell r="Q82" t="str">
            <v>厂办</v>
          </cell>
        </row>
        <row r="83">
          <cell r="B83" t="str">
            <v>001-0020793</v>
          </cell>
          <cell r="C83" t="str">
            <v>扫描仪</v>
          </cell>
          <cell r="D83" t="str">
            <v/>
          </cell>
          <cell r="F83" t="str">
            <v>台</v>
          </cell>
          <cell r="G83">
            <v>2001</v>
          </cell>
          <cell r="H83">
            <v>2001</v>
          </cell>
          <cell r="I83">
            <v>4500</v>
          </cell>
          <cell r="J83">
            <v>4500</v>
          </cell>
          <cell r="K83">
            <v>4500</v>
          </cell>
          <cell r="L83">
            <v>4500</v>
          </cell>
          <cell r="M83">
            <v>4100</v>
          </cell>
          <cell r="N83">
            <v>90</v>
          </cell>
          <cell r="O83">
            <v>3690</v>
          </cell>
          <cell r="P83">
            <v>-18</v>
          </cell>
          <cell r="Q83" t="str">
            <v>厂办</v>
          </cell>
        </row>
        <row r="84">
          <cell r="B84" t="str">
            <v>001-0005558</v>
          </cell>
          <cell r="C84" t="str">
            <v>打印机</v>
          </cell>
          <cell r="D84" t="str">
            <v>激光 HPLJ4</v>
          </cell>
          <cell r="F84" t="str">
            <v>台</v>
          </cell>
          <cell r="I84">
            <v>18800</v>
          </cell>
          <cell r="J84">
            <v>3759.99</v>
          </cell>
          <cell r="K84">
            <v>18800</v>
          </cell>
          <cell r="L84">
            <v>3759.99</v>
          </cell>
          <cell r="M84">
            <v>6500</v>
          </cell>
          <cell r="N84">
            <v>30</v>
          </cell>
          <cell r="O84">
            <v>1950</v>
          </cell>
          <cell r="P84">
            <v>-48.138159941914736</v>
          </cell>
          <cell r="Q84" t="str">
            <v>船闸管理局</v>
          </cell>
        </row>
        <row r="85">
          <cell r="B85" t="str">
            <v>001-0005860</v>
          </cell>
          <cell r="C85" t="str">
            <v>电脑加油机</v>
          </cell>
          <cell r="D85" t="str">
            <v>JYDX-2A</v>
          </cell>
          <cell r="F85" t="str">
            <v>台</v>
          </cell>
          <cell r="I85">
            <v>15000</v>
          </cell>
          <cell r="J85">
            <v>5732.86</v>
          </cell>
          <cell r="K85">
            <v>15000</v>
          </cell>
          <cell r="L85">
            <v>5732.86</v>
          </cell>
          <cell r="M85">
            <v>14000</v>
          </cell>
          <cell r="N85">
            <v>30</v>
          </cell>
          <cell r="O85">
            <v>4200</v>
          </cell>
          <cell r="P85">
            <v>-26.738137683459911</v>
          </cell>
          <cell r="Q85" t="str">
            <v>船闸管理局</v>
          </cell>
        </row>
        <row r="86">
          <cell r="B86" t="str">
            <v>001-0005872</v>
          </cell>
          <cell r="C86" t="str">
            <v>电热开水器</v>
          </cell>
          <cell r="D86" t="str">
            <v/>
          </cell>
          <cell r="F86" t="str">
            <v>台</v>
          </cell>
          <cell r="I86">
            <v>2400</v>
          </cell>
          <cell r="J86">
            <v>1143.3599999999999</v>
          </cell>
          <cell r="K86">
            <v>2400</v>
          </cell>
          <cell r="L86">
            <v>1143.3599999999999</v>
          </cell>
          <cell r="M86">
            <v>2200</v>
          </cell>
          <cell r="N86">
            <v>40</v>
          </cell>
          <cell r="O86">
            <v>880</v>
          </cell>
          <cell r="P86">
            <v>-23.033865099356277</v>
          </cell>
          <cell r="Q86" t="str">
            <v>船闸管理局</v>
          </cell>
        </row>
        <row r="87">
          <cell r="B87" t="str">
            <v>001-0005873</v>
          </cell>
          <cell r="C87" t="str">
            <v>十功能健身器</v>
          </cell>
          <cell r="D87" t="str">
            <v/>
          </cell>
          <cell r="F87" t="str">
            <v>台</v>
          </cell>
          <cell r="I87">
            <v>8800</v>
          </cell>
          <cell r="J87">
            <v>4192.32</v>
          </cell>
          <cell r="K87">
            <v>8800</v>
          </cell>
          <cell r="L87">
            <v>4192.32</v>
          </cell>
          <cell r="M87">
            <v>5600</v>
          </cell>
          <cell r="N87">
            <v>40</v>
          </cell>
          <cell r="O87">
            <v>2240</v>
          </cell>
          <cell r="P87">
            <v>-46.568964201206008</v>
          </cell>
          <cell r="Q87" t="str">
            <v>船闸管理局</v>
          </cell>
        </row>
        <row r="88">
          <cell r="B88" t="str">
            <v>001-0005931</v>
          </cell>
          <cell r="C88" t="str">
            <v>扩音设备</v>
          </cell>
          <cell r="D88" t="str">
            <v/>
          </cell>
          <cell r="F88" t="str">
            <v>台</v>
          </cell>
          <cell r="I88">
            <v>2503</v>
          </cell>
          <cell r="J88">
            <v>1207.33</v>
          </cell>
          <cell r="K88">
            <v>2503</v>
          </cell>
          <cell r="L88">
            <v>1207.33</v>
          </cell>
          <cell r="M88">
            <v>2300</v>
          </cell>
          <cell r="N88">
            <v>40</v>
          </cell>
          <cell r="O88">
            <v>920</v>
          </cell>
          <cell r="P88">
            <v>-23.79879568966231</v>
          </cell>
          <cell r="Q88" t="str">
            <v>船闸管理局</v>
          </cell>
        </row>
        <row r="89">
          <cell r="B89" t="str">
            <v>001-0005944</v>
          </cell>
          <cell r="C89" t="str">
            <v>卷扬机</v>
          </cell>
          <cell r="D89" t="str">
            <v/>
          </cell>
          <cell r="F89" t="str">
            <v>台</v>
          </cell>
          <cell r="I89">
            <v>6786</v>
          </cell>
          <cell r="J89">
            <v>3376.54</v>
          </cell>
          <cell r="K89">
            <v>6786</v>
          </cell>
          <cell r="L89">
            <v>3376.54</v>
          </cell>
          <cell r="M89">
            <v>6500</v>
          </cell>
          <cell r="N89">
            <v>50</v>
          </cell>
          <cell r="O89">
            <v>3250</v>
          </cell>
          <cell r="P89">
            <v>-3.7476233066985722</v>
          </cell>
          <cell r="Q89" t="str">
            <v>船闸管理局</v>
          </cell>
        </row>
        <row r="90">
          <cell r="B90" t="str">
            <v>001-0005956</v>
          </cell>
          <cell r="C90" t="str">
            <v>可编程控制器</v>
          </cell>
          <cell r="D90" t="str">
            <v>含麦道软件</v>
          </cell>
          <cell r="F90" t="str">
            <v>台</v>
          </cell>
          <cell r="I90">
            <v>35000</v>
          </cell>
          <cell r="J90">
            <v>7291.66</v>
          </cell>
          <cell r="K90">
            <v>35000</v>
          </cell>
          <cell r="L90">
            <v>7291.66</v>
          </cell>
          <cell r="M90">
            <v>25000</v>
          </cell>
          <cell r="N90">
            <v>20</v>
          </cell>
          <cell r="O90">
            <v>5000</v>
          </cell>
          <cell r="P90">
            <v>-31.428508734636555</v>
          </cell>
          <cell r="Q90" t="str">
            <v>船闸管理局</v>
          </cell>
        </row>
        <row r="91">
          <cell r="B91" t="str">
            <v>001-0006102</v>
          </cell>
          <cell r="C91" t="str">
            <v>开水器</v>
          </cell>
          <cell r="D91" t="str">
            <v/>
          </cell>
          <cell r="F91" t="str">
            <v>台</v>
          </cell>
          <cell r="I91">
            <v>3000</v>
          </cell>
          <cell r="J91">
            <v>1339.95</v>
          </cell>
          <cell r="K91">
            <v>3000</v>
          </cell>
          <cell r="L91">
            <v>1339.95</v>
          </cell>
          <cell r="M91">
            <v>2500</v>
          </cell>
          <cell r="N91">
            <v>40</v>
          </cell>
          <cell r="O91">
            <v>1000</v>
          </cell>
          <cell r="P91">
            <v>-25.370349639911936</v>
          </cell>
          <cell r="Q91" t="str">
            <v>船闸管理局</v>
          </cell>
        </row>
        <row r="92">
          <cell r="B92" t="str">
            <v>001-0006103</v>
          </cell>
          <cell r="C92" t="str">
            <v>开水器</v>
          </cell>
          <cell r="D92" t="str">
            <v/>
          </cell>
          <cell r="F92" t="str">
            <v>台</v>
          </cell>
          <cell r="I92">
            <v>3000</v>
          </cell>
          <cell r="J92">
            <v>1339.95</v>
          </cell>
          <cell r="K92">
            <v>3000</v>
          </cell>
          <cell r="L92">
            <v>1339.95</v>
          </cell>
          <cell r="M92">
            <v>2500</v>
          </cell>
          <cell r="N92">
            <v>40</v>
          </cell>
          <cell r="O92">
            <v>1000</v>
          </cell>
          <cell r="P92">
            <v>-25.370349639911936</v>
          </cell>
          <cell r="Q92" t="str">
            <v>船闸管理局</v>
          </cell>
        </row>
        <row r="93">
          <cell r="B93" t="str">
            <v>001-0006146</v>
          </cell>
          <cell r="C93" t="str">
            <v>打印机</v>
          </cell>
          <cell r="D93" t="str">
            <v>激光HP-IV</v>
          </cell>
          <cell r="F93" t="str">
            <v>台</v>
          </cell>
          <cell r="I93">
            <v>19895.669999999998</v>
          </cell>
          <cell r="J93">
            <v>4476.51</v>
          </cell>
          <cell r="K93">
            <v>19895.669999999998</v>
          </cell>
          <cell r="L93">
            <v>4476.51</v>
          </cell>
          <cell r="M93">
            <v>6500</v>
          </cell>
          <cell r="N93">
            <v>30</v>
          </cell>
          <cell r="O93">
            <v>1950</v>
          </cell>
          <cell r="P93">
            <v>-56.439279706735832</v>
          </cell>
          <cell r="Q93" t="str">
            <v>船闸管理局</v>
          </cell>
        </row>
        <row r="94">
          <cell r="B94" t="str">
            <v>001-0006237</v>
          </cell>
          <cell r="C94" t="str">
            <v>空调</v>
          </cell>
          <cell r="D94" t="str">
            <v>日立RAS-5HQ1C</v>
          </cell>
          <cell r="F94" t="str">
            <v>台</v>
          </cell>
          <cell r="I94">
            <v>33018.5</v>
          </cell>
          <cell r="J94">
            <v>15140.63</v>
          </cell>
          <cell r="K94">
            <v>33018.5</v>
          </cell>
          <cell r="L94">
            <v>15140.63</v>
          </cell>
          <cell r="M94">
            <v>15000</v>
          </cell>
          <cell r="N94">
            <v>40</v>
          </cell>
          <cell r="O94">
            <v>6000</v>
          </cell>
          <cell r="P94">
            <v>-60.371530114664971</v>
          </cell>
          <cell r="Q94" t="str">
            <v>船闸管理局</v>
          </cell>
        </row>
        <row r="95">
          <cell r="B95" t="str">
            <v>001-0006238</v>
          </cell>
          <cell r="C95" t="str">
            <v>空调</v>
          </cell>
          <cell r="D95" t="str">
            <v>日立RAS-5HQ1C</v>
          </cell>
          <cell r="F95" t="str">
            <v>台</v>
          </cell>
          <cell r="I95">
            <v>33018.5</v>
          </cell>
          <cell r="J95">
            <v>15140.63</v>
          </cell>
          <cell r="K95">
            <v>33018.5</v>
          </cell>
          <cell r="L95">
            <v>15140.63</v>
          </cell>
          <cell r="M95">
            <v>15000</v>
          </cell>
          <cell r="N95">
            <v>40</v>
          </cell>
          <cell r="O95">
            <v>6000</v>
          </cell>
          <cell r="P95">
            <v>-60.371530114664971</v>
          </cell>
          <cell r="Q95" t="str">
            <v>船闸管理局</v>
          </cell>
        </row>
        <row r="96">
          <cell r="B96" t="str">
            <v>001-0006254</v>
          </cell>
          <cell r="C96" t="str">
            <v>空调</v>
          </cell>
          <cell r="D96" t="str">
            <v>华宝1.5匹</v>
          </cell>
          <cell r="F96" t="str">
            <v>台</v>
          </cell>
          <cell r="I96">
            <v>6500</v>
          </cell>
          <cell r="J96">
            <v>2980.56</v>
          </cell>
          <cell r="K96">
            <v>6500</v>
          </cell>
          <cell r="L96">
            <v>2980.56</v>
          </cell>
          <cell r="M96">
            <v>3000</v>
          </cell>
          <cell r="N96">
            <v>15</v>
          </cell>
          <cell r="O96">
            <v>450</v>
          </cell>
          <cell r="P96">
            <v>-84.902166035912714</v>
          </cell>
          <cell r="Q96" t="str">
            <v>船闸管理局</v>
          </cell>
        </row>
        <row r="97">
          <cell r="B97" t="str">
            <v>001-0006289</v>
          </cell>
          <cell r="C97" t="str">
            <v>无线中转台</v>
          </cell>
          <cell r="D97" t="str">
            <v>KG11030W</v>
          </cell>
          <cell r="F97" t="str">
            <v>台</v>
          </cell>
          <cell r="I97">
            <v>36000</v>
          </cell>
          <cell r="J97">
            <v>22350</v>
          </cell>
          <cell r="K97">
            <v>36000</v>
          </cell>
          <cell r="L97">
            <v>22350</v>
          </cell>
          <cell r="M97">
            <v>32000</v>
          </cell>
          <cell r="N97">
            <v>60</v>
          </cell>
          <cell r="O97">
            <v>19200</v>
          </cell>
          <cell r="P97">
            <v>-14.093959731543624</v>
          </cell>
          <cell r="Q97" t="str">
            <v>船闸管理局</v>
          </cell>
        </row>
        <row r="98">
          <cell r="B98" t="str">
            <v>001-0006290</v>
          </cell>
          <cell r="C98" t="str">
            <v>无线电综合测试仪</v>
          </cell>
          <cell r="D98" t="str">
            <v>2955B</v>
          </cell>
          <cell r="F98" t="str">
            <v>台</v>
          </cell>
          <cell r="I98">
            <v>123973.96</v>
          </cell>
          <cell r="J98">
            <v>45660.63</v>
          </cell>
          <cell r="K98">
            <v>123973.96</v>
          </cell>
          <cell r="L98">
            <v>45660.63</v>
          </cell>
          <cell r="M98">
            <v>110000</v>
          </cell>
          <cell r="N98">
            <v>40</v>
          </cell>
          <cell r="O98">
            <v>44000</v>
          </cell>
          <cell r="P98">
            <v>-3.6368968189882565</v>
          </cell>
          <cell r="Q98" t="str">
            <v>船闸管理局</v>
          </cell>
        </row>
        <row r="99">
          <cell r="B99" t="str">
            <v>001-0006291</v>
          </cell>
          <cell r="C99" t="str">
            <v>无线电话</v>
          </cell>
          <cell r="D99" t="str">
            <v>RAY-80</v>
          </cell>
          <cell r="F99" t="str">
            <v>台</v>
          </cell>
          <cell r="I99">
            <v>3000</v>
          </cell>
          <cell r="J99">
            <v>1862.5</v>
          </cell>
          <cell r="K99">
            <v>3000</v>
          </cell>
          <cell r="L99">
            <v>1862.5</v>
          </cell>
          <cell r="M99">
            <v>2500</v>
          </cell>
          <cell r="N99">
            <v>50</v>
          </cell>
          <cell r="O99">
            <v>1250</v>
          </cell>
          <cell r="P99">
            <v>-32.885906040268459</v>
          </cell>
          <cell r="Q99" t="str">
            <v>船闸管理局</v>
          </cell>
        </row>
        <row r="100">
          <cell r="B100" t="str">
            <v>001-0006292</v>
          </cell>
          <cell r="C100" t="str">
            <v>无线电话</v>
          </cell>
          <cell r="D100" t="str">
            <v>RAY-80</v>
          </cell>
          <cell r="F100" t="str">
            <v>台</v>
          </cell>
          <cell r="I100">
            <v>3000</v>
          </cell>
          <cell r="J100">
            <v>1862.5</v>
          </cell>
          <cell r="K100">
            <v>3000</v>
          </cell>
          <cell r="L100">
            <v>1862.5</v>
          </cell>
          <cell r="M100">
            <v>2500</v>
          </cell>
          <cell r="N100">
            <v>50</v>
          </cell>
          <cell r="O100">
            <v>1250</v>
          </cell>
          <cell r="P100">
            <v>-32.885906040268459</v>
          </cell>
          <cell r="Q100" t="str">
            <v>船闸管理局</v>
          </cell>
        </row>
        <row r="101">
          <cell r="B101" t="str">
            <v>001-0006293</v>
          </cell>
          <cell r="C101" t="str">
            <v>955B</v>
          </cell>
          <cell r="D101" t="str">
            <v>PCL-848B</v>
          </cell>
          <cell r="F101" t="str">
            <v>台</v>
          </cell>
          <cell r="I101">
            <v>3670</v>
          </cell>
          <cell r="J101">
            <v>1351.68</v>
          </cell>
          <cell r="K101">
            <v>3670</v>
          </cell>
          <cell r="L101">
            <v>1351.68</v>
          </cell>
          <cell r="M101">
            <v>3200</v>
          </cell>
          <cell r="N101">
            <v>40</v>
          </cell>
          <cell r="O101">
            <v>1280</v>
          </cell>
          <cell r="P101">
            <v>-5.3030303030303072</v>
          </cell>
          <cell r="Q101" t="str">
            <v>船闸管理局</v>
          </cell>
        </row>
        <row r="102">
          <cell r="B102" t="str">
            <v>001-0006294</v>
          </cell>
          <cell r="C102" t="str">
            <v>空调</v>
          </cell>
          <cell r="D102" t="str">
            <v>三菱分离式MSH-12/17D</v>
          </cell>
          <cell r="F102" t="str">
            <v>台</v>
          </cell>
          <cell r="I102">
            <v>30600</v>
          </cell>
          <cell r="J102">
            <v>14031.63</v>
          </cell>
          <cell r="K102">
            <v>30600</v>
          </cell>
          <cell r="L102">
            <v>14031.63</v>
          </cell>
          <cell r="M102">
            <v>15000</v>
          </cell>
          <cell r="N102">
            <v>40</v>
          </cell>
          <cell r="O102">
            <v>6000</v>
          </cell>
          <cell r="P102">
            <v>-57.23946540779653</v>
          </cell>
          <cell r="Q102" t="str">
            <v>船闸管理局</v>
          </cell>
        </row>
        <row r="103">
          <cell r="B103" t="str">
            <v>001-0006361</v>
          </cell>
          <cell r="C103" t="str">
            <v>打印机</v>
          </cell>
          <cell r="D103" t="str">
            <v>24针</v>
          </cell>
          <cell r="F103" t="str">
            <v>台</v>
          </cell>
          <cell r="I103">
            <v>13056</v>
          </cell>
          <cell r="J103">
            <v>4808.6400000000003</v>
          </cell>
          <cell r="K103">
            <v>13056</v>
          </cell>
          <cell r="L103">
            <v>4808.6400000000003</v>
          </cell>
          <cell r="M103">
            <v>3200</v>
          </cell>
          <cell r="N103">
            <v>15</v>
          </cell>
          <cell r="O103">
            <v>480</v>
          </cell>
          <cell r="P103">
            <v>-90.017967658215213</v>
          </cell>
          <cell r="Q103" t="str">
            <v>船闸管理局</v>
          </cell>
        </row>
        <row r="104">
          <cell r="B104" t="str">
            <v>001-0006378</v>
          </cell>
          <cell r="C104" t="str">
            <v>空调</v>
          </cell>
          <cell r="D104" t="str">
            <v>三菱</v>
          </cell>
          <cell r="F104" t="str">
            <v>台</v>
          </cell>
          <cell r="I104">
            <v>11860</v>
          </cell>
          <cell r="J104">
            <v>5438.4</v>
          </cell>
          <cell r="K104">
            <v>11860</v>
          </cell>
          <cell r="L104">
            <v>5438.4</v>
          </cell>
          <cell r="M104">
            <v>8500</v>
          </cell>
          <cell r="N104">
            <v>30</v>
          </cell>
          <cell r="O104">
            <v>2550</v>
          </cell>
          <cell r="P104">
            <v>-53.111209179170338</v>
          </cell>
          <cell r="Q104" t="str">
            <v>船闸管理局</v>
          </cell>
        </row>
        <row r="105">
          <cell r="B105" t="str">
            <v>001-0006381</v>
          </cell>
          <cell r="C105" t="str">
            <v>空调</v>
          </cell>
          <cell r="D105" t="str">
            <v>华宝</v>
          </cell>
          <cell r="F105" t="str">
            <v>台</v>
          </cell>
          <cell r="I105">
            <v>7371</v>
          </cell>
          <cell r="J105">
            <v>3379.96</v>
          </cell>
          <cell r="K105">
            <v>7371</v>
          </cell>
          <cell r="L105">
            <v>3379.96</v>
          </cell>
          <cell r="M105">
            <v>5000</v>
          </cell>
          <cell r="N105">
            <v>30</v>
          </cell>
          <cell r="O105">
            <v>1500</v>
          </cell>
          <cell r="P105">
            <v>-55.620776577237599</v>
          </cell>
          <cell r="Q105" t="str">
            <v>船闸管理局</v>
          </cell>
        </row>
        <row r="106">
          <cell r="B106" t="str">
            <v>001-0006382</v>
          </cell>
          <cell r="C106" t="str">
            <v>空调</v>
          </cell>
          <cell r="D106" t="str">
            <v>华宝</v>
          </cell>
          <cell r="F106" t="str">
            <v>台</v>
          </cell>
          <cell r="I106">
            <v>7371</v>
          </cell>
          <cell r="J106">
            <v>3379.96</v>
          </cell>
          <cell r="K106">
            <v>7371</v>
          </cell>
          <cell r="L106">
            <v>3379.96</v>
          </cell>
          <cell r="M106">
            <v>5000</v>
          </cell>
          <cell r="N106">
            <v>30</v>
          </cell>
          <cell r="O106">
            <v>1500</v>
          </cell>
          <cell r="P106">
            <v>-55.620776577237599</v>
          </cell>
          <cell r="Q106" t="str">
            <v>船闸管理局</v>
          </cell>
        </row>
        <row r="107">
          <cell r="B107" t="str">
            <v>001-0006386</v>
          </cell>
          <cell r="C107" t="str">
            <v>空调</v>
          </cell>
          <cell r="D107" t="str">
            <v>日立 PT-51-102C</v>
          </cell>
          <cell r="F107" t="str">
            <v>台</v>
          </cell>
          <cell r="I107">
            <v>37400</v>
          </cell>
          <cell r="J107">
            <v>17149.77</v>
          </cell>
          <cell r="K107">
            <v>37400</v>
          </cell>
          <cell r="L107">
            <v>17149.77</v>
          </cell>
          <cell r="M107">
            <v>15000</v>
          </cell>
          <cell r="N107">
            <v>40</v>
          </cell>
          <cell r="O107">
            <v>6000</v>
          </cell>
          <cell r="P107">
            <v>-65.014108060924443</v>
          </cell>
          <cell r="Q107" t="str">
            <v>船闸管理局</v>
          </cell>
        </row>
        <row r="108">
          <cell r="B108" t="str">
            <v>001-0006395</v>
          </cell>
          <cell r="C108" t="str">
            <v>打字机</v>
          </cell>
          <cell r="D108" t="str">
            <v>电脑1600K</v>
          </cell>
          <cell r="F108" t="str">
            <v>台</v>
          </cell>
          <cell r="I108">
            <v>8000</v>
          </cell>
          <cell r="J108">
            <v>2946.48</v>
          </cell>
          <cell r="K108">
            <v>8000</v>
          </cell>
          <cell r="L108">
            <v>2946.48</v>
          </cell>
          <cell r="M108">
            <v>3200</v>
          </cell>
          <cell r="N108">
            <v>15</v>
          </cell>
          <cell r="O108">
            <v>480</v>
          </cell>
          <cell r="P108">
            <v>-83.709375254541001</v>
          </cell>
          <cell r="Q108" t="str">
            <v>船闸管理局</v>
          </cell>
        </row>
        <row r="109">
          <cell r="B109" t="str">
            <v>001-0006397</v>
          </cell>
          <cell r="C109" t="str">
            <v>空调</v>
          </cell>
          <cell r="D109" t="str">
            <v>春兰KFR-20GW</v>
          </cell>
          <cell r="F109" t="str">
            <v>台</v>
          </cell>
          <cell r="I109">
            <v>6405</v>
          </cell>
          <cell r="J109">
            <v>2937.01</v>
          </cell>
          <cell r="K109">
            <v>6405</v>
          </cell>
          <cell r="L109">
            <v>2937.01</v>
          </cell>
          <cell r="M109">
            <v>2200</v>
          </cell>
          <cell r="N109">
            <v>15</v>
          </cell>
          <cell r="O109">
            <v>330</v>
          </cell>
          <cell r="P109">
            <v>-88.764083200261496</v>
          </cell>
          <cell r="Q109" t="str">
            <v>船闸管理局</v>
          </cell>
        </row>
        <row r="110">
          <cell r="B110" t="str">
            <v>001-0006665</v>
          </cell>
          <cell r="C110" t="str">
            <v>闪光灯及变焦镜头</v>
          </cell>
          <cell r="D110" t="str">
            <v>追加照相机价值</v>
          </cell>
          <cell r="F110" t="str">
            <v>台</v>
          </cell>
          <cell r="I110">
            <v>3900</v>
          </cell>
          <cell r="J110">
            <v>1834.74</v>
          </cell>
          <cell r="K110">
            <v>3900</v>
          </cell>
          <cell r="L110">
            <v>1834.74</v>
          </cell>
          <cell r="M110">
            <v>3500</v>
          </cell>
          <cell r="N110">
            <v>50</v>
          </cell>
          <cell r="O110">
            <v>1750</v>
          </cell>
          <cell r="P110">
            <v>-4.6186380631588131</v>
          </cell>
          <cell r="Q110" t="str">
            <v>船闸管理局</v>
          </cell>
        </row>
        <row r="111">
          <cell r="B111" t="str">
            <v>001-0006666</v>
          </cell>
          <cell r="C111" t="str">
            <v>收录机</v>
          </cell>
          <cell r="D111" t="str">
            <v>SANYO9002</v>
          </cell>
          <cell r="F111" t="str">
            <v>台</v>
          </cell>
          <cell r="I111">
            <v>2800</v>
          </cell>
          <cell r="J111">
            <v>1317.26</v>
          </cell>
          <cell r="K111">
            <v>2800</v>
          </cell>
          <cell r="L111">
            <v>1317.26</v>
          </cell>
          <cell r="M111">
            <v>1200</v>
          </cell>
          <cell r="N111">
            <v>15</v>
          </cell>
          <cell r="O111">
            <v>180</v>
          </cell>
          <cell r="P111">
            <v>-86.33527170034769</v>
          </cell>
          <cell r="Q111" t="str">
            <v>船闸管理局</v>
          </cell>
        </row>
        <row r="112">
          <cell r="B112" t="str">
            <v>001-0008696</v>
          </cell>
          <cell r="C112" t="str">
            <v>图文动画字幕机</v>
          </cell>
          <cell r="D112" t="str">
            <v>索贝SB-8000型</v>
          </cell>
          <cell r="F112" t="str">
            <v>台</v>
          </cell>
          <cell r="I112">
            <v>51000</v>
          </cell>
          <cell r="J112">
            <v>33703.35</v>
          </cell>
          <cell r="K112">
            <v>51000</v>
          </cell>
          <cell r="L112">
            <v>33703.35</v>
          </cell>
          <cell r="M112">
            <v>46000</v>
          </cell>
          <cell r="N112">
            <v>60</v>
          </cell>
          <cell r="O112">
            <v>27600</v>
          </cell>
          <cell r="P112">
            <v>-18.109030704662889</v>
          </cell>
          <cell r="Q112" t="str">
            <v>船闸管理局</v>
          </cell>
        </row>
        <row r="113">
          <cell r="B113" t="str">
            <v>001-0008697</v>
          </cell>
          <cell r="C113" t="str">
            <v>彩色摄像头</v>
          </cell>
          <cell r="D113" t="str">
            <v>WUBP 110 1/3"  400线</v>
          </cell>
          <cell r="F113" t="str">
            <v>台</v>
          </cell>
          <cell r="I113">
            <v>25356.720000000001</v>
          </cell>
          <cell r="J113">
            <v>16757</v>
          </cell>
          <cell r="K113">
            <v>25356.720000000001</v>
          </cell>
          <cell r="L113">
            <v>16757</v>
          </cell>
          <cell r="M113">
            <v>12000</v>
          </cell>
          <cell r="N113">
            <v>60</v>
          </cell>
          <cell r="O113">
            <v>7200</v>
          </cell>
          <cell r="P113">
            <v>-57.032881780748347</v>
          </cell>
          <cell r="Q113" t="str">
            <v>船闸管理局</v>
          </cell>
        </row>
        <row r="114">
          <cell r="B114" t="str">
            <v>001-0008698</v>
          </cell>
          <cell r="C114" t="str">
            <v>彩色摄像头</v>
          </cell>
          <cell r="D114" t="str">
            <v>WUBP 110 1/3"  400线</v>
          </cell>
          <cell r="F114" t="str">
            <v>台</v>
          </cell>
          <cell r="I114">
            <v>25356.71</v>
          </cell>
          <cell r="J114">
            <v>16756.990000000002</v>
          </cell>
          <cell r="K114">
            <v>25356.71</v>
          </cell>
          <cell r="L114">
            <v>16756.990000000002</v>
          </cell>
          <cell r="M114">
            <v>12000</v>
          </cell>
          <cell r="N114">
            <v>60</v>
          </cell>
          <cell r="O114">
            <v>7200</v>
          </cell>
          <cell r="P114">
            <v>-57.032856139437939</v>
          </cell>
          <cell r="Q114" t="str">
            <v>船闸管理局</v>
          </cell>
        </row>
        <row r="115">
          <cell r="B115" t="str">
            <v>001-0008699</v>
          </cell>
          <cell r="C115" t="str">
            <v>黑白摄像头</v>
          </cell>
          <cell r="D115" t="str">
            <v>WUBP 110 1/3"  380线</v>
          </cell>
          <cell r="F115" t="str">
            <v>台</v>
          </cell>
          <cell r="I115">
            <v>7000</v>
          </cell>
          <cell r="J115">
            <v>4625.95</v>
          </cell>
          <cell r="K115">
            <v>7000</v>
          </cell>
          <cell r="L115">
            <v>4625.95</v>
          </cell>
          <cell r="M115">
            <v>3000</v>
          </cell>
          <cell r="N115">
            <v>60</v>
          </cell>
          <cell r="O115">
            <v>1800</v>
          </cell>
          <cell r="P115">
            <v>-61.089073595693854</v>
          </cell>
          <cell r="Q115" t="str">
            <v>船闸管理局</v>
          </cell>
        </row>
        <row r="116">
          <cell r="B116" t="str">
            <v>001-0008700</v>
          </cell>
          <cell r="C116" t="str">
            <v>黑白摄像头</v>
          </cell>
          <cell r="D116" t="str">
            <v>WUBP 110 1/3"  380线</v>
          </cell>
          <cell r="F116" t="str">
            <v>台</v>
          </cell>
          <cell r="I116">
            <v>7000</v>
          </cell>
          <cell r="J116">
            <v>4625.95</v>
          </cell>
          <cell r="K116">
            <v>7000</v>
          </cell>
          <cell r="L116">
            <v>4625.95</v>
          </cell>
          <cell r="M116">
            <v>3000</v>
          </cell>
          <cell r="N116">
            <v>60</v>
          </cell>
          <cell r="O116">
            <v>1800</v>
          </cell>
          <cell r="P116">
            <v>-61.089073595693854</v>
          </cell>
          <cell r="Q116" t="str">
            <v>船闸管理局</v>
          </cell>
        </row>
        <row r="117">
          <cell r="B117" t="str">
            <v>001-0008701</v>
          </cell>
          <cell r="C117" t="str">
            <v>黑白摄像头</v>
          </cell>
          <cell r="D117" t="str">
            <v>WUBP 110 1/3"  380线</v>
          </cell>
          <cell r="F117" t="str">
            <v>台</v>
          </cell>
          <cell r="I117">
            <v>7000</v>
          </cell>
          <cell r="J117">
            <v>4625.95</v>
          </cell>
          <cell r="K117">
            <v>7000</v>
          </cell>
          <cell r="L117">
            <v>4625.95</v>
          </cell>
          <cell r="M117">
            <v>3000</v>
          </cell>
          <cell r="N117">
            <v>60</v>
          </cell>
          <cell r="O117">
            <v>1800</v>
          </cell>
          <cell r="P117">
            <v>-61.089073595693854</v>
          </cell>
          <cell r="Q117" t="str">
            <v>船闸管理局</v>
          </cell>
        </row>
        <row r="118">
          <cell r="B118" t="str">
            <v>001-0008702</v>
          </cell>
          <cell r="C118" t="str">
            <v>黑白摄像头</v>
          </cell>
          <cell r="D118" t="str">
            <v>WUBP 110 1/3"  380线</v>
          </cell>
          <cell r="F118" t="str">
            <v>台</v>
          </cell>
          <cell r="I118">
            <v>7000</v>
          </cell>
          <cell r="J118">
            <v>4625.95</v>
          </cell>
          <cell r="K118">
            <v>7000</v>
          </cell>
          <cell r="L118">
            <v>4625.95</v>
          </cell>
          <cell r="M118">
            <v>3000</v>
          </cell>
          <cell r="N118">
            <v>60</v>
          </cell>
          <cell r="O118">
            <v>1800</v>
          </cell>
          <cell r="P118">
            <v>-61.089073595693854</v>
          </cell>
          <cell r="Q118" t="str">
            <v>船闸管理局</v>
          </cell>
        </row>
        <row r="119">
          <cell r="B119" t="str">
            <v>001-0008703</v>
          </cell>
          <cell r="C119" t="str">
            <v>黑白摄像头</v>
          </cell>
          <cell r="D119" t="str">
            <v>TC354 1/2"  560线</v>
          </cell>
          <cell r="F119" t="str">
            <v>台</v>
          </cell>
          <cell r="I119">
            <v>8007</v>
          </cell>
          <cell r="J119">
            <v>5291.43</v>
          </cell>
          <cell r="K119">
            <v>8007</v>
          </cell>
          <cell r="L119">
            <v>5291.43</v>
          </cell>
          <cell r="M119">
            <v>3500</v>
          </cell>
          <cell r="N119">
            <v>60</v>
          </cell>
          <cell r="O119">
            <v>2100</v>
          </cell>
          <cell r="P119">
            <v>-60.313185660587031</v>
          </cell>
          <cell r="Q119" t="str">
            <v>船闸管理局</v>
          </cell>
        </row>
        <row r="120">
          <cell r="B120" t="str">
            <v>001-0008704</v>
          </cell>
          <cell r="C120" t="str">
            <v>黑白摄像头</v>
          </cell>
          <cell r="D120" t="str">
            <v>TC354 1/2"  560线</v>
          </cell>
          <cell r="F120" t="str">
            <v>台</v>
          </cell>
          <cell r="I120">
            <v>8007</v>
          </cell>
          <cell r="J120">
            <v>5291.43</v>
          </cell>
          <cell r="K120">
            <v>8007</v>
          </cell>
          <cell r="L120">
            <v>5291.43</v>
          </cell>
          <cell r="M120">
            <v>3500</v>
          </cell>
          <cell r="N120">
            <v>60</v>
          </cell>
          <cell r="O120">
            <v>2100</v>
          </cell>
          <cell r="P120">
            <v>-60.313185660587031</v>
          </cell>
          <cell r="Q120" t="str">
            <v>船闸管理局</v>
          </cell>
        </row>
        <row r="121">
          <cell r="B121" t="str">
            <v>001-0008705</v>
          </cell>
          <cell r="C121" t="str">
            <v>黑白监视器</v>
          </cell>
          <cell r="D121" t="str">
            <v>P2H-14"</v>
          </cell>
          <cell r="F121" t="str">
            <v>台</v>
          </cell>
          <cell r="I121">
            <v>3200</v>
          </cell>
          <cell r="J121">
            <v>2114.7199999999998</v>
          </cell>
          <cell r="K121">
            <v>3200</v>
          </cell>
          <cell r="L121">
            <v>2114.7199999999998</v>
          </cell>
          <cell r="M121">
            <v>1500</v>
          </cell>
          <cell r="N121">
            <v>60</v>
          </cell>
          <cell r="O121">
            <v>900</v>
          </cell>
          <cell r="P121">
            <v>-57.441174245290149</v>
          </cell>
          <cell r="Q121" t="str">
            <v>船闸管理局</v>
          </cell>
        </row>
        <row r="122">
          <cell r="B122" t="str">
            <v>001-0008706</v>
          </cell>
          <cell r="C122" t="str">
            <v>黑白监视器</v>
          </cell>
          <cell r="D122" t="str">
            <v>P2H-14"</v>
          </cell>
          <cell r="F122" t="str">
            <v>台</v>
          </cell>
          <cell r="I122">
            <v>3200</v>
          </cell>
          <cell r="J122">
            <v>2114.7199999999998</v>
          </cell>
          <cell r="K122">
            <v>3200</v>
          </cell>
          <cell r="L122">
            <v>2114.7199999999998</v>
          </cell>
          <cell r="M122">
            <v>1500</v>
          </cell>
          <cell r="N122">
            <v>60</v>
          </cell>
          <cell r="O122">
            <v>900</v>
          </cell>
          <cell r="P122">
            <v>-57.441174245290149</v>
          </cell>
          <cell r="Q122" t="str">
            <v>船闸管理局</v>
          </cell>
        </row>
        <row r="123">
          <cell r="B123" t="str">
            <v>001-0008707</v>
          </cell>
          <cell r="C123" t="str">
            <v>黑白监视器</v>
          </cell>
          <cell r="D123" t="str">
            <v>P2H-14"</v>
          </cell>
          <cell r="F123" t="str">
            <v>台</v>
          </cell>
          <cell r="I123">
            <v>3200</v>
          </cell>
          <cell r="J123">
            <v>2114.7199999999998</v>
          </cell>
          <cell r="K123">
            <v>3200</v>
          </cell>
          <cell r="L123">
            <v>2114.7199999999998</v>
          </cell>
          <cell r="M123">
            <v>1500</v>
          </cell>
          <cell r="N123">
            <v>60</v>
          </cell>
          <cell r="O123">
            <v>900</v>
          </cell>
          <cell r="P123">
            <v>-57.441174245290149</v>
          </cell>
          <cell r="Q123" t="str">
            <v>船闸管理局</v>
          </cell>
        </row>
        <row r="124">
          <cell r="B124" t="str">
            <v>001-0008708</v>
          </cell>
          <cell r="C124" t="str">
            <v>黑白监视器</v>
          </cell>
          <cell r="D124" t="str">
            <v>P2H-14"</v>
          </cell>
          <cell r="F124" t="str">
            <v>台</v>
          </cell>
          <cell r="I124">
            <v>3200</v>
          </cell>
          <cell r="J124">
            <v>2114.7199999999998</v>
          </cell>
          <cell r="K124">
            <v>3200</v>
          </cell>
          <cell r="L124">
            <v>2114.7199999999998</v>
          </cell>
          <cell r="M124">
            <v>1500</v>
          </cell>
          <cell r="N124">
            <v>60</v>
          </cell>
          <cell r="O124">
            <v>900</v>
          </cell>
          <cell r="P124">
            <v>-57.441174245290149</v>
          </cell>
          <cell r="Q124" t="str">
            <v>船闸管理局</v>
          </cell>
        </row>
        <row r="125">
          <cell r="B125" t="str">
            <v>001-0008709</v>
          </cell>
          <cell r="C125" t="str">
            <v>彩色监视器</v>
          </cell>
          <cell r="D125" t="str">
            <v>8833-14"</v>
          </cell>
          <cell r="F125" t="str">
            <v>台</v>
          </cell>
          <cell r="I125">
            <v>4800</v>
          </cell>
          <cell r="J125">
            <v>3172.08</v>
          </cell>
          <cell r="K125">
            <v>4800</v>
          </cell>
          <cell r="L125">
            <v>3172.08</v>
          </cell>
          <cell r="M125">
            <v>1500</v>
          </cell>
          <cell r="N125">
            <v>60</v>
          </cell>
          <cell r="O125">
            <v>900</v>
          </cell>
          <cell r="P125">
            <v>-71.627449496860109</v>
          </cell>
          <cell r="Q125" t="str">
            <v>船闸管理局</v>
          </cell>
        </row>
        <row r="126">
          <cell r="B126" t="str">
            <v>001-0008710</v>
          </cell>
          <cell r="C126" t="str">
            <v>彩色监视器</v>
          </cell>
          <cell r="D126" t="str">
            <v>8833-14"</v>
          </cell>
          <cell r="F126" t="str">
            <v>台</v>
          </cell>
          <cell r="I126">
            <v>4800</v>
          </cell>
          <cell r="J126">
            <v>3172.08</v>
          </cell>
          <cell r="K126">
            <v>4800</v>
          </cell>
          <cell r="L126">
            <v>3172.08</v>
          </cell>
          <cell r="M126">
            <v>8000</v>
          </cell>
          <cell r="N126">
            <v>60</v>
          </cell>
          <cell r="O126">
            <v>4800</v>
          </cell>
          <cell r="P126">
            <v>51.32026935007945</v>
          </cell>
          <cell r="Q126" t="str">
            <v>船闸管理局</v>
          </cell>
        </row>
        <row r="127">
          <cell r="B127" t="str">
            <v>001-0008982</v>
          </cell>
          <cell r="C127" t="str">
            <v>打印机</v>
          </cell>
          <cell r="D127" t="str">
            <v>彩色打印</v>
          </cell>
          <cell r="F127" t="str">
            <v>台</v>
          </cell>
          <cell r="I127">
            <v>14966</v>
          </cell>
          <cell r="J127">
            <v>8854.8700000000008</v>
          </cell>
          <cell r="K127">
            <v>14966</v>
          </cell>
          <cell r="L127">
            <v>8854.8700000000008</v>
          </cell>
          <cell r="M127">
            <v>8000</v>
          </cell>
          <cell r="N127">
            <v>60</v>
          </cell>
          <cell r="O127">
            <v>4800</v>
          </cell>
          <cell r="P127">
            <v>-45.79254127954448</v>
          </cell>
          <cell r="Q127" t="str">
            <v>船闸管理局</v>
          </cell>
        </row>
        <row r="128">
          <cell r="B128" t="str">
            <v>001-0008983</v>
          </cell>
          <cell r="C128" t="str">
            <v>复印机</v>
          </cell>
          <cell r="D128" t="str">
            <v>CONON215</v>
          </cell>
          <cell r="F128" t="str">
            <v>台</v>
          </cell>
          <cell r="I128">
            <v>16726.91</v>
          </cell>
          <cell r="J128">
            <v>11850.17</v>
          </cell>
          <cell r="K128">
            <v>16726.91</v>
          </cell>
          <cell r="L128">
            <v>11850.17</v>
          </cell>
          <cell r="M128">
            <v>12000</v>
          </cell>
          <cell r="N128">
            <v>70</v>
          </cell>
          <cell r="O128">
            <v>8400</v>
          </cell>
          <cell r="P128">
            <v>-29.114940967091613</v>
          </cell>
          <cell r="Q128" t="str">
            <v>船闸管理局</v>
          </cell>
        </row>
        <row r="129">
          <cell r="B129" t="str">
            <v>001-0008984</v>
          </cell>
          <cell r="C129" t="str">
            <v>传真机</v>
          </cell>
          <cell r="D129" t="str">
            <v>松下828</v>
          </cell>
          <cell r="F129" t="str">
            <v>台</v>
          </cell>
          <cell r="I129">
            <v>4123.53</v>
          </cell>
          <cell r="J129">
            <v>2921.3</v>
          </cell>
          <cell r="K129">
            <v>4123.53</v>
          </cell>
          <cell r="L129">
            <v>2921.3</v>
          </cell>
          <cell r="M129">
            <v>3500</v>
          </cell>
          <cell r="N129">
            <v>60</v>
          </cell>
          <cell r="O129">
            <v>2100</v>
          </cell>
          <cell r="P129">
            <v>-28.114195734775617</v>
          </cell>
          <cell r="Q129" t="str">
            <v>船闸管理局</v>
          </cell>
        </row>
        <row r="130">
          <cell r="B130" t="str">
            <v>001-0008985</v>
          </cell>
          <cell r="C130" t="str">
            <v>打印机</v>
          </cell>
          <cell r="D130" t="str">
            <v>201600K</v>
          </cell>
          <cell r="F130" t="str">
            <v>台</v>
          </cell>
          <cell r="I130">
            <v>6690.76</v>
          </cell>
          <cell r="J130">
            <v>4740.07</v>
          </cell>
          <cell r="K130">
            <v>6690.76</v>
          </cell>
          <cell r="L130">
            <v>4740.07</v>
          </cell>
          <cell r="M130">
            <v>3200</v>
          </cell>
          <cell r="N130">
            <v>15</v>
          </cell>
          <cell r="O130">
            <v>480</v>
          </cell>
          <cell r="P130">
            <v>-89.873567267993934</v>
          </cell>
          <cell r="Q130" t="str">
            <v>船闸管理局</v>
          </cell>
        </row>
        <row r="131">
          <cell r="B131" t="str">
            <v>001-0008986</v>
          </cell>
          <cell r="C131" t="str">
            <v>计算机</v>
          </cell>
          <cell r="D131" t="str">
            <v>联想P166</v>
          </cell>
          <cell r="F131" t="str">
            <v>台</v>
          </cell>
          <cell r="I131">
            <v>21449.8</v>
          </cell>
          <cell r="J131">
            <v>15196.1</v>
          </cell>
          <cell r="K131">
            <v>21449.8</v>
          </cell>
          <cell r="L131">
            <v>15196.1</v>
          </cell>
          <cell r="M131">
            <v>400</v>
          </cell>
          <cell r="N131">
            <v>100</v>
          </cell>
          <cell r="O131">
            <v>400</v>
          </cell>
          <cell r="P131">
            <v>-97.367745671586789</v>
          </cell>
          <cell r="Q131" t="str">
            <v>船闸管理局</v>
          </cell>
        </row>
        <row r="132">
          <cell r="B132" t="str">
            <v>001-0011488</v>
          </cell>
          <cell r="C132" t="str">
            <v>计算机</v>
          </cell>
          <cell r="D132" t="str">
            <v>HP8188A</v>
          </cell>
          <cell r="E132" t="str">
            <v/>
          </cell>
          <cell r="F132" t="str">
            <v>台</v>
          </cell>
          <cell r="G132" t="str">
            <v>200009</v>
          </cell>
          <cell r="H132" t="str">
            <v>200009</v>
          </cell>
          <cell r="I132">
            <v>9050</v>
          </cell>
          <cell r="J132">
            <v>7692.49</v>
          </cell>
          <cell r="K132">
            <v>9050</v>
          </cell>
          <cell r="L132">
            <v>7692.49</v>
          </cell>
          <cell r="M132">
            <v>8000</v>
          </cell>
          <cell r="N132">
            <v>70</v>
          </cell>
          <cell r="O132">
            <v>5600</v>
          </cell>
          <cell r="P132">
            <v>-27.201725319109936</v>
          </cell>
          <cell r="Q132" t="str">
            <v>财务处</v>
          </cell>
        </row>
        <row r="133">
          <cell r="B133" t="str">
            <v>001-0010107</v>
          </cell>
          <cell r="C133" t="str">
            <v>相机镜头</v>
          </cell>
          <cell r="D133" t="str">
            <v/>
          </cell>
          <cell r="E133" t="str">
            <v/>
          </cell>
          <cell r="F133" t="str">
            <v>台</v>
          </cell>
          <cell r="G133" t="str">
            <v>199908</v>
          </cell>
          <cell r="H133" t="str">
            <v>199908</v>
          </cell>
          <cell r="I133">
            <v>150</v>
          </cell>
          <cell r="J133">
            <v>122.34</v>
          </cell>
          <cell r="K133">
            <v>150</v>
          </cell>
          <cell r="L133">
            <v>122.34</v>
          </cell>
          <cell r="M133">
            <v>150</v>
          </cell>
          <cell r="N133">
            <v>80</v>
          </cell>
          <cell r="O133">
            <v>120</v>
          </cell>
          <cell r="P133">
            <v>-1.9127023050514984</v>
          </cell>
          <cell r="Q133" t="str">
            <v>厂办</v>
          </cell>
        </row>
        <row r="134">
          <cell r="B134" t="str">
            <v>001-0011754</v>
          </cell>
          <cell r="C134" t="str">
            <v>笔记本电脑</v>
          </cell>
          <cell r="D134" t="str">
            <v>东芝2770型</v>
          </cell>
          <cell r="F134" t="str">
            <v>台</v>
          </cell>
          <cell r="G134" t="str">
            <v>200012</v>
          </cell>
          <cell r="H134" t="str">
            <v>200012</v>
          </cell>
          <cell r="I134">
            <v>24400</v>
          </cell>
          <cell r="J134">
            <v>21350.01</v>
          </cell>
          <cell r="K134">
            <v>24400</v>
          </cell>
          <cell r="L134">
            <v>21350.01</v>
          </cell>
          <cell r="M134">
            <v>22000</v>
          </cell>
          <cell r="N134">
            <v>75</v>
          </cell>
          <cell r="O134">
            <v>16500</v>
          </cell>
          <cell r="P134">
            <v>-22.716663832944334</v>
          </cell>
          <cell r="Q134" t="str">
            <v>厂办</v>
          </cell>
        </row>
        <row r="135">
          <cell r="B135" t="str">
            <v>001-0011763</v>
          </cell>
          <cell r="C135" t="str">
            <v>计算机</v>
          </cell>
          <cell r="D135" t="str">
            <v>HPVL2229A</v>
          </cell>
          <cell r="F135" t="str">
            <v>台</v>
          </cell>
          <cell r="G135" t="str">
            <v>200012</v>
          </cell>
          <cell r="H135" t="str">
            <v>200012</v>
          </cell>
          <cell r="I135">
            <v>9500</v>
          </cell>
          <cell r="J135">
            <v>8312.49</v>
          </cell>
          <cell r="K135">
            <v>9500</v>
          </cell>
          <cell r="L135">
            <v>8312.49</v>
          </cell>
          <cell r="M135">
            <v>9000</v>
          </cell>
          <cell r="N135">
            <v>75</v>
          </cell>
          <cell r="O135">
            <v>6750</v>
          </cell>
          <cell r="P135">
            <v>-18.796894793256889</v>
          </cell>
          <cell r="Q135" t="str">
            <v>厂办</v>
          </cell>
        </row>
        <row r="136">
          <cell r="B136" t="str">
            <v>001-0011764</v>
          </cell>
          <cell r="C136" t="str">
            <v>计算机</v>
          </cell>
          <cell r="D136" t="str">
            <v>HPVL2229A</v>
          </cell>
          <cell r="F136" t="str">
            <v>台</v>
          </cell>
          <cell r="G136" t="str">
            <v>200012</v>
          </cell>
          <cell r="H136" t="str">
            <v>200012</v>
          </cell>
          <cell r="I136">
            <v>9500</v>
          </cell>
          <cell r="J136">
            <v>8312.49</v>
          </cell>
          <cell r="K136">
            <v>9500</v>
          </cell>
          <cell r="L136">
            <v>8312.49</v>
          </cell>
          <cell r="M136">
            <v>9000</v>
          </cell>
          <cell r="N136">
            <v>75</v>
          </cell>
          <cell r="O136">
            <v>6750</v>
          </cell>
          <cell r="P136">
            <v>-18.796894793256889</v>
          </cell>
          <cell r="Q136" t="str">
            <v>厂办</v>
          </cell>
        </row>
        <row r="137">
          <cell r="B137" t="str">
            <v>001-0011772</v>
          </cell>
          <cell r="C137" t="str">
            <v>计算机</v>
          </cell>
          <cell r="D137" t="str">
            <v>IBM/32C  P20 733</v>
          </cell>
          <cell r="F137" t="str">
            <v>台</v>
          </cell>
          <cell r="G137" t="str">
            <v>200012</v>
          </cell>
          <cell r="H137" t="str">
            <v>200012</v>
          </cell>
          <cell r="I137">
            <v>12800</v>
          </cell>
          <cell r="J137">
            <v>11199.99</v>
          </cell>
          <cell r="K137">
            <v>12800</v>
          </cell>
          <cell r="L137">
            <v>11199.99</v>
          </cell>
          <cell r="M137">
            <v>10000</v>
          </cell>
          <cell r="N137">
            <v>75</v>
          </cell>
          <cell r="O137">
            <v>7500</v>
          </cell>
          <cell r="P137">
            <v>-33.035654496120088</v>
          </cell>
          <cell r="Q137" t="str">
            <v>厂办</v>
          </cell>
        </row>
        <row r="138">
          <cell r="B138" t="str">
            <v>001-0017925</v>
          </cell>
          <cell r="C138" t="str">
            <v>音响系统</v>
          </cell>
          <cell r="D138" t="str">
            <v/>
          </cell>
          <cell r="E138" t="str">
            <v/>
          </cell>
          <cell r="F138" t="str">
            <v>套</v>
          </cell>
          <cell r="G138" t="str">
            <v>200107</v>
          </cell>
          <cell r="H138" t="str">
            <v>200107</v>
          </cell>
          <cell r="I138">
            <v>130000</v>
          </cell>
          <cell r="J138">
            <v>130000</v>
          </cell>
          <cell r="K138">
            <v>130000</v>
          </cell>
          <cell r="L138">
            <v>130000</v>
          </cell>
          <cell r="M138">
            <v>120000</v>
          </cell>
          <cell r="N138">
            <v>90</v>
          </cell>
          <cell r="O138">
            <v>108000</v>
          </cell>
          <cell r="P138">
            <v>-16.923076923076923</v>
          </cell>
          <cell r="Q138" t="str">
            <v>厂办</v>
          </cell>
        </row>
        <row r="139">
          <cell r="B139" t="str">
            <v>001-0018499</v>
          </cell>
          <cell r="C139" t="str">
            <v>计算机</v>
          </cell>
          <cell r="D139" t="str">
            <v>6210EC笔记本电脑</v>
          </cell>
          <cell r="F139" t="str">
            <v>台</v>
          </cell>
          <cell r="G139" t="str">
            <v>200109</v>
          </cell>
          <cell r="H139" t="str">
            <v>200109</v>
          </cell>
          <cell r="I139">
            <v>11880</v>
          </cell>
          <cell r="J139">
            <v>11385</v>
          </cell>
          <cell r="K139">
            <v>11880</v>
          </cell>
          <cell r="L139">
            <v>11385</v>
          </cell>
          <cell r="M139">
            <v>11000</v>
          </cell>
          <cell r="N139">
            <v>90</v>
          </cell>
          <cell r="O139">
            <v>9900</v>
          </cell>
          <cell r="P139">
            <v>-13.043478260869565</v>
          </cell>
          <cell r="Q139" t="str">
            <v>厂办</v>
          </cell>
        </row>
        <row r="140">
          <cell r="B140" t="str">
            <v>001-0018500</v>
          </cell>
          <cell r="C140" t="str">
            <v>计算机</v>
          </cell>
          <cell r="D140" t="str">
            <v>6210EC笔记本电脑</v>
          </cell>
          <cell r="F140" t="str">
            <v>台</v>
          </cell>
          <cell r="G140" t="str">
            <v>200109</v>
          </cell>
          <cell r="H140" t="str">
            <v>200109</v>
          </cell>
          <cell r="I140">
            <v>11880</v>
          </cell>
          <cell r="J140">
            <v>11385</v>
          </cell>
          <cell r="K140">
            <v>11880</v>
          </cell>
          <cell r="L140">
            <v>11385</v>
          </cell>
          <cell r="M140">
            <v>11000</v>
          </cell>
          <cell r="N140">
            <v>90</v>
          </cell>
          <cell r="O140">
            <v>9900</v>
          </cell>
          <cell r="P140">
            <v>-13.043478260869565</v>
          </cell>
          <cell r="Q140" t="str">
            <v>厂办</v>
          </cell>
        </row>
        <row r="141">
          <cell r="B141" t="str">
            <v>001-0018501</v>
          </cell>
          <cell r="C141" t="str">
            <v>计算机</v>
          </cell>
          <cell r="D141" t="str">
            <v>6210EC笔记本电脑</v>
          </cell>
          <cell r="F141" t="str">
            <v>台</v>
          </cell>
          <cell r="G141" t="str">
            <v>200109</v>
          </cell>
          <cell r="H141" t="str">
            <v>200109</v>
          </cell>
          <cell r="I141">
            <v>11880</v>
          </cell>
          <cell r="J141">
            <v>11385</v>
          </cell>
          <cell r="K141">
            <v>11880</v>
          </cell>
          <cell r="L141">
            <v>11385</v>
          </cell>
          <cell r="M141">
            <v>11000</v>
          </cell>
          <cell r="N141">
            <v>90</v>
          </cell>
          <cell r="O141">
            <v>9900</v>
          </cell>
          <cell r="P141">
            <v>-13.043478260869565</v>
          </cell>
          <cell r="Q141" t="str">
            <v>厂办</v>
          </cell>
        </row>
        <row r="142">
          <cell r="B142" t="str">
            <v>001-0018502</v>
          </cell>
          <cell r="C142" t="str">
            <v>计算机</v>
          </cell>
          <cell r="D142" t="str">
            <v>6210EC笔记本电脑</v>
          </cell>
          <cell r="F142" t="str">
            <v>台</v>
          </cell>
          <cell r="G142" t="str">
            <v>200109</v>
          </cell>
          <cell r="H142" t="str">
            <v>200109</v>
          </cell>
          <cell r="I142">
            <v>11880</v>
          </cell>
          <cell r="J142">
            <v>11385</v>
          </cell>
          <cell r="K142">
            <v>11880</v>
          </cell>
          <cell r="L142">
            <v>11385</v>
          </cell>
          <cell r="M142">
            <v>11000</v>
          </cell>
          <cell r="N142">
            <v>90</v>
          </cell>
          <cell r="O142">
            <v>9900</v>
          </cell>
          <cell r="P142">
            <v>-13.043478260869565</v>
          </cell>
          <cell r="Q142" t="str">
            <v>厂办</v>
          </cell>
        </row>
        <row r="143">
          <cell r="B143" t="str">
            <v>001-0018505</v>
          </cell>
          <cell r="C143" t="str">
            <v>计算机</v>
          </cell>
          <cell r="D143" t="str">
            <v>6210EC笔记本电脑</v>
          </cell>
          <cell r="F143" t="str">
            <v>台</v>
          </cell>
          <cell r="G143" t="str">
            <v>200109</v>
          </cell>
          <cell r="H143" t="str">
            <v>200109</v>
          </cell>
          <cell r="I143">
            <v>11880</v>
          </cell>
          <cell r="J143">
            <v>11385</v>
          </cell>
          <cell r="K143">
            <v>11880</v>
          </cell>
          <cell r="L143">
            <v>11385</v>
          </cell>
          <cell r="M143">
            <v>11000</v>
          </cell>
          <cell r="N143">
            <v>90</v>
          </cell>
          <cell r="O143">
            <v>9900</v>
          </cell>
          <cell r="P143">
            <v>-13.043478260869565</v>
          </cell>
          <cell r="Q143" t="str">
            <v>厂办</v>
          </cell>
        </row>
        <row r="144">
          <cell r="B144" t="str">
            <v>001-0018506</v>
          </cell>
          <cell r="C144" t="str">
            <v>计算机</v>
          </cell>
          <cell r="D144" t="str">
            <v>6210EC笔记本电脑</v>
          </cell>
          <cell r="F144" t="str">
            <v>台</v>
          </cell>
          <cell r="G144" t="str">
            <v>200109</v>
          </cell>
          <cell r="H144" t="str">
            <v>200109</v>
          </cell>
          <cell r="I144">
            <v>11880</v>
          </cell>
          <cell r="J144">
            <v>11385</v>
          </cell>
          <cell r="K144">
            <v>11880</v>
          </cell>
          <cell r="L144">
            <v>11385</v>
          </cell>
          <cell r="M144">
            <v>11000</v>
          </cell>
          <cell r="N144">
            <v>90</v>
          </cell>
          <cell r="O144">
            <v>9900</v>
          </cell>
          <cell r="P144">
            <v>-13.043478260869565</v>
          </cell>
          <cell r="Q144" t="str">
            <v>厂办</v>
          </cell>
        </row>
        <row r="145">
          <cell r="B145" t="str">
            <v>001-0006393</v>
          </cell>
          <cell r="C145" t="str">
            <v>复印机</v>
          </cell>
          <cell r="D145" t="str">
            <v>施乐1027</v>
          </cell>
          <cell r="F145" t="str">
            <v>台</v>
          </cell>
          <cell r="G145" t="str">
            <v>199408</v>
          </cell>
          <cell r="H145" t="str">
            <v>199408</v>
          </cell>
          <cell r="I145">
            <v>34000</v>
          </cell>
          <cell r="J145">
            <v>16499.060000000001</v>
          </cell>
          <cell r="K145">
            <v>34000</v>
          </cell>
          <cell r="L145">
            <v>16499.060000000001</v>
          </cell>
          <cell r="M145">
            <v>0</v>
          </cell>
          <cell r="O145">
            <v>0</v>
          </cell>
          <cell r="Q145" t="str">
            <v>报废</v>
          </cell>
        </row>
        <row r="146">
          <cell r="B146" t="str">
            <v>001-0002633</v>
          </cell>
          <cell r="C146" t="str">
            <v>计算机</v>
          </cell>
          <cell r="D146" t="str">
            <v>AST/P 286</v>
          </cell>
          <cell r="E146" t="str">
            <v/>
          </cell>
          <cell r="F146" t="str">
            <v>台</v>
          </cell>
          <cell r="G146" t="str">
            <v>198907</v>
          </cell>
          <cell r="H146" t="str">
            <v>198907</v>
          </cell>
          <cell r="I146">
            <v>49482</v>
          </cell>
          <cell r="J146">
            <v>0</v>
          </cell>
          <cell r="K146">
            <v>49482</v>
          </cell>
          <cell r="L146">
            <v>0</v>
          </cell>
          <cell r="M146">
            <v>0</v>
          </cell>
          <cell r="O146">
            <v>0</v>
          </cell>
          <cell r="Q146" t="str">
            <v>报废</v>
          </cell>
        </row>
        <row r="147">
          <cell r="B147" t="str">
            <v>001-0002634</v>
          </cell>
          <cell r="C147" t="str">
            <v>打印机</v>
          </cell>
          <cell r="D147" t="str">
            <v>M1724</v>
          </cell>
          <cell r="E147" t="str">
            <v/>
          </cell>
          <cell r="F147" t="str">
            <v>台</v>
          </cell>
          <cell r="G147" t="str">
            <v>198907</v>
          </cell>
          <cell r="H147" t="str">
            <v>198907</v>
          </cell>
          <cell r="I147">
            <v>6114.14</v>
          </cell>
          <cell r="J147">
            <v>0</v>
          </cell>
          <cell r="K147">
            <v>6114.14</v>
          </cell>
          <cell r="L147">
            <v>0</v>
          </cell>
          <cell r="M147">
            <v>0</v>
          </cell>
          <cell r="O147">
            <v>0</v>
          </cell>
          <cell r="Q147" t="str">
            <v>报废</v>
          </cell>
        </row>
        <row r="148">
          <cell r="B148" t="str">
            <v>001-0002649</v>
          </cell>
          <cell r="C148" t="str">
            <v>复印机</v>
          </cell>
          <cell r="D148" t="str">
            <v>NP-400</v>
          </cell>
          <cell r="E148" t="str">
            <v/>
          </cell>
          <cell r="F148" t="str">
            <v>台</v>
          </cell>
          <cell r="G148" t="str">
            <v>198908</v>
          </cell>
          <cell r="H148" t="str">
            <v>198908</v>
          </cell>
          <cell r="I148">
            <v>59293.07</v>
          </cell>
          <cell r="J148">
            <v>6021.22</v>
          </cell>
          <cell r="K148">
            <v>59293.07</v>
          </cell>
          <cell r="L148">
            <v>6021.22</v>
          </cell>
          <cell r="M148">
            <v>0</v>
          </cell>
          <cell r="O148">
            <v>0</v>
          </cell>
          <cell r="Q148" t="str">
            <v>报废</v>
          </cell>
        </row>
        <row r="149">
          <cell r="B149" t="str">
            <v>001-0002650</v>
          </cell>
          <cell r="C149" t="str">
            <v>UPS电源</v>
          </cell>
          <cell r="D149" t="str">
            <v>500W</v>
          </cell>
          <cell r="E149" t="str">
            <v/>
          </cell>
          <cell r="F149" t="str">
            <v>台</v>
          </cell>
          <cell r="G149" t="str">
            <v>198908</v>
          </cell>
          <cell r="H149" t="str">
            <v>198908</v>
          </cell>
          <cell r="I149">
            <v>3270.36</v>
          </cell>
          <cell r="J149">
            <v>332.1</v>
          </cell>
          <cell r="K149">
            <v>3270.36</v>
          </cell>
          <cell r="L149">
            <v>332.1</v>
          </cell>
          <cell r="M149">
            <v>3000</v>
          </cell>
          <cell r="N149">
            <v>10</v>
          </cell>
          <cell r="O149">
            <v>300</v>
          </cell>
          <cell r="P149">
            <v>-9.665763324299915</v>
          </cell>
          <cell r="Q149" t="str">
            <v>档案馆</v>
          </cell>
        </row>
        <row r="150">
          <cell r="B150" t="str">
            <v>001-0003297</v>
          </cell>
          <cell r="C150" t="str">
            <v>彩电</v>
          </cell>
          <cell r="D150" t="str">
            <v>乐声松下2186</v>
          </cell>
          <cell r="E150" t="str">
            <v/>
          </cell>
          <cell r="F150" t="str">
            <v>台</v>
          </cell>
          <cell r="G150" t="str">
            <v>199009</v>
          </cell>
          <cell r="H150" t="str">
            <v>199009</v>
          </cell>
          <cell r="I150">
            <v>6398.52</v>
          </cell>
          <cell r="J150">
            <v>0</v>
          </cell>
          <cell r="K150">
            <v>6398.52</v>
          </cell>
          <cell r="L150">
            <v>0</v>
          </cell>
          <cell r="M150">
            <v>0</v>
          </cell>
          <cell r="O150">
            <v>0</v>
          </cell>
          <cell r="Q150" t="str">
            <v>报废</v>
          </cell>
        </row>
        <row r="151">
          <cell r="B151" t="str">
            <v>001-0003744</v>
          </cell>
          <cell r="C151" t="str">
            <v>幸福彩色放大机</v>
          </cell>
          <cell r="D151" t="str">
            <v>450-MC</v>
          </cell>
          <cell r="F151" t="str">
            <v>套</v>
          </cell>
          <cell r="G151" t="str">
            <v>199104</v>
          </cell>
          <cell r="H151" t="str">
            <v>199104</v>
          </cell>
          <cell r="I151">
            <v>55453.95</v>
          </cell>
          <cell r="J151">
            <v>0</v>
          </cell>
          <cell r="K151">
            <v>55453.95</v>
          </cell>
          <cell r="L151">
            <v>0</v>
          </cell>
          <cell r="M151">
            <v>0</v>
          </cell>
          <cell r="O151">
            <v>0</v>
          </cell>
          <cell r="Q151" t="str">
            <v>报废</v>
          </cell>
        </row>
        <row r="152">
          <cell r="B152" t="str">
            <v>001-0003814</v>
          </cell>
          <cell r="C152" t="str">
            <v>去湿器</v>
          </cell>
          <cell r="D152" t="str">
            <v>F400D</v>
          </cell>
          <cell r="E152" t="str">
            <v/>
          </cell>
          <cell r="F152" t="str">
            <v>台</v>
          </cell>
          <cell r="G152" t="str">
            <v>199107</v>
          </cell>
          <cell r="H152" t="str">
            <v>199107</v>
          </cell>
          <cell r="I152">
            <v>4325.41</v>
          </cell>
          <cell r="J152">
            <v>1031.17</v>
          </cell>
          <cell r="K152">
            <v>4325.41</v>
          </cell>
          <cell r="L152">
            <v>1031.17</v>
          </cell>
          <cell r="M152">
            <v>3000</v>
          </cell>
          <cell r="N152">
            <v>15</v>
          </cell>
          <cell r="O152">
            <v>450</v>
          </cell>
          <cell r="P152">
            <v>-56.360250977045489</v>
          </cell>
          <cell r="Q152" t="str">
            <v>档案馆</v>
          </cell>
        </row>
        <row r="153">
          <cell r="B153" t="str">
            <v>001-0003815</v>
          </cell>
          <cell r="C153" t="str">
            <v>去湿器</v>
          </cell>
          <cell r="D153" t="str">
            <v>F400D</v>
          </cell>
          <cell r="E153" t="str">
            <v/>
          </cell>
          <cell r="F153" t="str">
            <v>台</v>
          </cell>
          <cell r="G153" t="str">
            <v>199107</v>
          </cell>
          <cell r="H153" t="str">
            <v>199107</v>
          </cell>
          <cell r="I153">
            <v>4325.41</v>
          </cell>
          <cell r="J153">
            <v>1031.17</v>
          </cell>
          <cell r="K153">
            <v>4325.41</v>
          </cell>
          <cell r="L153">
            <v>1031.17</v>
          </cell>
          <cell r="M153">
            <v>3000</v>
          </cell>
          <cell r="N153">
            <v>15</v>
          </cell>
          <cell r="O153">
            <v>450</v>
          </cell>
          <cell r="P153">
            <v>-56.360250977045489</v>
          </cell>
          <cell r="Q153" t="str">
            <v>档案馆</v>
          </cell>
        </row>
        <row r="154">
          <cell r="B154" t="str">
            <v>001-0003816</v>
          </cell>
          <cell r="C154" t="str">
            <v>去湿器</v>
          </cell>
          <cell r="D154" t="str">
            <v>F400D</v>
          </cell>
          <cell r="E154" t="str">
            <v/>
          </cell>
          <cell r="F154" t="str">
            <v>台</v>
          </cell>
          <cell r="G154" t="str">
            <v>199107</v>
          </cell>
          <cell r="H154" t="str">
            <v>199107</v>
          </cell>
          <cell r="I154">
            <v>4325.41</v>
          </cell>
          <cell r="J154">
            <v>1031.17</v>
          </cell>
          <cell r="K154">
            <v>4325.41</v>
          </cell>
          <cell r="L154">
            <v>1031.17</v>
          </cell>
          <cell r="M154">
            <v>3000</v>
          </cell>
          <cell r="N154">
            <v>15</v>
          </cell>
          <cell r="O154">
            <v>450</v>
          </cell>
          <cell r="P154">
            <v>-56.360250977045489</v>
          </cell>
          <cell r="Q154" t="str">
            <v>档案馆</v>
          </cell>
        </row>
        <row r="155">
          <cell r="B155" t="str">
            <v>001-0003817</v>
          </cell>
          <cell r="C155" t="str">
            <v>去湿器</v>
          </cell>
          <cell r="D155" t="str">
            <v>F400D</v>
          </cell>
          <cell r="E155" t="str">
            <v/>
          </cell>
          <cell r="F155" t="str">
            <v>台</v>
          </cell>
          <cell r="G155" t="str">
            <v>199107</v>
          </cell>
          <cell r="H155" t="str">
            <v>199107</v>
          </cell>
          <cell r="I155">
            <v>4325.41</v>
          </cell>
          <cell r="J155">
            <v>1031.17</v>
          </cell>
          <cell r="K155">
            <v>4325.41</v>
          </cell>
          <cell r="L155">
            <v>1031.17</v>
          </cell>
          <cell r="M155">
            <v>3000</v>
          </cell>
          <cell r="N155">
            <v>15</v>
          </cell>
          <cell r="O155">
            <v>450</v>
          </cell>
          <cell r="P155">
            <v>-56.360250977045489</v>
          </cell>
          <cell r="Q155" t="str">
            <v>档案馆</v>
          </cell>
        </row>
        <row r="156">
          <cell r="B156" t="str">
            <v>001-0003818</v>
          </cell>
          <cell r="C156" t="str">
            <v>去湿器</v>
          </cell>
          <cell r="D156" t="str">
            <v>F400D</v>
          </cell>
          <cell r="E156" t="str">
            <v/>
          </cell>
          <cell r="F156" t="str">
            <v>台</v>
          </cell>
          <cell r="G156" t="str">
            <v>199107</v>
          </cell>
          <cell r="H156" t="str">
            <v>199107</v>
          </cell>
          <cell r="I156">
            <v>4325.41</v>
          </cell>
          <cell r="J156">
            <v>1031.17</v>
          </cell>
          <cell r="K156">
            <v>4325.41</v>
          </cell>
          <cell r="L156">
            <v>1031.17</v>
          </cell>
          <cell r="M156">
            <v>3000</v>
          </cell>
          <cell r="N156">
            <v>15</v>
          </cell>
          <cell r="O156">
            <v>450</v>
          </cell>
          <cell r="P156">
            <v>-56.360250977045489</v>
          </cell>
          <cell r="Q156" t="str">
            <v>档案馆</v>
          </cell>
        </row>
        <row r="157">
          <cell r="B157" t="str">
            <v>001-0003819</v>
          </cell>
          <cell r="C157" t="str">
            <v>去湿器</v>
          </cell>
          <cell r="D157" t="str">
            <v>F400D</v>
          </cell>
          <cell r="E157" t="str">
            <v/>
          </cell>
          <cell r="F157" t="str">
            <v>台</v>
          </cell>
          <cell r="G157" t="str">
            <v>199107</v>
          </cell>
          <cell r="H157" t="str">
            <v>199107</v>
          </cell>
          <cell r="I157">
            <v>4325.41</v>
          </cell>
          <cell r="J157">
            <v>1031.17</v>
          </cell>
          <cell r="K157">
            <v>4325.41</v>
          </cell>
          <cell r="L157">
            <v>1031.17</v>
          </cell>
          <cell r="M157">
            <v>3000</v>
          </cell>
          <cell r="N157">
            <v>15</v>
          </cell>
          <cell r="O157">
            <v>450</v>
          </cell>
          <cell r="P157">
            <v>-56.360250977045489</v>
          </cell>
          <cell r="Q157" t="str">
            <v>档案馆</v>
          </cell>
        </row>
        <row r="158">
          <cell r="B158" t="str">
            <v>001-0003821</v>
          </cell>
          <cell r="C158" t="str">
            <v>哈苏相机</v>
          </cell>
          <cell r="D158" t="str">
            <v>120</v>
          </cell>
          <cell r="E158" t="str">
            <v/>
          </cell>
          <cell r="F158" t="str">
            <v>套</v>
          </cell>
          <cell r="G158" t="str">
            <v>199107</v>
          </cell>
          <cell r="H158" t="str">
            <v>199107</v>
          </cell>
          <cell r="I158">
            <v>52467.97</v>
          </cell>
          <cell r="J158">
            <v>12508.38</v>
          </cell>
          <cell r="K158">
            <v>52467.97</v>
          </cell>
          <cell r="L158">
            <v>12508.38</v>
          </cell>
          <cell r="M158">
            <v>48000</v>
          </cell>
          <cell r="N158">
            <v>15</v>
          </cell>
          <cell r="O158">
            <v>7200</v>
          </cell>
          <cell r="P158">
            <v>-42.438589169820553</v>
          </cell>
          <cell r="Q158" t="str">
            <v>档案馆</v>
          </cell>
        </row>
        <row r="159">
          <cell r="B159" t="str">
            <v>001-0003822</v>
          </cell>
          <cell r="C159" t="str">
            <v>碎纸机</v>
          </cell>
          <cell r="D159" t="str">
            <v/>
          </cell>
          <cell r="E159" t="str">
            <v/>
          </cell>
          <cell r="F159" t="str">
            <v>台</v>
          </cell>
          <cell r="G159" t="str">
            <v>199107</v>
          </cell>
          <cell r="H159" t="str">
            <v>199107</v>
          </cell>
          <cell r="I159">
            <v>4066.61</v>
          </cell>
          <cell r="J159">
            <v>969.46</v>
          </cell>
          <cell r="K159">
            <v>4066.61</v>
          </cell>
          <cell r="L159">
            <v>969.46</v>
          </cell>
          <cell r="M159">
            <v>2800</v>
          </cell>
          <cell r="N159">
            <v>15</v>
          </cell>
          <cell r="O159">
            <v>420</v>
          </cell>
          <cell r="P159">
            <v>-56.676912920594965</v>
          </cell>
          <cell r="Q159" t="str">
            <v>档案馆</v>
          </cell>
        </row>
        <row r="160">
          <cell r="B160" t="str">
            <v>001-0003895</v>
          </cell>
          <cell r="C160" t="str">
            <v>打印机</v>
          </cell>
          <cell r="D160" t="str">
            <v>M1724</v>
          </cell>
          <cell r="E160" t="str">
            <v/>
          </cell>
          <cell r="F160" t="str">
            <v>台</v>
          </cell>
          <cell r="G160" t="str">
            <v>199110</v>
          </cell>
          <cell r="H160" t="str">
            <v>199110</v>
          </cell>
          <cell r="I160">
            <v>5118.84</v>
          </cell>
          <cell r="J160">
            <v>0</v>
          </cell>
          <cell r="K160">
            <v>5118.84</v>
          </cell>
          <cell r="L160">
            <v>0</v>
          </cell>
          <cell r="M160">
            <v>0</v>
          </cell>
          <cell r="O160">
            <v>0</v>
          </cell>
          <cell r="Q160" t="str">
            <v>报废</v>
          </cell>
        </row>
        <row r="161">
          <cell r="B161" t="str">
            <v>001-0003897</v>
          </cell>
          <cell r="C161" t="str">
            <v>计算机主机</v>
          </cell>
          <cell r="D161" t="str">
            <v/>
          </cell>
          <cell r="E161" t="str">
            <v/>
          </cell>
          <cell r="F161" t="str">
            <v>台</v>
          </cell>
          <cell r="G161" t="str">
            <v>199110</v>
          </cell>
          <cell r="H161" t="str">
            <v>199110</v>
          </cell>
          <cell r="I161">
            <v>32703.61</v>
          </cell>
          <cell r="J161">
            <v>0</v>
          </cell>
          <cell r="K161">
            <v>32703.61</v>
          </cell>
          <cell r="L161">
            <v>0</v>
          </cell>
          <cell r="M161">
            <v>0</v>
          </cell>
          <cell r="O161">
            <v>0</v>
          </cell>
          <cell r="Q161" t="str">
            <v>报废</v>
          </cell>
        </row>
        <row r="162">
          <cell r="B162" t="str">
            <v>001-0003989</v>
          </cell>
          <cell r="C162" t="str">
            <v>微型收录机</v>
          </cell>
          <cell r="D162" t="str">
            <v>404</v>
          </cell>
          <cell r="E162" t="str">
            <v/>
          </cell>
          <cell r="F162" t="str">
            <v>台</v>
          </cell>
          <cell r="G162" t="str">
            <v>199112</v>
          </cell>
          <cell r="H162" t="str">
            <v>199112</v>
          </cell>
          <cell r="I162">
            <v>2530.9899999999998</v>
          </cell>
          <cell r="J162">
            <v>678.69</v>
          </cell>
          <cell r="K162">
            <v>2530.9899999999998</v>
          </cell>
          <cell r="L162">
            <v>678.69</v>
          </cell>
          <cell r="M162">
            <v>0</v>
          </cell>
          <cell r="O162">
            <v>0</v>
          </cell>
          <cell r="Q162" t="str">
            <v>报废</v>
          </cell>
        </row>
        <row r="163">
          <cell r="B163" t="str">
            <v>001-0004763</v>
          </cell>
          <cell r="C163" t="str">
            <v>晒图机</v>
          </cell>
          <cell r="D163" t="str">
            <v>FW810</v>
          </cell>
          <cell r="E163" t="str">
            <v/>
          </cell>
          <cell r="F163" t="str">
            <v>台</v>
          </cell>
          <cell r="G163" t="str">
            <v>199209</v>
          </cell>
          <cell r="H163" t="str">
            <v>199209</v>
          </cell>
          <cell r="I163">
            <v>182002.71</v>
          </cell>
          <cell r="J163">
            <v>0</v>
          </cell>
          <cell r="K163">
            <v>182002.71</v>
          </cell>
          <cell r="L163">
            <v>0</v>
          </cell>
          <cell r="M163">
            <v>0</v>
          </cell>
          <cell r="O163">
            <v>0</v>
          </cell>
          <cell r="Q163" t="str">
            <v>报废</v>
          </cell>
        </row>
        <row r="164">
          <cell r="B164" t="str">
            <v>001-0005405</v>
          </cell>
          <cell r="C164" t="str">
            <v>去湿机</v>
          </cell>
          <cell r="D164" t="str">
            <v>400P</v>
          </cell>
          <cell r="E164" t="str">
            <v/>
          </cell>
          <cell r="F164" t="str">
            <v>台</v>
          </cell>
          <cell r="G164" t="str">
            <v>199311</v>
          </cell>
          <cell r="H164" t="str">
            <v>199311</v>
          </cell>
          <cell r="I164">
            <v>14950</v>
          </cell>
          <cell r="J164">
            <v>6054.76</v>
          </cell>
          <cell r="K164">
            <v>14950</v>
          </cell>
          <cell r="L164">
            <v>6054.76</v>
          </cell>
          <cell r="M164">
            <v>12100</v>
          </cell>
          <cell r="N164">
            <v>20</v>
          </cell>
          <cell r="O164">
            <v>2420</v>
          </cell>
          <cell r="P164">
            <v>-60.031446333132941</v>
          </cell>
          <cell r="Q164" t="str">
            <v>档案馆</v>
          </cell>
        </row>
        <row r="165">
          <cell r="B165" t="str">
            <v>001-0005406</v>
          </cell>
          <cell r="C165" t="str">
            <v>录放机</v>
          </cell>
          <cell r="D165" t="str">
            <v>J27</v>
          </cell>
          <cell r="E165" t="str">
            <v/>
          </cell>
          <cell r="F165" t="str">
            <v>台</v>
          </cell>
          <cell r="G165" t="str">
            <v>199311</v>
          </cell>
          <cell r="H165" t="str">
            <v>199311</v>
          </cell>
          <cell r="I165">
            <v>3800</v>
          </cell>
          <cell r="J165">
            <v>1539</v>
          </cell>
          <cell r="K165">
            <v>3800</v>
          </cell>
          <cell r="L165">
            <v>1539</v>
          </cell>
          <cell r="M165">
            <v>0</v>
          </cell>
          <cell r="O165">
            <v>0</v>
          </cell>
          <cell r="P165">
            <v>-100</v>
          </cell>
          <cell r="Q165" t="str">
            <v>报废</v>
          </cell>
        </row>
        <row r="166">
          <cell r="B166" t="str">
            <v>001-0007996</v>
          </cell>
          <cell r="C166" t="str">
            <v>放大镜头</v>
          </cell>
          <cell r="D166" t="str">
            <v>50MM</v>
          </cell>
          <cell r="E166" t="str">
            <v/>
          </cell>
          <cell r="F166" t="str">
            <v>台</v>
          </cell>
          <cell r="G166" t="str">
            <v>199606</v>
          </cell>
          <cell r="H166" t="str">
            <v>199606</v>
          </cell>
          <cell r="I166">
            <v>3300</v>
          </cell>
          <cell r="J166">
            <v>1719.37</v>
          </cell>
          <cell r="K166">
            <v>3300</v>
          </cell>
          <cell r="L166">
            <v>1719.37</v>
          </cell>
          <cell r="M166">
            <v>3630</v>
          </cell>
          <cell r="N166">
            <v>45</v>
          </cell>
          <cell r="O166">
            <v>1633.5</v>
          </cell>
          <cell r="P166">
            <v>-4.9942711574588312</v>
          </cell>
          <cell r="Q166" t="str">
            <v>档案馆</v>
          </cell>
        </row>
        <row r="167">
          <cell r="B167" t="str">
            <v>001-0007997</v>
          </cell>
          <cell r="C167" t="str">
            <v>放大镜头</v>
          </cell>
          <cell r="D167" t="str">
            <v>80MM</v>
          </cell>
          <cell r="E167" t="str">
            <v/>
          </cell>
          <cell r="F167" t="str">
            <v>台</v>
          </cell>
          <cell r="G167" t="str">
            <v>199606</v>
          </cell>
          <cell r="H167" t="str">
            <v>199606</v>
          </cell>
          <cell r="I167">
            <v>6000</v>
          </cell>
          <cell r="J167">
            <v>3126.15</v>
          </cell>
          <cell r="K167">
            <v>6000</v>
          </cell>
          <cell r="L167">
            <v>3126.15</v>
          </cell>
          <cell r="M167">
            <v>6600</v>
          </cell>
          <cell r="N167">
            <v>45</v>
          </cell>
          <cell r="O167">
            <v>2970</v>
          </cell>
          <cell r="P167">
            <v>-4.994961854037717</v>
          </cell>
          <cell r="Q167" t="str">
            <v>档案馆</v>
          </cell>
        </row>
        <row r="168">
          <cell r="B168" t="str">
            <v>001-0008175</v>
          </cell>
          <cell r="C168" t="str">
            <v>彩色冲纸机</v>
          </cell>
          <cell r="D168" t="str">
            <v>DL-60R</v>
          </cell>
          <cell r="E168" t="str">
            <v/>
          </cell>
          <cell r="F168" t="str">
            <v>台</v>
          </cell>
          <cell r="G168" t="str">
            <v>199609</v>
          </cell>
          <cell r="H168" t="str">
            <v>199609</v>
          </cell>
          <cell r="I168">
            <v>39000</v>
          </cell>
          <cell r="J168">
            <v>23684.7</v>
          </cell>
          <cell r="K168">
            <v>39000</v>
          </cell>
          <cell r="L168">
            <v>23684.7</v>
          </cell>
          <cell r="M168">
            <v>38000</v>
          </cell>
          <cell r="N168">
            <v>45</v>
          </cell>
          <cell r="O168">
            <v>17100</v>
          </cell>
          <cell r="P168">
            <v>-27.80149210249655</v>
          </cell>
          <cell r="Q168" t="str">
            <v>档案馆</v>
          </cell>
        </row>
        <row r="169">
          <cell r="B169" t="str">
            <v>001-0008286</v>
          </cell>
          <cell r="C169" t="str">
            <v>计算机</v>
          </cell>
          <cell r="D169" t="str">
            <v>HP586/100</v>
          </cell>
          <cell r="E169" t="str">
            <v/>
          </cell>
          <cell r="F169" t="str">
            <v>台</v>
          </cell>
          <cell r="G169" t="str">
            <v>199610</v>
          </cell>
          <cell r="H169" t="str">
            <v>199610</v>
          </cell>
          <cell r="I169">
            <v>21200</v>
          </cell>
          <cell r="J169">
            <v>13000.9</v>
          </cell>
          <cell r="K169">
            <v>21200</v>
          </cell>
          <cell r="L169">
            <v>13000.9</v>
          </cell>
          <cell r="M169">
            <v>800</v>
          </cell>
          <cell r="O169">
            <v>800</v>
          </cell>
          <cell r="P169">
            <v>-93.846579852164083</v>
          </cell>
          <cell r="Q169" t="str">
            <v>档案馆</v>
          </cell>
        </row>
        <row r="170">
          <cell r="B170" t="str">
            <v>001-0008287</v>
          </cell>
          <cell r="C170" t="str">
            <v>计算机</v>
          </cell>
          <cell r="D170" t="str">
            <v>HP586/100</v>
          </cell>
          <cell r="E170" t="str">
            <v/>
          </cell>
          <cell r="F170" t="str">
            <v>台</v>
          </cell>
          <cell r="G170" t="str">
            <v>199610</v>
          </cell>
          <cell r="H170" t="str">
            <v>199610</v>
          </cell>
          <cell r="I170">
            <v>21200</v>
          </cell>
          <cell r="J170">
            <v>13000.9</v>
          </cell>
          <cell r="K170">
            <v>21200</v>
          </cell>
          <cell r="L170">
            <v>13000.9</v>
          </cell>
          <cell r="M170">
            <v>800</v>
          </cell>
          <cell r="O170">
            <v>800</v>
          </cell>
          <cell r="P170">
            <v>-93.846579852164083</v>
          </cell>
          <cell r="Q170" t="str">
            <v>档案馆</v>
          </cell>
        </row>
        <row r="171">
          <cell r="B171" t="str">
            <v>001-0008683</v>
          </cell>
          <cell r="C171" t="str">
            <v>透明真空热压机</v>
          </cell>
          <cell r="D171" t="str">
            <v>26"×48</v>
          </cell>
          <cell r="E171" t="str">
            <v/>
          </cell>
          <cell r="F171" t="str">
            <v>台</v>
          </cell>
          <cell r="G171" t="str">
            <v>199705</v>
          </cell>
          <cell r="H171" t="str">
            <v>199705</v>
          </cell>
          <cell r="I171">
            <v>51840</v>
          </cell>
          <cell r="J171">
            <v>33950.01</v>
          </cell>
          <cell r="K171">
            <v>51840</v>
          </cell>
          <cell r="L171">
            <v>33950.01</v>
          </cell>
          <cell r="M171">
            <v>48000</v>
          </cell>
          <cell r="N171">
            <v>55</v>
          </cell>
          <cell r="O171">
            <v>26400</v>
          </cell>
          <cell r="P171">
            <v>-22.238609060792623</v>
          </cell>
          <cell r="Q171" t="str">
            <v>档案馆</v>
          </cell>
        </row>
        <row r="172">
          <cell r="B172" t="str">
            <v>001-0008825</v>
          </cell>
          <cell r="C172" t="str">
            <v>抽湿机</v>
          </cell>
          <cell r="D172" t="str">
            <v>CD-400P</v>
          </cell>
          <cell r="E172" t="str">
            <v/>
          </cell>
          <cell r="F172" t="str">
            <v>台</v>
          </cell>
          <cell r="G172" t="str">
            <v>199710</v>
          </cell>
          <cell r="H172" t="str">
            <v>199710</v>
          </cell>
          <cell r="I172">
            <v>3270</v>
          </cell>
          <cell r="J172">
            <v>2238.79</v>
          </cell>
          <cell r="K172">
            <v>3270</v>
          </cell>
          <cell r="L172">
            <v>2238.79</v>
          </cell>
          <cell r="M172">
            <v>3000</v>
          </cell>
          <cell r="N172">
            <v>60</v>
          </cell>
          <cell r="O172">
            <v>1800</v>
          </cell>
          <cell r="P172">
            <v>-19.59942647590886</v>
          </cell>
          <cell r="Q172" t="str">
            <v>档案馆</v>
          </cell>
        </row>
        <row r="173">
          <cell r="B173" t="str">
            <v>001-0008826</v>
          </cell>
          <cell r="C173" t="str">
            <v>抽湿机</v>
          </cell>
          <cell r="D173" t="str">
            <v>CD-400P</v>
          </cell>
          <cell r="E173" t="str">
            <v/>
          </cell>
          <cell r="F173" t="str">
            <v>台</v>
          </cell>
          <cell r="G173" t="str">
            <v>199710</v>
          </cell>
          <cell r="H173" t="str">
            <v>199710</v>
          </cell>
          <cell r="I173">
            <v>3270</v>
          </cell>
          <cell r="J173">
            <v>2238.79</v>
          </cell>
          <cell r="K173">
            <v>3270</v>
          </cell>
          <cell r="L173">
            <v>2238.79</v>
          </cell>
          <cell r="M173">
            <v>3000</v>
          </cell>
          <cell r="N173">
            <v>60</v>
          </cell>
          <cell r="O173">
            <v>1800</v>
          </cell>
          <cell r="P173">
            <v>-19.59942647590886</v>
          </cell>
          <cell r="Q173" t="str">
            <v>档案馆</v>
          </cell>
        </row>
        <row r="174">
          <cell r="B174" t="str">
            <v>001-0008827</v>
          </cell>
          <cell r="C174" t="str">
            <v>抽湿机</v>
          </cell>
          <cell r="D174" t="str">
            <v>CD-400P</v>
          </cell>
          <cell r="E174" t="str">
            <v/>
          </cell>
          <cell r="F174" t="str">
            <v>台</v>
          </cell>
          <cell r="G174" t="str">
            <v>199710</v>
          </cell>
          <cell r="H174" t="str">
            <v>199710</v>
          </cell>
          <cell r="I174">
            <v>3270</v>
          </cell>
          <cell r="J174">
            <v>2238.79</v>
          </cell>
          <cell r="K174">
            <v>3270</v>
          </cell>
          <cell r="L174">
            <v>2238.79</v>
          </cell>
          <cell r="M174">
            <v>3000</v>
          </cell>
          <cell r="N174">
            <v>60</v>
          </cell>
          <cell r="O174">
            <v>1800</v>
          </cell>
          <cell r="P174">
            <v>-19.59942647590886</v>
          </cell>
          <cell r="Q174" t="str">
            <v>档案馆</v>
          </cell>
        </row>
        <row r="175">
          <cell r="B175" t="str">
            <v>001-0008828</v>
          </cell>
          <cell r="C175" t="str">
            <v>抽湿机</v>
          </cell>
          <cell r="D175" t="str">
            <v>CD-400P</v>
          </cell>
          <cell r="E175" t="str">
            <v/>
          </cell>
          <cell r="F175" t="str">
            <v>台</v>
          </cell>
          <cell r="G175" t="str">
            <v>199710</v>
          </cell>
          <cell r="H175" t="str">
            <v>199710</v>
          </cell>
          <cell r="I175">
            <v>3270</v>
          </cell>
          <cell r="J175">
            <v>2238.79</v>
          </cell>
          <cell r="K175">
            <v>3270</v>
          </cell>
          <cell r="L175">
            <v>2238.79</v>
          </cell>
          <cell r="M175">
            <v>3000</v>
          </cell>
          <cell r="N175">
            <v>60</v>
          </cell>
          <cell r="O175">
            <v>1800</v>
          </cell>
          <cell r="P175">
            <v>-19.59942647590886</v>
          </cell>
          <cell r="Q175" t="str">
            <v>档案馆</v>
          </cell>
        </row>
        <row r="176">
          <cell r="B176" t="str">
            <v>001-0008829</v>
          </cell>
          <cell r="C176" t="str">
            <v>抽湿机</v>
          </cell>
          <cell r="D176" t="str">
            <v>CD-400P</v>
          </cell>
          <cell r="E176" t="str">
            <v/>
          </cell>
          <cell r="F176" t="str">
            <v>台</v>
          </cell>
          <cell r="G176" t="str">
            <v>199710</v>
          </cell>
          <cell r="H176" t="str">
            <v>199710</v>
          </cell>
          <cell r="I176">
            <v>3270</v>
          </cell>
          <cell r="J176">
            <v>2238.79</v>
          </cell>
          <cell r="K176">
            <v>3270</v>
          </cell>
          <cell r="L176">
            <v>2238.79</v>
          </cell>
          <cell r="M176">
            <v>3000</v>
          </cell>
          <cell r="N176">
            <v>60</v>
          </cell>
          <cell r="O176">
            <v>1800</v>
          </cell>
          <cell r="P176">
            <v>-19.59942647590886</v>
          </cell>
          <cell r="Q176" t="str">
            <v>档案馆</v>
          </cell>
        </row>
        <row r="177">
          <cell r="B177" t="str">
            <v>001-0008830</v>
          </cell>
          <cell r="C177" t="str">
            <v>抽湿机</v>
          </cell>
          <cell r="D177" t="str">
            <v>CD-400P</v>
          </cell>
          <cell r="E177" t="str">
            <v/>
          </cell>
          <cell r="F177" t="str">
            <v>台</v>
          </cell>
          <cell r="G177" t="str">
            <v>199710</v>
          </cell>
          <cell r="H177" t="str">
            <v>199710</v>
          </cell>
          <cell r="I177">
            <v>3270</v>
          </cell>
          <cell r="J177">
            <v>2238.79</v>
          </cell>
          <cell r="K177">
            <v>3270</v>
          </cell>
          <cell r="L177">
            <v>2238.79</v>
          </cell>
          <cell r="M177">
            <v>3000</v>
          </cell>
          <cell r="N177">
            <v>60</v>
          </cell>
          <cell r="O177">
            <v>1800</v>
          </cell>
          <cell r="P177">
            <v>-19.59942647590886</v>
          </cell>
          <cell r="Q177" t="str">
            <v>档案馆</v>
          </cell>
        </row>
        <row r="178">
          <cell r="B178" t="str">
            <v>001-0011386</v>
          </cell>
          <cell r="C178" t="str">
            <v>复印机</v>
          </cell>
          <cell r="D178" t="str">
            <v>夏普2030</v>
          </cell>
          <cell r="E178" t="str">
            <v/>
          </cell>
          <cell r="F178" t="str">
            <v>台</v>
          </cell>
          <cell r="G178" t="str">
            <v>200006</v>
          </cell>
          <cell r="H178" t="str">
            <v>200006</v>
          </cell>
          <cell r="I178">
            <v>24200</v>
          </cell>
          <cell r="J178">
            <v>18906.259999999998</v>
          </cell>
          <cell r="K178">
            <v>24200</v>
          </cell>
          <cell r="L178">
            <v>18906.259999999998</v>
          </cell>
          <cell r="M178">
            <v>24000</v>
          </cell>
          <cell r="N178">
            <v>75</v>
          </cell>
          <cell r="O178">
            <v>18000</v>
          </cell>
          <cell r="P178">
            <v>-4.7934387869414596</v>
          </cell>
          <cell r="Q178" t="str">
            <v>档案馆</v>
          </cell>
        </row>
        <row r="179">
          <cell r="B179" t="str">
            <v>001-0011409</v>
          </cell>
          <cell r="C179" t="str">
            <v>声像档案管理系统</v>
          </cell>
          <cell r="D179" t="str">
            <v/>
          </cell>
          <cell r="E179" t="str">
            <v/>
          </cell>
          <cell r="F179" t="str">
            <v>台</v>
          </cell>
          <cell r="G179" t="str">
            <v>200007</v>
          </cell>
          <cell r="H179" t="str">
            <v>200007</v>
          </cell>
          <cell r="I179">
            <v>132680</v>
          </cell>
          <cell r="J179">
            <v>110566.66</v>
          </cell>
          <cell r="K179">
            <v>132680</v>
          </cell>
          <cell r="L179">
            <v>110566.66</v>
          </cell>
          <cell r="M179">
            <v>130000</v>
          </cell>
          <cell r="N179">
            <v>90</v>
          </cell>
          <cell r="O179">
            <v>117000</v>
          </cell>
          <cell r="P179">
            <v>5.8185170828168244</v>
          </cell>
          <cell r="Q179" t="str">
            <v>档案馆</v>
          </cell>
        </row>
        <row r="180">
          <cell r="B180" t="str">
            <v>001-0018621</v>
          </cell>
          <cell r="C180" t="str">
            <v>打印机</v>
          </cell>
          <cell r="D180" t="str">
            <v>HP6L</v>
          </cell>
          <cell r="E180" t="str">
            <v/>
          </cell>
          <cell r="F180" t="str">
            <v>台</v>
          </cell>
          <cell r="G180" t="str">
            <v>200109</v>
          </cell>
          <cell r="H180" t="str">
            <v>200109</v>
          </cell>
          <cell r="I180">
            <v>3090</v>
          </cell>
          <cell r="J180">
            <v>2929.06</v>
          </cell>
          <cell r="K180">
            <v>3090</v>
          </cell>
          <cell r="L180">
            <v>2929.06</v>
          </cell>
          <cell r="M180">
            <v>2800</v>
          </cell>
          <cell r="N180">
            <v>90</v>
          </cell>
          <cell r="O180">
            <v>2520</v>
          </cell>
          <cell r="P180">
            <v>-13.965572572770785</v>
          </cell>
          <cell r="Q180" t="str">
            <v>档案馆</v>
          </cell>
        </row>
        <row r="181">
          <cell r="B181" t="str">
            <v>001-0018627</v>
          </cell>
          <cell r="C181" t="str">
            <v>彩色喷绘打印机</v>
          </cell>
          <cell r="D181" t="str">
            <v>PRO10000CF</v>
          </cell>
          <cell r="E181" t="str">
            <v/>
          </cell>
          <cell r="F181" t="str">
            <v>台</v>
          </cell>
          <cell r="G181" t="str">
            <v>200109</v>
          </cell>
          <cell r="H181" t="str">
            <v>200109</v>
          </cell>
          <cell r="I181">
            <v>97800</v>
          </cell>
          <cell r="J181">
            <v>92706.25</v>
          </cell>
          <cell r="K181">
            <v>97800</v>
          </cell>
          <cell r="L181">
            <v>92706.25</v>
          </cell>
          <cell r="M181">
            <v>95000</v>
          </cell>
          <cell r="N181">
            <v>95</v>
          </cell>
          <cell r="O181">
            <v>90250</v>
          </cell>
          <cell r="P181">
            <v>-2.6494977415222816</v>
          </cell>
          <cell r="Q181" t="str">
            <v>档案馆</v>
          </cell>
        </row>
        <row r="182">
          <cell r="B182" t="str">
            <v>001-0019271</v>
          </cell>
          <cell r="C182" t="str">
            <v>计算机</v>
          </cell>
          <cell r="D182" t="str">
            <v>DELL</v>
          </cell>
          <cell r="E182" t="str">
            <v/>
          </cell>
          <cell r="F182" t="str">
            <v>台</v>
          </cell>
          <cell r="G182" t="str">
            <v>200111</v>
          </cell>
          <cell r="H182" t="str">
            <v>200111</v>
          </cell>
          <cell r="I182">
            <v>11337</v>
          </cell>
          <cell r="J182">
            <v>11053.56</v>
          </cell>
          <cell r="K182">
            <v>11337</v>
          </cell>
          <cell r="L182">
            <v>11053.56</v>
          </cell>
          <cell r="M182">
            <v>8500</v>
          </cell>
          <cell r="N182">
            <v>95</v>
          </cell>
          <cell r="O182">
            <v>8075</v>
          </cell>
          <cell r="P182">
            <v>-26.94661267501149</v>
          </cell>
          <cell r="Q182" t="str">
            <v>档案馆</v>
          </cell>
        </row>
        <row r="183">
          <cell r="B183" t="str">
            <v>001-0019272</v>
          </cell>
          <cell r="C183" t="str">
            <v>计算机</v>
          </cell>
          <cell r="D183" t="str">
            <v>DELL</v>
          </cell>
          <cell r="E183" t="str">
            <v/>
          </cell>
          <cell r="F183" t="str">
            <v>台</v>
          </cell>
          <cell r="G183" t="str">
            <v>200111</v>
          </cell>
          <cell r="H183" t="str">
            <v>200111</v>
          </cell>
          <cell r="I183">
            <v>11337</v>
          </cell>
          <cell r="J183">
            <v>11053.56</v>
          </cell>
          <cell r="K183">
            <v>11337</v>
          </cell>
          <cell r="L183">
            <v>11053.56</v>
          </cell>
          <cell r="M183">
            <v>8500</v>
          </cell>
          <cell r="N183">
            <v>95</v>
          </cell>
          <cell r="O183">
            <v>8075</v>
          </cell>
          <cell r="P183">
            <v>-26.94661267501149</v>
          </cell>
          <cell r="Q183" t="str">
            <v>档案馆</v>
          </cell>
        </row>
        <row r="184">
          <cell r="B184" t="str">
            <v>001-0019966</v>
          </cell>
          <cell r="C184" t="str">
            <v>工程复印机</v>
          </cell>
          <cell r="D184" t="str">
            <v>施乐8850</v>
          </cell>
          <cell r="E184" t="str">
            <v/>
          </cell>
          <cell r="F184" t="str">
            <v>套</v>
          </cell>
          <cell r="G184" t="str">
            <v>200112</v>
          </cell>
          <cell r="H184" t="str">
            <v>200112</v>
          </cell>
          <cell r="I184">
            <v>345000</v>
          </cell>
          <cell r="J184">
            <v>337812.5</v>
          </cell>
          <cell r="K184">
            <v>345000</v>
          </cell>
          <cell r="L184">
            <v>337812.5</v>
          </cell>
          <cell r="M184">
            <v>340000</v>
          </cell>
          <cell r="N184">
            <v>95</v>
          </cell>
          <cell r="O184">
            <v>323000</v>
          </cell>
          <cell r="P184">
            <v>-4.3848288621646621</v>
          </cell>
          <cell r="Q184" t="str">
            <v>档案馆</v>
          </cell>
        </row>
        <row r="185">
          <cell r="B185" t="str">
            <v>001-0020048</v>
          </cell>
          <cell r="C185" t="str">
            <v>电冰箱</v>
          </cell>
          <cell r="D185" t="str">
            <v>BCD-248</v>
          </cell>
          <cell r="E185" t="str">
            <v/>
          </cell>
          <cell r="F185" t="str">
            <v>台</v>
          </cell>
          <cell r="G185" t="str">
            <v>200112</v>
          </cell>
          <cell r="H185" t="str">
            <v>200112</v>
          </cell>
          <cell r="I185">
            <v>3000</v>
          </cell>
          <cell r="J185">
            <v>3000</v>
          </cell>
          <cell r="K185">
            <v>3000</v>
          </cell>
          <cell r="L185">
            <v>3000</v>
          </cell>
          <cell r="M185">
            <v>3000</v>
          </cell>
          <cell r="N185">
            <v>95</v>
          </cell>
          <cell r="O185">
            <v>2850</v>
          </cell>
          <cell r="P185">
            <v>-5</v>
          </cell>
          <cell r="Q185" t="str">
            <v>档案馆</v>
          </cell>
        </row>
        <row r="186">
          <cell r="B186" t="str">
            <v>001-0020061</v>
          </cell>
          <cell r="C186" t="str">
            <v>空调</v>
          </cell>
          <cell r="D186" t="str">
            <v>柜式KFR-60LW/BP</v>
          </cell>
          <cell r="E186" t="str">
            <v/>
          </cell>
          <cell r="F186" t="str">
            <v>台</v>
          </cell>
          <cell r="G186" t="str">
            <v>200112</v>
          </cell>
          <cell r="H186" t="str">
            <v>200112</v>
          </cell>
          <cell r="I186">
            <v>7700</v>
          </cell>
          <cell r="J186">
            <v>7700</v>
          </cell>
          <cell r="K186">
            <v>7700</v>
          </cell>
          <cell r="L186">
            <v>7700</v>
          </cell>
          <cell r="M186">
            <v>7000</v>
          </cell>
          <cell r="N186">
            <v>95</v>
          </cell>
          <cell r="O186">
            <v>6650</v>
          </cell>
          <cell r="P186">
            <v>-13.636363636363635</v>
          </cell>
          <cell r="Q186" t="str">
            <v>档案馆</v>
          </cell>
        </row>
        <row r="187">
          <cell r="B187" t="str">
            <v>001-0020228</v>
          </cell>
          <cell r="C187" t="str">
            <v>计算机</v>
          </cell>
          <cell r="D187" t="str">
            <v>HP  VL5/200</v>
          </cell>
          <cell r="F187" t="str">
            <v>批</v>
          </cell>
          <cell r="G187" t="str">
            <v>200112</v>
          </cell>
          <cell r="H187" t="str">
            <v>200112</v>
          </cell>
          <cell r="I187">
            <v>13000</v>
          </cell>
          <cell r="J187">
            <v>13000</v>
          </cell>
          <cell r="K187">
            <v>13000</v>
          </cell>
          <cell r="L187">
            <v>13000</v>
          </cell>
          <cell r="M187">
            <v>13000</v>
          </cell>
          <cell r="N187">
            <v>95</v>
          </cell>
          <cell r="O187">
            <v>12350</v>
          </cell>
          <cell r="P187">
            <v>-5</v>
          </cell>
          <cell r="Q187" t="str">
            <v>档案馆</v>
          </cell>
        </row>
        <row r="188">
          <cell r="B188" t="str">
            <v>001-0020343</v>
          </cell>
          <cell r="C188" t="str">
            <v>电子  票柜</v>
          </cell>
          <cell r="D188" t="str">
            <v/>
          </cell>
          <cell r="E188" t="str">
            <v/>
          </cell>
          <cell r="F188" t="str">
            <v>个</v>
          </cell>
          <cell r="G188" t="str">
            <v>200112</v>
          </cell>
          <cell r="H188" t="str">
            <v>200112</v>
          </cell>
          <cell r="I188">
            <v>6800</v>
          </cell>
          <cell r="J188">
            <v>6800</v>
          </cell>
          <cell r="K188">
            <v>6800</v>
          </cell>
          <cell r="L188">
            <v>6800</v>
          </cell>
          <cell r="M188">
            <v>6800</v>
          </cell>
          <cell r="N188">
            <v>95</v>
          </cell>
          <cell r="O188">
            <v>6460</v>
          </cell>
          <cell r="P188">
            <v>-5</v>
          </cell>
          <cell r="Q188" t="str">
            <v>档案馆</v>
          </cell>
        </row>
        <row r="189">
          <cell r="B189" t="str">
            <v>001-0005927</v>
          </cell>
          <cell r="C189" t="str">
            <v>照相机</v>
          </cell>
          <cell r="D189" t="str">
            <v>佳能EOS-1</v>
          </cell>
          <cell r="E189" t="str">
            <v>报废</v>
          </cell>
          <cell r="F189" t="str">
            <v>台</v>
          </cell>
          <cell r="G189" t="str">
            <v>199412</v>
          </cell>
          <cell r="H189" t="str">
            <v>199412</v>
          </cell>
          <cell r="I189">
            <v>127260</v>
          </cell>
          <cell r="J189">
            <v>61383.86</v>
          </cell>
          <cell r="K189">
            <v>127260</v>
          </cell>
          <cell r="L189">
            <v>61383.86</v>
          </cell>
          <cell r="M189">
            <v>0</v>
          </cell>
          <cell r="O189">
            <v>0</v>
          </cell>
          <cell r="P189">
            <v>-100</v>
          </cell>
          <cell r="Q189" t="str">
            <v>报废</v>
          </cell>
        </row>
        <row r="190">
          <cell r="B190" t="str">
            <v>001-0011648</v>
          </cell>
          <cell r="C190" t="str">
            <v>激光打印机</v>
          </cell>
          <cell r="D190" t="str">
            <v>LJ3116A3</v>
          </cell>
          <cell r="E190" t="str">
            <v/>
          </cell>
          <cell r="F190" t="str">
            <v>台</v>
          </cell>
          <cell r="G190" t="str">
            <v>200011</v>
          </cell>
          <cell r="H190" t="str">
            <v>200011</v>
          </cell>
          <cell r="I190">
            <v>8650</v>
          </cell>
          <cell r="J190">
            <v>7208.35</v>
          </cell>
          <cell r="K190">
            <v>8650</v>
          </cell>
          <cell r="L190">
            <v>7208.35</v>
          </cell>
          <cell r="M190">
            <v>7600</v>
          </cell>
          <cell r="N190">
            <v>85</v>
          </cell>
          <cell r="O190">
            <v>6460</v>
          </cell>
          <cell r="P190">
            <v>-10.38171010009226</v>
          </cell>
          <cell r="Q190" t="str">
            <v>多经处</v>
          </cell>
        </row>
        <row r="191">
          <cell r="B191" t="str">
            <v>001-0018622</v>
          </cell>
          <cell r="C191" t="str">
            <v>打印机</v>
          </cell>
          <cell r="D191" t="str">
            <v>HP6L</v>
          </cell>
          <cell r="F191" t="str">
            <v>台</v>
          </cell>
          <cell r="G191" t="str">
            <v>200109</v>
          </cell>
          <cell r="H191" t="str">
            <v>200109</v>
          </cell>
          <cell r="I191">
            <v>3090</v>
          </cell>
          <cell r="J191">
            <v>2929.06</v>
          </cell>
          <cell r="K191">
            <v>3090</v>
          </cell>
          <cell r="L191">
            <v>2929.06</v>
          </cell>
          <cell r="M191">
            <v>2800</v>
          </cell>
          <cell r="N191">
            <v>90</v>
          </cell>
          <cell r="O191">
            <v>2520</v>
          </cell>
          <cell r="P191">
            <v>-13.965572572770785</v>
          </cell>
          <cell r="Q191" t="str">
            <v>多经处</v>
          </cell>
        </row>
        <row r="192">
          <cell r="B192" t="str">
            <v>001-0019254</v>
          </cell>
          <cell r="C192" t="str">
            <v>计算机</v>
          </cell>
          <cell r="D192" t="str">
            <v>DELL</v>
          </cell>
          <cell r="E192" t="str">
            <v/>
          </cell>
          <cell r="F192" t="str">
            <v>台</v>
          </cell>
          <cell r="G192" t="str">
            <v>200111</v>
          </cell>
          <cell r="H192" t="str">
            <v>200111</v>
          </cell>
          <cell r="I192">
            <v>11337</v>
          </cell>
          <cell r="J192">
            <v>11053.56</v>
          </cell>
          <cell r="K192">
            <v>11337</v>
          </cell>
          <cell r="L192">
            <v>11053.56</v>
          </cell>
          <cell r="M192">
            <v>11000</v>
          </cell>
          <cell r="N192">
            <v>95</v>
          </cell>
          <cell r="O192">
            <v>10450</v>
          </cell>
          <cell r="P192">
            <v>-5.4603222853089823</v>
          </cell>
          <cell r="Q192" t="str">
            <v>多经处</v>
          </cell>
        </row>
        <row r="193">
          <cell r="B193" t="str">
            <v>001-0000851</v>
          </cell>
          <cell r="C193" t="str">
            <v>翻拍仪</v>
          </cell>
          <cell r="D193" t="str">
            <v>XD-7</v>
          </cell>
          <cell r="E193" t="str">
            <v/>
          </cell>
          <cell r="F193" t="str">
            <v>台</v>
          </cell>
          <cell r="G193" t="str">
            <v>198412</v>
          </cell>
          <cell r="H193" t="str">
            <v>198412</v>
          </cell>
          <cell r="I193">
            <v>8559.7999999999993</v>
          </cell>
          <cell r="J193">
            <v>0</v>
          </cell>
          <cell r="K193">
            <v>8559.7999999999993</v>
          </cell>
          <cell r="L193">
            <v>0</v>
          </cell>
          <cell r="M193">
            <v>0</v>
          </cell>
          <cell r="O193">
            <v>0</v>
          </cell>
          <cell r="Q193" t="str">
            <v>报废</v>
          </cell>
        </row>
        <row r="194">
          <cell r="B194" t="str">
            <v>001-0002637</v>
          </cell>
          <cell r="C194" t="str">
            <v>火场勘查防火检查仪器</v>
          </cell>
          <cell r="D194" t="str">
            <v>FH-1型</v>
          </cell>
          <cell r="E194" t="str">
            <v/>
          </cell>
          <cell r="F194" t="str">
            <v>套</v>
          </cell>
          <cell r="G194" t="str">
            <v>198907</v>
          </cell>
          <cell r="H194" t="str">
            <v>198907</v>
          </cell>
          <cell r="I194">
            <v>13187.22</v>
          </cell>
          <cell r="J194">
            <v>1260.71</v>
          </cell>
          <cell r="K194">
            <v>13187.22</v>
          </cell>
          <cell r="L194">
            <v>1260.71</v>
          </cell>
          <cell r="M194">
            <v>0</v>
          </cell>
          <cell r="O194">
            <v>0</v>
          </cell>
          <cell r="P194">
            <v>-100</v>
          </cell>
          <cell r="Q194" t="str">
            <v>报废</v>
          </cell>
        </row>
        <row r="195">
          <cell r="B195" t="str">
            <v>001-0004876</v>
          </cell>
          <cell r="C195" t="str">
            <v>热水器</v>
          </cell>
          <cell r="D195" t="str">
            <v>DQ-60</v>
          </cell>
          <cell r="E195" t="str">
            <v/>
          </cell>
          <cell r="F195" t="str">
            <v>只</v>
          </cell>
          <cell r="G195" t="str">
            <v>199201</v>
          </cell>
          <cell r="H195" t="str">
            <v>199201</v>
          </cell>
          <cell r="I195">
            <v>4052.39</v>
          </cell>
          <cell r="J195">
            <v>0</v>
          </cell>
          <cell r="K195">
            <v>4052.39</v>
          </cell>
          <cell r="L195">
            <v>0</v>
          </cell>
          <cell r="M195">
            <v>0</v>
          </cell>
          <cell r="O195">
            <v>0</v>
          </cell>
          <cell r="Q195" t="str">
            <v>报废</v>
          </cell>
        </row>
        <row r="196">
          <cell r="B196" t="str">
            <v>001-0004933</v>
          </cell>
          <cell r="C196" t="str">
            <v>传真机</v>
          </cell>
          <cell r="D196" t="str">
            <v>佳能</v>
          </cell>
          <cell r="E196" t="str">
            <v/>
          </cell>
          <cell r="F196" t="str">
            <v>台</v>
          </cell>
          <cell r="G196" t="str">
            <v>199302</v>
          </cell>
          <cell r="H196" t="str">
            <v>199302</v>
          </cell>
          <cell r="I196">
            <v>14040</v>
          </cell>
          <cell r="J196">
            <v>7663.5</v>
          </cell>
          <cell r="K196">
            <v>14040</v>
          </cell>
          <cell r="L196">
            <v>7663.5</v>
          </cell>
          <cell r="M196">
            <v>8000</v>
          </cell>
          <cell r="N196">
            <v>15</v>
          </cell>
          <cell r="O196">
            <v>1200</v>
          </cell>
          <cell r="P196">
            <v>-84.341358387159914</v>
          </cell>
          <cell r="Q196" t="str">
            <v>公安处</v>
          </cell>
        </row>
        <row r="197">
          <cell r="B197" t="str">
            <v>001-0007203</v>
          </cell>
          <cell r="C197" t="str">
            <v>计算机</v>
          </cell>
          <cell r="D197" t="str">
            <v/>
          </cell>
          <cell r="E197" t="str">
            <v/>
          </cell>
          <cell r="F197" t="str">
            <v>台</v>
          </cell>
          <cell r="G197" t="str">
            <v>199507</v>
          </cell>
          <cell r="H197" t="str">
            <v>199507</v>
          </cell>
          <cell r="I197">
            <v>50000</v>
          </cell>
          <cell r="J197">
            <v>16666.66</v>
          </cell>
          <cell r="K197">
            <v>50000</v>
          </cell>
          <cell r="L197">
            <v>16666.66</v>
          </cell>
          <cell r="M197">
            <v>800</v>
          </cell>
          <cell r="N197">
            <v>100</v>
          </cell>
          <cell r="O197">
            <v>800</v>
          </cell>
          <cell r="P197">
            <v>-95.199998079999233</v>
          </cell>
          <cell r="Q197" t="str">
            <v>公安处</v>
          </cell>
        </row>
        <row r="198">
          <cell r="B198" t="str">
            <v>001-0008121</v>
          </cell>
          <cell r="C198" t="str">
            <v>空调</v>
          </cell>
          <cell r="D198" t="str">
            <v>华宝KF2-35G</v>
          </cell>
          <cell r="F198" t="str">
            <v>台</v>
          </cell>
          <cell r="G198" t="str">
            <v>199608</v>
          </cell>
          <cell r="H198" t="str">
            <v>199608</v>
          </cell>
          <cell r="I198">
            <v>6095</v>
          </cell>
          <cell r="J198">
            <v>3665.22</v>
          </cell>
          <cell r="K198">
            <v>6095</v>
          </cell>
          <cell r="L198">
            <v>3665.22</v>
          </cell>
          <cell r="M198">
            <v>3000</v>
          </cell>
          <cell r="N198">
            <v>15</v>
          </cell>
          <cell r="O198">
            <v>450</v>
          </cell>
          <cell r="P198">
            <v>-87.722428667310552</v>
          </cell>
          <cell r="Q198" t="str">
            <v>公安处</v>
          </cell>
        </row>
        <row r="199">
          <cell r="B199" t="str">
            <v>001-0008186</v>
          </cell>
          <cell r="C199" t="str">
            <v>彩电</v>
          </cell>
          <cell r="D199" t="str">
            <v>嘉华  825AV25''</v>
          </cell>
          <cell r="E199" t="str">
            <v/>
          </cell>
          <cell r="F199" t="str">
            <v>台</v>
          </cell>
          <cell r="G199" t="str">
            <v>199610</v>
          </cell>
          <cell r="H199" t="str">
            <v>199610</v>
          </cell>
          <cell r="I199">
            <v>3600</v>
          </cell>
          <cell r="J199">
            <v>1162.5</v>
          </cell>
          <cell r="K199">
            <v>3600</v>
          </cell>
          <cell r="L199">
            <v>1162.5</v>
          </cell>
          <cell r="M199">
            <v>2000</v>
          </cell>
          <cell r="N199">
            <v>40</v>
          </cell>
          <cell r="O199">
            <v>800</v>
          </cell>
          <cell r="P199">
            <v>-31.182795698924732</v>
          </cell>
          <cell r="Q199" t="str">
            <v>公安处</v>
          </cell>
        </row>
        <row r="200">
          <cell r="B200" t="str">
            <v>001-0008242</v>
          </cell>
          <cell r="C200" t="str">
            <v>打印机</v>
          </cell>
          <cell r="D200" t="str">
            <v>LQ-1600KII</v>
          </cell>
          <cell r="E200" t="str">
            <v/>
          </cell>
          <cell r="F200" t="str">
            <v>台</v>
          </cell>
          <cell r="G200" t="str">
            <v>199610</v>
          </cell>
          <cell r="H200" t="str">
            <v>199610</v>
          </cell>
          <cell r="I200">
            <v>4050</v>
          </cell>
          <cell r="J200">
            <v>2483.65</v>
          </cell>
          <cell r="K200">
            <v>4050</v>
          </cell>
          <cell r="L200">
            <v>2483.65</v>
          </cell>
          <cell r="M200">
            <v>3200</v>
          </cell>
          <cell r="N200">
            <v>15</v>
          </cell>
          <cell r="O200">
            <v>480</v>
          </cell>
          <cell r="P200">
            <v>-80.673605379179833</v>
          </cell>
          <cell r="Q200" t="str">
            <v>公安处</v>
          </cell>
        </row>
        <row r="201">
          <cell r="B201" t="str">
            <v>001-0008277</v>
          </cell>
          <cell r="C201" t="str">
            <v>计算机</v>
          </cell>
          <cell r="D201" t="str">
            <v>HP586/100</v>
          </cell>
          <cell r="E201" t="str">
            <v/>
          </cell>
          <cell r="F201" t="str">
            <v>台</v>
          </cell>
          <cell r="G201" t="str">
            <v>199610</v>
          </cell>
          <cell r="H201" t="str">
            <v>199610</v>
          </cell>
          <cell r="I201">
            <v>21200</v>
          </cell>
          <cell r="J201">
            <v>13000.9</v>
          </cell>
          <cell r="K201">
            <v>21200</v>
          </cell>
          <cell r="L201">
            <v>13000.9</v>
          </cell>
          <cell r="M201">
            <v>800</v>
          </cell>
          <cell r="N201">
            <v>100</v>
          </cell>
          <cell r="O201">
            <v>800</v>
          </cell>
          <cell r="P201">
            <v>-93.846579852164083</v>
          </cell>
          <cell r="Q201" t="str">
            <v>公安处</v>
          </cell>
        </row>
        <row r="202">
          <cell r="B202" t="str">
            <v>001-0008763</v>
          </cell>
          <cell r="C202" t="str">
            <v>复印机</v>
          </cell>
          <cell r="D202" t="str">
            <v>理光4495</v>
          </cell>
          <cell r="E202" t="str">
            <v/>
          </cell>
          <cell r="F202" t="str">
            <v>台</v>
          </cell>
          <cell r="G202" t="str">
            <v>199708</v>
          </cell>
          <cell r="H202" t="str">
            <v>199708</v>
          </cell>
          <cell r="I202">
            <v>25000</v>
          </cell>
          <cell r="J202">
            <v>10677.07</v>
          </cell>
          <cell r="K202">
            <v>25000</v>
          </cell>
          <cell r="L202">
            <v>10677.07</v>
          </cell>
          <cell r="M202">
            <v>20000</v>
          </cell>
          <cell r="N202">
            <v>15</v>
          </cell>
          <cell r="O202">
            <v>3000</v>
          </cell>
          <cell r="P202">
            <v>-71.902403936660534</v>
          </cell>
          <cell r="Q202" t="str">
            <v>公安处</v>
          </cell>
        </row>
        <row r="203">
          <cell r="B203" t="str">
            <v>001-0009021</v>
          </cell>
          <cell r="C203" t="str">
            <v>过胶机</v>
          </cell>
          <cell r="D203" t="str">
            <v>富士3206</v>
          </cell>
          <cell r="E203" t="str">
            <v/>
          </cell>
          <cell r="F203" t="str">
            <v>台</v>
          </cell>
          <cell r="G203" t="str">
            <v>199805</v>
          </cell>
          <cell r="H203" t="str">
            <v>199805</v>
          </cell>
          <cell r="I203">
            <v>13800</v>
          </cell>
          <cell r="J203">
            <v>10022.94</v>
          </cell>
          <cell r="K203">
            <v>13800</v>
          </cell>
          <cell r="L203">
            <v>10022.94</v>
          </cell>
          <cell r="M203">
            <v>12000</v>
          </cell>
          <cell r="N203">
            <v>60</v>
          </cell>
          <cell r="O203">
            <v>7200</v>
          </cell>
          <cell r="P203">
            <v>-28.164789971804684</v>
          </cell>
          <cell r="Q203" t="str">
            <v>公安处</v>
          </cell>
        </row>
        <row r="204">
          <cell r="B204" t="str">
            <v>001-0009146</v>
          </cell>
          <cell r="C204" t="str">
            <v>公安大楼综合布线系统(MIS网)</v>
          </cell>
          <cell r="D204" t="str">
            <v/>
          </cell>
          <cell r="E204" t="str">
            <v/>
          </cell>
          <cell r="F204" t="str">
            <v>台</v>
          </cell>
          <cell r="G204" t="str">
            <v>199812</v>
          </cell>
          <cell r="H204" t="str">
            <v>199812</v>
          </cell>
          <cell r="I204">
            <v>145900</v>
          </cell>
          <cell r="J204">
            <v>106401.22</v>
          </cell>
          <cell r="K204">
            <v>145900</v>
          </cell>
          <cell r="L204">
            <v>106401.22</v>
          </cell>
          <cell r="M204">
            <v>140000</v>
          </cell>
          <cell r="N204">
            <v>70</v>
          </cell>
          <cell r="O204">
            <v>98000</v>
          </cell>
          <cell r="P204">
            <v>-7.8957929241788776</v>
          </cell>
          <cell r="Q204" t="str">
            <v>公安处</v>
          </cell>
        </row>
        <row r="205">
          <cell r="B205" t="str">
            <v>001-0009728</v>
          </cell>
          <cell r="C205" t="str">
            <v>会议桌</v>
          </cell>
          <cell r="D205" t="str">
            <v/>
          </cell>
          <cell r="E205" t="str">
            <v/>
          </cell>
          <cell r="F205" t="str">
            <v>台</v>
          </cell>
          <cell r="G205" t="str">
            <v>199902</v>
          </cell>
          <cell r="H205" t="str">
            <v>199902</v>
          </cell>
          <cell r="I205">
            <v>4900</v>
          </cell>
          <cell r="J205">
            <v>3821.25</v>
          </cell>
          <cell r="K205">
            <v>4900</v>
          </cell>
          <cell r="L205">
            <v>3821.25</v>
          </cell>
          <cell r="M205">
            <v>3500</v>
          </cell>
          <cell r="N205">
            <v>60</v>
          </cell>
          <cell r="O205">
            <v>2100</v>
          </cell>
          <cell r="P205">
            <v>-45.044160942100099</v>
          </cell>
          <cell r="Q205" t="str">
            <v>公安处</v>
          </cell>
        </row>
        <row r="206">
          <cell r="B206" t="str">
            <v>001-0010222</v>
          </cell>
          <cell r="C206" t="str">
            <v>计算机</v>
          </cell>
          <cell r="D206" t="str">
            <v>HPVEI8</v>
          </cell>
          <cell r="E206" t="str">
            <v/>
          </cell>
          <cell r="F206" t="str">
            <v>台</v>
          </cell>
          <cell r="G206" t="str">
            <v>199910</v>
          </cell>
          <cell r="H206" t="str">
            <v>199910</v>
          </cell>
          <cell r="I206">
            <v>12400</v>
          </cell>
          <cell r="J206">
            <v>9403.34</v>
          </cell>
          <cell r="K206">
            <v>12400</v>
          </cell>
          <cell r="L206">
            <v>9403.34</v>
          </cell>
          <cell r="M206">
            <v>10000</v>
          </cell>
          <cell r="N206">
            <v>50</v>
          </cell>
          <cell r="O206">
            <v>5000</v>
          </cell>
          <cell r="P206">
            <v>-46.827403879897993</v>
          </cell>
          <cell r="Q206" t="str">
            <v>公安处</v>
          </cell>
        </row>
        <row r="207">
          <cell r="B207" t="str">
            <v>001-0010223</v>
          </cell>
          <cell r="C207" t="str">
            <v>打印机</v>
          </cell>
          <cell r="D207" t="str">
            <v>激光HP6L</v>
          </cell>
          <cell r="E207" t="str">
            <v/>
          </cell>
          <cell r="F207" t="str">
            <v>台</v>
          </cell>
          <cell r="G207" t="str">
            <v>199910</v>
          </cell>
          <cell r="H207" t="str">
            <v>199910</v>
          </cell>
          <cell r="I207">
            <v>3150</v>
          </cell>
          <cell r="J207">
            <v>2388.75</v>
          </cell>
          <cell r="K207">
            <v>3150</v>
          </cell>
          <cell r="L207">
            <v>2388.75</v>
          </cell>
          <cell r="M207">
            <v>2800</v>
          </cell>
          <cell r="N207">
            <v>60</v>
          </cell>
          <cell r="O207">
            <v>1680</v>
          </cell>
          <cell r="P207">
            <v>-29.670329670329672</v>
          </cell>
          <cell r="Q207" t="str">
            <v>公安处</v>
          </cell>
        </row>
        <row r="208">
          <cell r="B208" t="str">
            <v>001-0011372</v>
          </cell>
          <cell r="C208" t="str">
            <v>JAV音响</v>
          </cell>
          <cell r="D208" t="str">
            <v/>
          </cell>
          <cell r="E208" t="str">
            <v/>
          </cell>
          <cell r="F208" t="str">
            <v>台</v>
          </cell>
          <cell r="G208" t="str">
            <v>200005</v>
          </cell>
          <cell r="H208" t="str">
            <v>200005</v>
          </cell>
          <cell r="I208">
            <v>3000</v>
          </cell>
          <cell r="J208">
            <v>2607.3000000000002</v>
          </cell>
          <cell r="K208">
            <v>3000</v>
          </cell>
          <cell r="L208">
            <v>2607.3000000000002</v>
          </cell>
          <cell r="M208">
            <v>2800</v>
          </cell>
          <cell r="N208">
            <v>70</v>
          </cell>
          <cell r="O208">
            <v>1960</v>
          </cell>
          <cell r="P208">
            <v>-24.82644881678365</v>
          </cell>
          <cell r="Q208" t="str">
            <v>公安处</v>
          </cell>
        </row>
        <row r="209">
          <cell r="B209" t="str">
            <v>001-0011373</v>
          </cell>
          <cell r="C209" t="str">
            <v>JAV音响</v>
          </cell>
          <cell r="D209" t="str">
            <v/>
          </cell>
          <cell r="E209" t="str">
            <v/>
          </cell>
          <cell r="F209" t="str">
            <v>台</v>
          </cell>
          <cell r="G209" t="str">
            <v>200005</v>
          </cell>
          <cell r="H209" t="str">
            <v>200005</v>
          </cell>
          <cell r="I209">
            <v>3000</v>
          </cell>
          <cell r="J209">
            <v>2607.3000000000002</v>
          </cell>
          <cell r="K209">
            <v>3000</v>
          </cell>
          <cell r="L209">
            <v>2607.3000000000002</v>
          </cell>
          <cell r="M209">
            <v>2800</v>
          </cell>
          <cell r="N209">
            <v>70</v>
          </cell>
          <cell r="O209">
            <v>1960</v>
          </cell>
          <cell r="P209">
            <v>-24.82644881678365</v>
          </cell>
          <cell r="Q209" t="str">
            <v>公安处</v>
          </cell>
        </row>
        <row r="210">
          <cell r="B210" t="str">
            <v>001-0011374</v>
          </cell>
          <cell r="C210" t="str">
            <v>功放</v>
          </cell>
          <cell r="D210" t="str">
            <v/>
          </cell>
          <cell r="E210" t="str">
            <v/>
          </cell>
          <cell r="F210" t="str">
            <v>台</v>
          </cell>
          <cell r="G210" t="str">
            <v>200005</v>
          </cell>
          <cell r="H210" t="str">
            <v>200005</v>
          </cell>
          <cell r="I210">
            <v>3500</v>
          </cell>
          <cell r="J210">
            <v>3041.83</v>
          </cell>
          <cell r="K210">
            <v>3500</v>
          </cell>
          <cell r="L210">
            <v>3041.83</v>
          </cell>
          <cell r="M210">
            <v>3000</v>
          </cell>
          <cell r="N210">
            <v>70</v>
          </cell>
          <cell r="O210">
            <v>2100</v>
          </cell>
          <cell r="P210">
            <v>-30.96261132278924</v>
          </cell>
          <cell r="Q210" t="str">
            <v>公安处</v>
          </cell>
        </row>
        <row r="211">
          <cell r="B211" t="str">
            <v>001-0011375</v>
          </cell>
          <cell r="C211" t="str">
            <v>调音台</v>
          </cell>
          <cell r="D211" t="str">
            <v/>
          </cell>
          <cell r="E211" t="str">
            <v/>
          </cell>
          <cell r="F211" t="str">
            <v>台</v>
          </cell>
          <cell r="G211" t="str">
            <v>200005</v>
          </cell>
          <cell r="H211" t="str">
            <v>200005</v>
          </cell>
          <cell r="I211">
            <v>2500</v>
          </cell>
          <cell r="J211">
            <v>2172.73</v>
          </cell>
          <cell r="K211">
            <v>2500</v>
          </cell>
          <cell r="L211">
            <v>2172.73</v>
          </cell>
          <cell r="M211">
            <v>2000</v>
          </cell>
          <cell r="N211">
            <v>70</v>
          </cell>
          <cell r="O211">
            <v>1400</v>
          </cell>
          <cell r="P211">
            <v>-35.564934437320787</v>
          </cell>
          <cell r="Q211" t="str">
            <v>公安处</v>
          </cell>
        </row>
        <row r="212">
          <cell r="B212" t="str">
            <v>001-0011768</v>
          </cell>
          <cell r="C212" t="str">
            <v>计算机</v>
          </cell>
          <cell r="D212" t="str">
            <v>HPVL2229A</v>
          </cell>
          <cell r="E212" t="str">
            <v/>
          </cell>
          <cell r="F212" t="str">
            <v>台</v>
          </cell>
          <cell r="G212" t="str">
            <v>200012</v>
          </cell>
          <cell r="H212" t="str">
            <v>200012</v>
          </cell>
          <cell r="I212">
            <v>9500</v>
          </cell>
          <cell r="J212">
            <v>8312.49</v>
          </cell>
          <cell r="K212">
            <v>9500</v>
          </cell>
          <cell r="L212">
            <v>8312.49</v>
          </cell>
          <cell r="M212">
            <v>9000</v>
          </cell>
          <cell r="N212">
            <v>75</v>
          </cell>
          <cell r="O212">
            <v>6750</v>
          </cell>
          <cell r="P212">
            <v>-18.796894793256889</v>
          </cell>
          <cell r="Q212" t="str">
            <v>公安处</v>
          </cell>
        </row>
        <row r="213">
          <cell r="B213" t="str">
            <v>001-0011769</v>
          </cell>
          <cell r="C213" t="str">
            <v>计算机</v>
          </cell>
          <cell r="D213" t="str">
            <v>HPVL2229A</v>
          </cell>
          <cell r="E213" t="str">
            <v/>
          </cell>
          <cell r="F213" t="str">
            <v>台</v>
          </cell>
          <cell r="G213" t="str">
            <v>200012</v>
          </cell>
          <cell r="H213" t="str">
            <v>200012</v>
          </cell>
          <cell r="I213">
            <v>9500</v>
          </cell>
          <cell r="J213">
            <v>8312.49</v>
          </cell>
          <cell r="K213">
            <v>9500</v>
          </cell>
          <cell r="L213">
            <v>8312.49</v>
          </cell>
          <cell r="M213">
            <v>9000</v>
          </cell>
          <cell r="N213">
            <v>75</v>
          </cell>
          <cell r="O213">
            <v>6750</v>
          </cell>
          <cell r="P213">
            <v>-18.796894793256889</v>
          </cell>
          <cell r="Q213" t="str">
            <v>公安处</v>
          </cell>
        </row>
        <row r="214">
          <cell r="B214" t="str">
            <v>001-0018620</v>
          </cell>
          <cell r="C214" t="str">
            <v>打印机</v>
          </cell>
          <cell r="D214" t="str">
            <v>HPLaserjet 6L</v>
          </cell>
          <cell r="E214" t="str">
            <v/>
          </cell>
          <cell r="F214" t="str">
            <v>台</v>
          </cell>
          <cell r="G214" t="str">
            <v>200109</v>
          </cell>
          <cell r="H214" t="str">
            <v>200109</v>
          </cell>
          <cell r="I214">
            <v>3090</v>
          </cell>
          <cell r="J214">
            <v>2929.06</v>
          </cell>
          <cell r="K214">
            <v>3090</v>
          </cell>
          <cell r="L214">
            <v>2929.06</v>
          </cell>
          <cell r="M214">
            <v>2800</v>
          </cell>
          <cell r="N214">
            <v>90</v>
          </cell>
          <cell r="O214">
            <v>2520</v>
          </cell>
          <cell r="P214">
            <v>-13.965572572770785</v>
          </cell>
          <cell r="Q214" t="str">
            <v>公安处</v>
          </cell>
        </row>
        <row r="215">
          <cell r="B215" t="str">
            <v>001-0018903</v>
          </cell>
          <cell r="C215" t="str">
            <v>照相机</v>
          </cell>
          <cell r="D215" t="str">
            <v/>
          </cell>
          <cell r="E215" t="str">
            <v/>
          </cell>
          <cell r="F215" t="str">
            <v>台</v>
          </cell>
          <cell r="G215" t="str">
            <v>200111</v>
          </cell>
          <cell r="H215" t="str">
            <v>200111</v>
          </cell>
          <cell r="I215">
            <v>375</v>
          </cell>
          <cell r="J215">
            <v>375</v>
          </cell>
          <cell r="K215">
            <v>375</v>
          </cell>
          <cell r="L215">
            <v>375</v>
          </cell>
          <cell r="M215">
            <v>375</v>
          </cell>
          <cell r="N215">
            <v>90</v>
          </cell>
          <cell r="O215">
            <v>337.5</v>
          </cell>
          <cell r="P215">
            <v>-10</v>
          </cell>
          <cell r="Q215" t="str">
            <v>公安处</v>
          </cell>
        </row>
        <row r="216">
          <cell r="B216" t="str">
            <v>001-0019251</v>
          </cell>
          <cell r="C216" t="str">
            <v>计算机</v>
          </cell>
          <cell r="D216" t="str">
            <v>DELL</v>
          </cell>
          <cell r="E216" t="str">
            <v/>
          </cell>
          <cell r="F216" t="str">
            <v>台</v>
          </cell>
          <cell r="G216" t="str">
            <v>200111</v>
          </cell>
          <cell r="H216" t="str">
            <v>200111</v>
          </cell>
          <cell r="I216">
            <v>11337</v>
          </cell>
          <cell r="J216">
            <v>11053.56</v>
          </cell>
          <cell r="K216">
            <v>11337</v>
          </cell>
          <cell r="L216">
            <v>11053.56</v>
          </cell>
          <cell r="M216">
            <v>10000</v>
          </cell>
          <cell r="N216">
            <v>95</v>
          </cell>
          <cell r="O216">
            <v>9500</v>
          </cell>
          <cell r="P216">
            <v>-14.054838441189984</v>
          </cell>
          <cell r="Q216" t="str">
            <v>公安处</v>
          </cell>
        </row>
        <row r="217">
          <cell r="B217" t="str">
            <v>001-0019256</v>
          </cell>
          <cell r="C217" t="str">
            <v>计算机</v>
          </cell>
          <cell r="D217" t="str">
            <v>DELL</v>
          </cell>
          <cell r="E217" t="str">
            <v/>
          </cell>
          <cell r="F217" t="str">
            <v>台</v>
          </cell>
          <cell r="G217" t="str">
            <v>200111</v>
          </cell>
          <cell r="H217" t="str">
            <v>200111</v>
          </cell>
          <cell r="I217">
            <v>11337</v>
          </cell>
          <cell r="J217">
            <v>11053.56</v>
          </cell>
          <cell r="K217">
            <v>11337</v>
          </cell>
          <cell r="L217">
            <v>11053.56</v>
          </cell>
          <cell r="M217">
            <v>10000</v>
          </cell>
          <cell r="N217">
            <v>95</v>
          </cell>
          <cell r="O217">
            <v>9500</v>
          </cell>
          <cell r="P217">
            <v>-14.054838441189984</v>
          </cell>
          <cell r="Q217" t="str">
            <v>机关党委</v>
          </cell>
        </row>
        <row r="218">
          <cell r="B218" t="str">
            <v>001-0008263</v>
          </cell>
          <cell r="C218" t="str">
            <v>计算机</v>
          </cell>
          <cell r="D218" t="str">
            <v>HP586/100</v>
          </cell>
          <cell r="E218" t="str">
            <v/>
          </cell>
          <cell r="F218" t="str">
            <v>台</v>
          </cell>
          <cell r="G218" t="str">
            <v>199610</v>
          </cell>
          <cell r="H218" t="str">
            <v>199610</v>
          </cell>
          <cell r="I218">
            <v>21200</v>
          </cell>
          <cell r="J218">
            <v>13000.9</v>
          </cell>
          <cell r="K218">
            <v>21200</v>
          </cell>
          <cell r="L218">
            <v>13000.9</v>
          </cell>
          <cell r="M218">
            <v>800</v>
          </cell>
          <cell r="N218">
            <v>100</v>
          </cell>
          <cell r="O218">
            <v>800</v>
          </cell>
          <cell r="P218">
            <v>-93.846579852164083</v>
          </cell>
          <cell r="Q218" t="str">
            <v>计划处</v>
          </cell>
        </row>
        <row r="219">
          <cell r="B219" t="str">
            <v>001-0008282</v>
          </cell>
          <cell r="C219" t="str">
            <v>计算机</v>
          </cell>
          <cell r="D219" t="str">
            <v>HP586/100</v>
          </cell>
          <cell r="E219" t="str">
            <v/>
          </cell>
          <cell r="F219" t="str">
            <v>台</v>
          </cell>
          <cell r="G219" t="str">
            <v>199610</v>
          </cell>
          <cell r="H219" t="str">
            <v>199610</v>
          </cell>
          <cell r="I219">
            <v>21200</v>
          </cell>
          <cell r="J219">
            <v>13000.9</v>
          </cell>
          <cell r="K219">
            <v>21200</v>
          </cell>
          <cell r="L219">
            <v>13000.9</v>
          </cell>
          <cell r="M219">
            <v>800</v>
          </cell>
          <cell r="N219">
            <v>100</v>
          </cell>
          <cell r="O219">
            <v>800</v>
          </cell>
          <cell r="P219">
            <v>-93.846579852164083</v>
          </cell>
          <cell r="Q219" t="str">
            <v>计划处</v>
          </cell>
        </row>
        <row r="220">
          <cell r="B220" t="str">
            <v>001-0008283</v>
          </cell>
          <cell r="C220" t="str">
            <v>计算机</v>
          </cell>
          <cell r="D220" t="str">
            <v>HP586/100</v>
          </cell>
          <cell r="E220" t="str">
            <v/>
          </cell>
          <cell r="F220" t="str">
            <v>台</v>
          </cell>
          <cell r="G220" t="str">
            <v>199610</v>
          </cell>
          <cell r="H220" t="str">
            <v>199610</v>
          </cell>
          <cell r="I220">
            <v>21200</v>
          </cell>
          <cell r="J220">
            <v>13000.9</v>
          </cell>
          <cell r="K220">
            <v>21200</v>
          </cell>
          <cell r="L220">
            <v>13000.9</v>
          </cell>
          <cell r="M220">
            <v>800</v>
          </cell>
          <cell r="N220">
            <v>100</v>
          </cell>
          <cell r="O220">
            <v>800</v>
          </cell>
          <cell r="P220">
            <v>-93.846579852164083</v>
          </cell>
          <cell r="Q220" t="str">
            <v>计划处</v>
          </cell>
        </row>
        <row r="221">
          <cell r="B221" t="str">
            <v>001-0008284</v>
          </cell>
          <cell r="C221" t="str">
            <v>计算机</v>
          </cell>
          <cell r="D221" t="str">
            <v>HP586/100</v>
          </cell>
          <cell r="E221" t="str">
            <v/>
          </cell>
          <cell r="F221" t="str">
            <v>台</v>
          </cell>
          <cell r="G221" t="str">
            <v>199610</v>
          </cell>
          <cell r="H221" t="str">
            <v>199610</v>
          </cell>
          <cell r="I221">
            <v>21200</v>
          </cell>
          <cell r="J221">
            <v>13000.9</v>
          </cell>
          <cell r="K221">
            <v>21200</v>
          </cell>
          <cell r="L221">
            <v>13000.9</v>
          </cell>
          <cell r="M221">
            <v>800</v>
          </cell>
          <cell r="N221">
            <v>100</v>
          </cell>
          <cell r="O221">
            <v>800</v>
          </cell>
          <cell r="P221">
            <v>-93.846579852164083</v>
          </cell>
          <cell r="Q221" t="str">
            <v>计划处</v>
          </cell>
        </row>
        <row r="222">
          <cell r="B222" t="str">
            <v>001-0008285</v>
          </cell>
          <cell r="C222" t="str">
            <v>计算机</v>
          </cell>
          <cell r="D222" t="str">
            <v>HP586/100</v>
          </cell>
          <cell r="E222" t="str">
            <v/>
          </cell>
          <cell r="F222" t="str">
            <v>台</v>
          </cell>
          <cell r="G222" t="str">
            <v>199610</v>
          </cell>
          <cell r="H222" t="str">
            <v>199610</v>
          </cell>
          <cell r="I222">
            <v>21200</v>
          </cell>
          <cell r="J222">
            <v>13000.9</v>
          </cell>
          <cell r="K222">
            <v>21200</v>
          </cell>
          <cell r="L222">
            <v>13000.9</v>
          </cell>
          <cell r="M222">
            <v>800</v>
          </cell>
          <cell r="N222">
            <v>100</v>
          </cell>
          <cell r="O222">
            <v>800</v>
          </cell>
          <cell r="P222">
            <v>-93.846579852164083</v>
          </cell>
          <cell r="Q222" t="str">
            <v>计划处</v>
          </cell>
        </row>
        <row r="223">
          <cell r="B223" t="str">
            <v>001-0008993</v>
          </cell>
          <cell r="C223" t="str">
            <v>复印机</v>
          </cell>
          <cell r="D223" t="str">
            <v>理光FT-4495</v>
          </cell>
          <cell r="E223" t="str">
            <v/>
          </cell>
          <cell r="F223" t="str">
            <v>台</v>
          </cell>
          <cell r="G223" t="str">
            <v>199802</v>
          </cell>
          <cell r="H223" t="str">
            <v>199802</v>
          </cell>
          <cell r="I223">
            <v>24200</v>
          </cell>
          <cell r="J223">
            <v>11847.93</v>
          </cell>
          <cell r="K223">
            <v>24200</v>
          </cell>
          <cell r="L223">
            <v>11847.93</v>
          </cell>
          <cell r="M223">
            <v>18000</v>
          </cell>
          <cell r="N223">
            <v>30</v>
          </cell>
          <cell r="O223">
            <v>5400</v>
          </cell>
          <cell r="P223">
            <v>-54.422418093287185</v>
          </cell>
          <cell r="Q223" t="str">
            <v>计划处</v>
          </cell>
        </row>
        <row r="224">
          <cell r="B224" t="str">
            <v>001-0009044</v>
          </cell>
          <cell r="C224" t="str">
            <v>计算机</v>
          </cell>
          <cell r="D224" t="str">
            <v>HPVE7266</v>
          </cell>
          <cell r="E224" t="str">
            <v/>
          </cell>
          <cell r="F224" t="str">
            <v>台</v>
          </cell>
          <cell r="G224" t="str">
            <v>199807</v>
          </cell>
          <cell r="H224" t="str">
            <v>199807</v>
          </cell>
          <cell r="I224">
            <v>37800</v>
          </cell>
          <cell r="J224">
            <v>23940</v>
          </cell>
          <cell r="K224">
            <v>37800</v>
          </cell>
          <cell r="L224">
            <v>23940</v>
          </cell>
          <cell r="M224">
            <v>12000</v>
          </cell>
          <cell r="N224">
            <v>30</v>
          </cell>
          <cell r="O224">
            <v>3600</v>
          </cell>
          <cell r="P224">
            <v>-84.962406015037601</v>
          </cell>
          <cell r="Q224" t="str">
            <v>计划处</v>
          </cell>
        </row>
        <row r="225">
          <cell r="B225" t="str">
            <v>001-0009659</v>
          </cell>
          <cell r="C225" t="str">
            <v>去湿机</v>
          </cell>
          <cell r="D225" t="str">
            <v>HS-635</v>
          </cell>
          <cell r="F225" t="str">
            <v>台</v>
          </cell>
          <cell r="G225" t="str">
            <v>199812</v>
          </cell>
          <cell r="H225" t="str">
            <v>199812</v>
          </cell>
          <cell r="I225">
            <v>6400</v>
          </cell>
          <cell r="J225">
            <v>4914.88</v>
          </cell>
          <cell r="K225">
            <v>6400</v>
          </cell>
          <cell r="L225">
            <v>4914.88</v>
          </cell>
          <cell r="M225">
            <v>5400</v>
          </cell>
          <cell r="N225">
            <v>70</v>
          </cell>
          <cell r="O225">
            <v>3780</v>
          </cell>
          <cell r="P225">
            <v>-23.090696008854746</v>
          </cell>
          <cell r="Q225" t="str">
            <v>计划处</v>
          </cell>
        </row>
        <row r="226">
          <cell r="B226" t="str">
            <v>001-0009660</v>
          </cell>
          <cell r="C226" t="str">
            <v>去湿机</v>
          </cell>
          <cell r="D226" t="str">
            <v>HS-635</v>
          </cell>
          <cell r="F226" t="str">
            <v>台</v>
          </cell>
          <cell r="G226" t="str">
            <v>199812</v>
          </cell>
          <cell r="H226" t="str">
            <v>199812</v>
          </cell>
          <cell r="I226">
            <v>6400</v>
          </cell>
          <cell r="J226">
            <v>4914.88</v>
          </cell>
          <cell r="K226">
            <v>6400</v>
          </cell>
          <cell r="L226">
            <v>4914.88</v>
          </cell>
          <cell r="M226">
            <v>5400</v>
          </cell>
          <cell r="N226">
            <v>70</v>
          </cell>
          <cell r="O226">
            <v>3780</v>
          </cell>
          <cell r="P226">
            <v>-23.090696008854746</v>
          </cell>
          <cell r="Q226" t="str">
            <v>计划处</v>
          </cell>
        </row>
        <row r="227">
          <cell r="B227" t="str">
            <v>001-0010170</v>
          </cell>
          <cell r="C227" t="str">
            <v>计算机</v>
          </cell>
          <cell r="D227" t="str">
            <v>联想</v>
          </cell>
          <cell r="E227" t="str">
            <v/>
          </cell>
          <cell r="F227" t="str">
            <v>台</v>
          </cell>
          <cell r="G227" t="str">
            <v>199909</v>
          </cell>
          <cell r="H227" t="str">
            <v>199909</v>
          </cell>
          <cell r="I227">
            <v>6200</v>
          </cell>
          <cell r="J227">
            <v>4649.99</v>
          </cell>
          <cell r="K227">
            <v>6200</v>
          </cell>
          <cell r="L227">
            <v>4649.99</v>
          </cell>
          <cell r="M227">
            <v>4000</v>
          </cell>
          <cell r="N227">
            <v>25</v>
          </cell>
          <cell r="O227">
            <v>1000</v>
          </cell>
          <cell r="P227">
            <v>-78.494577407693342</v>
          </cell>
          <cell r="Q227" t="str">
            <v>计划处</v>
          </cell>
        </row>
        <row r="228">
          <cell r="B228" t="str">
            <v>001-0010171</v>
          </cell>
          <cell r="C228" t="str">
            <v>计算机</v>
          </cell>
          <cell r="D228" t="str">
            <v>联想</v>
          </cell>
          <cell r="E228" t="str">
            <v/>
          </cell>
          <cell r="F228" t="str">
            <v>台</v>
          </cell>
          <cell r="G228" t="str">
            <v>199909</v>
          </cell>
          <cell r="H228" t="str">
            <v>199909</v>
          </cell>
          <cell r="I228">
            <v>6200</v>
          </cell>
          <cell r="J228">
            <v>4649.99</v>
          </cell>
          <cell r="K228">
            <v>6200</v>
          </cell>
          <cell r="L228">
            <v>4649.99</v>
          </cell>
          <cell r="M228">
            <v>4000</v>
          </cell>
          <cell r="N228">
            <v>25</v>
          </cell>
          <cell r="O228">
            <v>1000</v>
          </cell>
          <cell r="P228">
            <v>-78.494577407693342</v>
          </cell>
          <cell r="Q228" t="str">
            <v>计划处</v>
          </cell>
        </row>
        <row r="229">
          <cell r="B229" t="str">
            <v>001-0010172</v>
          </cell>
          <cell r="C229" t="str">
            <v>计算机</v>
          </cell>
          <cell r="D229" t="str">
            <v>联想</v>
          </cell>
          <cell r="E229" t="str">
            <v/>
          </cell>
          <cell r="F229" t="str">
            <v>台</v>
          </cell>
          <cell r="G229" t="str">
            <v>199909</v>
          </cell>
          <cell r="H229" t="str">
            <v>199909</v>
          </cell>
          <cell r="I229">
            <v>6200</v>
          </cell>
          <cell r="J229">
            <v>4649.99</v>
          </cell>
          <cell r="K229">
            <v>6200</v>
          </cell>
          <cell r="L229">
            <v>4649.99</v>
          </cell>
          <cell r="M229">
            <v>4000</v>
          </cell>
          <cell r="N229">
            <v>25</v>
          </cell>
          <cell r="O229">
            <v>1000</v>
          </cell>
          <cell r="P229">
            <v>-78.494577407693342</v>
          </cell>
          <cell r="Q229" t="str">
            <v>计划处</v>
          </cell>
        </row>
        <row r="230">
          <cell r="B230" t="str">
            <v>001-0011650</v>
          </cell>
          <cell r="C230" t="str">
            <v>传真机</v>
          </cell>
          <cell r="D230" t="str">
            <v>UF-A8770</v>
          </cell>
          <cell r="E230" t="str">
            <v/>
          </cell>
          <cell r="F230" t="str">
            <v>台</v>
          </cell>
          <cell r="G230" t="str">
            <v>200011</v>
          </cell>
          <cell r="H230" t="str">
            <v>200011</v>
          </cell>
          <cell r="I230">
            <v>7230</v>
          </cell>
          <cell r="J230">
            <v>6747.98</v>
          </cell>
          <cell r="K230">
            <v>7230</v>
          </cell>
          <cell r="L230">
            <v>6747.98</v>
          </cell>
          <cell r="M230">
            <v>6000</v>
          </cell>
          <cell r="N230">
            <v>80</v>
          </cell>
          <cell r="O230">
            <v>4800</v>
          </cell>
          <cell r="P230">
            <v>-28.867601860112206</v>
          </cell>
          <cell r="Q230" t="str">
            <v>计划处</v>
          </cell>
        </row>
        <row r="231">
          <cell r="B231" t="str">
            <v>001-0018623</v>
          </cell>
          <cell r="C231" t="str">
            <v>计算机</v>
          </cell>
          <cell r="D231" t="str">
            <v>ACER353T笔记本电脑</v>
          </cell>
          <cell r="E231" t="str">
            <v/>
          </cell>
          <cell r="F231" t="str">
            <v>台</v>
          </cell>
          <cell r="G231" t="str">
            <v>200109</v>
          </cell>
          <cell r="H231" t="str">
            <v>200109</v>
          </cell>
          <cell r="I231">
            <v>19800</v>
          </cell>
          <cell r="J231">
            <v>18975</v>
          </cell>
          <cell r="K231">
            <v>19800</v>
          </cell>
          <cell r="L231">
            <v>18975</v>
          </cell>
          <cell r="M231">
            <v>18000</v>
          </cell>
          <cell r="N231">
            <v>95</v>
          </cell>
          <cell r="O231">
            <v>17100</v>
          </cell>
          <cell r="P231">
            <v>-9.8814229249011856</v>
          </cell>
          <cell r="Q231" t="str">
            <v>计划处</v>
          </cell>
        </row>
        <row r="232">
          <cell r="B232" t="str">
            <v>001-0018628</v>
          </cell>
          <cell r="C232" t="str">
            <v>服务器</v>
          </cell>
          <cell r="D232" t="str">
            <v>ACER Aitos120</v>
          </cell>
          <cell r="E232" t="str">
            <v/>
          </cell>
          <cell r="F232" t="str">
            <v>台</v>
          </cell>
          <cell r="G232" t="str">
            <v>200109</v>
          </cell>
          <cell r="H232" t="str">
            <v>200109</v>
          </cell>
          <cell r="I232">
            <v>29500</v>
          </cell>
          <cell r="J232">
            <v>28270.84</v>
          </cell>
          <cell r="K232">
            <v>29500</v>
          </cell>
          <cell r="L232">
            <v>28270.84</v>
          </cell>
          <cell r="M232">
            <v>28000</v>
          </cell>
          <cell r="N232">
            <v>95</v>
          </cell>
          <cell r="O232">
            <v>26600</v>
          </cell>
          <cell r="P232">
            <v>-5.9101179872971592</v>
          </cell>
          <cell r="Q232" t="str">
            <v>计划处</v>
          </cell>
        </row>
        <row r="233">
          <cell r="B233" t="str">
            <v>001-0018800</v>
          </cell>
          <cell r="C233" t="str">
            <v>电子计算机</v>
          </cell>
          <cell r="D233" t="str">
            <v>兼容机P4/40G/850Pro2</v>
          </cell>
          <cell r="E233" t="str">
            <v/>
          </cell>
          <cell r="F233" t="str">
            <v>台</v>
          </cell>
          <cell r="G233" t="str">
            <v>200110</v>
          </cell>
          <cell r="H233" t="str">
            <v>200110</v>
          </cell>
          <cell r="I233">
            <v>10010</v>
          </cell>
          <cell r="J233">
            <v>10010</v>
          </cell>
          <cell r="K233">
            <v>10010</v>
          </cell>
          <cell r="L233">
            <v>10010</v>
          </cell>
          <cell r="M233">
            <v>8000</v>
          </cell>
          <cell r="N233">
            <v>95</v>
          </cell>
          <cell r="O233">
            <v>7600</v>
          </cell>
          <cell r="P233">
            <v>-24.075924075924078</v>
          </cell>
          <cell r="Q233" t="str">
            <v>计划处</v>
          </cell>
        </row>
        <row r="234">
          <cell r="B234" t="str">
            <v>001-0018801</v>
          </cell>
          <cell r="C234" t="str">
            <v>打印机</v>
          </cell>
          <cell r="D234" t="str">
            <v>IBM20 A4、A3纸盒</v>
          </cell>
          <cell r="E234" t="str">
            <v/>
          </cell>
          <cell r="F234" t="str">
            <v>台</v>
          </cell>
          <cell r="G234" t="str">
            <v>200110</v>
          </cell>
          <cell r="H234" t="str">
            <v>200110</v>
          </cell>
          <cell r="I234">
            <v>29128</v>
          </cell>
          <cell r="J234">
            <v>27914.33</v>
          </cell>
          <cell r="K234">
            <v>29128</v>
          </cell>
          <cell r="L234">
            <v>27914.33</v>
          </cell>
          <cell r="M234">
            <v>27000</v>
          </cell>
          <cell r="N234">
            <v>95</v>
          </cell>
          <cell r="O234">
            <v>25650</v>
          </cell>
          <cell r="P234">
            <v>-8.1117117982054445</v>
          </cell>
          <cell r="Q234" t="str">
            <v>计划处</v>
          </cell>
        </row>
        <row r="235">
          <cell r="B235" t="str">
            <v>001-0018802</v>
          </cell>
          <cell r="C235" t="str">
            <v>打印机</v>
          </cell>
          <cell r="D235" t="str">
            <v>Epson895</v>
          </cell>
          <cell r="E235" t="str">
            <v/>
          </cell>
          <cell r="F235" t="str">
            <v>台</v>
          </cell>
          <cell r="G235" t="str">
            <v>200110</v>
          </cell>
          <cell r="H235" t="str">
            <v>200110</v>
          </cell>
          <cell r="I235">
            <v>3058</v>
          </cell>
          <cell r="J235">
            <v>2930.59</v>
          </cell>
          <cell r="K235">
            <v>3058</v>
          </cell>
          <cell r="L235">
            <v>2930.59</v>
          </cell>
          <cell r="M235">
            <v>3000</v>
          </cell>
          <cell r="N235">
            <v>95</v>
          </cell>
          <cell r="O235">
            <v>2850</v>
          </cell>
          <cell r="P235">
            <v>-2.7499581995434412</v>
          </cell>
          <cell r="Q235" t="str">
            <v>计划处</v>
          </cell>
        </row>
        <row r="236">
          <cell r="B236" t="str">
            <v>001-0018803</v>
          </cell>
          <cell r="C236" t="str">
            <v>扫描仪</v>
          </cell>
          <cell r="D236" t="str">
            <v>Acer640UT</v>
          </cell>
          <cell r="E236" t="str">
            <v/>
          </cell>
          <cell r="F236" t="str">
            <v>台</v>
          </cell>
          <cell r="G236" t="str">
            <v>200110</v>
          </cell>
          <cell r="H236" t="str">
            <v>200110</v>
          </cell>
          <cell r="I236">
            <v>2014</v>
          </cell>
          <cell r="J236">
            <v>2014</v>
          </cell>
          <cell r="K236">
            <v>2014</v>
          </cell>
          <cell r="L236">
            <v>2014</v>
          </cell>
          <cell r="M236">
            <v>2000</v>
          </cell>
          <cell r="N236">
            <v>95</v>
          </cell>
          <cell r="O236">
            <v>1900</v>
          </cell>
          <cell r="P236">
            <v>-5.6603773584905666</v>
          </cell>
          <cell r="Q236" t="str">
            <v>计划处</v>
          </cell>
        </row>
        <row r="237">
          <cell r="B237" t="str">
            <v>001-0018804</v>
          </cell>
          <cell r="C237" t="str">
            <v>刻录机</v>
          </cell>
          <cell r="D237" t="str">
            <v>Acer1208A</v>
          </cell>
          <cell r="E237" t="str">
            <v/>
          </cell>
          <cell r="F237" t="str">
            <v>台</v>
          </cell>
          <cell r="G237" t="str">
            <v>200110</v>
          </cell>
          <cell r="H237" t="str">
            <v>200110</v>
          </cell>
          <cell r="I237">
            <v>848</v>
          </cell>
          <cell r="J237">
            <v>848</v>
          </cell>
          <cell r="K237">
            <v>848</v>
          </cell>
          <cell r="L237">
            <v>848</v>
          </cell>
          <cell r="M237">
            <v>800</v>
          </cell>
          <cell r="N237">
            <v>95</v>
          </cell>
          <cell r="O237">
            <v>760</v>
          </cell>
          <cell r="P237">
            <v>-10.377358490566039</v>
          </cell>
          <cell r="Q237" t="str">
            <v>计划处</v>
          </cell>
        </row>
        <row r="238">
          <cell r="B238" t="str">
            <v>001-0018805</v>
          </cell>
          <cell r="C238" t="str">
            <v>计划处原计算机升级</v>
          </cell>
          <cell r="D238" t="str">
            <v/>
          </cell>
          <cell r="E238" t="str">
            <v/>
          </cell>
          <cell r="F238" t="str">
            <v>台</v>
          </cell>
          <cell r="G238" t="str">
            <v>200110</v>
          </cell>
          <cell r="H238" t="str">
            <v>200110</v>
          </cell>
          <cell r="I238">
            <v>5675</v>
          </cell>
          <cell r="J238">
            <v>5675</v>
          </cell>
          <cell r="K238">
            <v>5675</v>
          </cell>
          <cell r="L238">
            <v>5675</v>
          </cell>
          <cell r="M238">
            <v>5600</v>
          </cell>
          <cell r="N238">
            <v>95</v>
          </cell>
          <cell r="O238">
            <v>5320</v>
          </cell>
          <cell r="P238">
            <v>-6.2555066079295161</v>
          </cell>
          <cell r="Q238" t="str">
            <v>计划处</v>
          </cell>
        </row>
        <row r="239">
          <cell r="B239" t="str">
            <v>001-0018806</v>
          </cell>
          <cell r="C239" t="str">
            <v>计划处原计算机升级</v>
          </cell>
          <cell r="D239" t="str">
            <v/>
          </cell>
          <cell r="E239" t="str">
            <v/>
          </cell>
          <cell r="F239" t="str">
            <v>台</v>
          </cell>
          <cell r="G239" t="str">
            <v>200110</v>
          </cell>
          <cell r="H239" t="str">
            <v>200110</v>
          </cell>
          <cell r="I239">
            <v>5675</v>
          </cell>
          <cell r="J239">
            <v>5675</v>
          </cell>
          <cell r="K239">
            <v>5675</v>
          </cell>
          <cell r="L239">
            <v>5675</v>
          </cell>
          <cell r="M239">
            <v>5600</v>
          </cell>
          <cell r="N239">
            <v>95</v>
          </cell>
          <cell r="O239">
            <v>5320</v>
          </cell>
          <cell r="P239">
            <v>-6.2555066079295161</v>
          </cell>
          <cell r="Q239" t="str">
            <v>计划处</v>
          </cell>
        </row>
        <row r="240">
          <cell r="B240" t="str">
            <v>001-0018807</v>
          </cell>
          <cell r="C240" t="str">
            <v>计划处原计算机升级</v>
          </cell>
          <cell r="D240" t="str">
            <v/>
          </cell>
          <cell r="E240" t="str">
            <v/>
          </cell>
          <cell r="F240" t="str">
            <v>台</v>
          </cell>
          <cell r="G240" t="str">
            <v>200110</v>
          </cell>
          <cell r="H240" t="str">
            <v>200110</v>
          </cell>
          <cell r="I240">
            <v>5675</v>
          </cell>
          <cell r="J240">
            <v>5675</v>
          </cell>
          <cell r="K240">
            <v>5675</v>
          </cell>
          <cell r="L240">
            <v>5675</v>
          </cell>
          <cell r="M240">
            <v>5600</v>
          </cell>
          <cell r="N240">
            <v>95</v>
          </cell>
          <cell r="O240">
            <v>5320</v>
          </cell>
          <cell r="P240">
            <v>-6.2555066079295161</v>
          </cell>
          <cell r="Q240" t="str">
            <v>计划处</v>
          </cell>
        </row>
        <row r="241">
          <cell r="B241" t="str">
            <v>001-0018808</v>
          </cell>
          <cell r="C241" t="str">
            <v>计划处原计算机升级</v>
          </cell>
          <cell r="D241" t="str">
            <v/>
          </cell>
          <cell r="E241" t="str">
            <v/>
          </cell>
          <cell r="F241" t="str">
            <v>台</v>
          </cell>
          <cell r="G241" t="str">
            <v>200110</v>
          </cell>
          <cell r="H241" t="str">
            <v>200110</v>
          </cell>
          <cell r="I241">
            <v>5675</v>
          </cell>
          <cell r="J241">
            <v>5675</v>
          </cell>
          <cell r="K241">
            <v>5675</v>
          </cell>
          <cell r="L241">
            <v>5675</v>
          </cell>
          <cell r="M241">
            <v>5600</v>
          </cell>
          <cell r="N241">
            <v>95</v>
          </cell>
          <cell r="O241">
            <v>5320</v>
          </cell>
          <cell r="P241">
            <v>-6.2555066079295161</v>
          </cell>
          <cell r="Q241" t="str">
            <v>计划处</v>
          </cell>
        </row>
        <row r="242">
          <cell r="B242" t="str">
            <v>001-0020060</v>
          </cell>
          <cell r="C242" t="str">
            <v>数码相机</v>
          </cell>
          <cell r="D242" t="str">
            <v>佳能</v>
          </cell>
          <cell r="E242" t="str">
            <v/>
          </cell>
          <cell r="F242" t="str">
            <v>台</v>
          </cell>
          <cell r="G242" t="str">
            <v>200112</v>
          </cell>
          <cell r="H242" t="str">
            <v>200112</v>
          </cell>
          <cell r="I242">
            <v>6480</v>
          </cell>
          <cell r="J242">
            <v>6480</v>
          </cell>
          <cell r="K242">
            <v>6480</v>
          </cell>
          <cell r="L242">
            <v>6480</v>
          </cell>
          <cell r="M242">
            <v>6500</v>
          </cell>
          <cell r="N242">
            <v>95</v>
          </cell>
          <cell r="O242">
            <v>6175</v>
          </cell>
          <cell r="P242">
            <v>-4.7067901234567904</v>
          </cell>
          <cell r="Q242" t="str">
            <v>计划处</v>
          </cell>
        </row>
        <row r="243">
          <cell r="B243" t="str">
            <v>001-0007437</v>
          </cell>
          <cell r="C243" t="str">
            <v>美能达相机</v>
          </cell>
          <cell r="D243" t="str">
            <v/>
          </cell>
          <cell r="E243" t="str">
            <v/>
          </cell>
          <cell r="F243" t="str">
            <v>台</v>
          </cell>
          <cell r="G243" t="str">
            <v>199511</v>
          </cell>
          <cell r="H243" t="str">
            <v>199511</v>
          </cell>
          <cell r="I243">
            <v>6386</v>
          </cell>
          <cell r="J243">
            <v>3498.24</v>
          </cell>
          <cell r="K243">
            <v>6386</v>
          </cell>
          <cell r="L243">
            <v>3498.24</v>
          </cell>
          <cell r="M243">
            <v>4800</v>
          </cell>
          <cell r="N243">
            <v>40</v>
          </cell>
          <cell r="O243">
            <v>1920</v>
          </cell>
          <cell r="P243">
            <v>-45.115257958287593</v>
          </cell>
          <cell r="Q243" t="str">
            <v>纪委</v>
          </cell>
        </row>
        <row r="244">
          <cell r="B244" t="str">
            <v>001-0010162</v>
          </cell>
          <cell r="C244" t="str">
            <v>计算机</v>
          </cell>
          <cell r="D244" t="str">
            <v>HPVE8</v>
          </cell>
          <cell r="E244" t="str">
            <v/>
          </cell>
          <cell r="F244" t="str">
            <v>台</v>
          </cell>
          <cell r="G244" t="str">
            <v>199909</v>
          </cell>
          <cell r="H244" t="str">
            <v>199909</v>
          </cell>
          <cell r="I244">
            <v>12700</v>
          </cell>
          <cell r="J244">
            <v>9525.01</v>
          </cell>
          <cell r="K244">
            <v>12700</v>
          </cell>
          <cell r="L244">
            <v>9525.01</v>
          </cell>
          <cell r="M244">
            <v>8000</v>
          </cell>
          <cell r="N244">
            <v>50</v>
          </cell>
          <cell r="O244">
            <v>4000</v>
          </cell>
          <cell r="P244">
            <v>-58.005293432762805</v>
          </cell>
          <cell r="Q244" t="str">
            <v>纪委</v>
          </cell>
        </row>
        <row r="245">
          <cell r="B245" t="str">
            <v>001-0011512</v>
          </cell>
          <cell r="C245" t="str">
            <v>计算机</v>
          </cell>
          <cell r="D245" t="str">
            <v>HP8188A</v>
          </cell>
          <cell r="E245" t="str">
            <v/>
          </cell>
          <cell r="F245" t="str">
            <v>台</v>
          </cell>
          <cell r="G245" t="str">
            <v>200009</v>
          </cell>
          <cell r="H245" t="str">
            <v>200009</v>
          </cell>
          <cell r="I245">
            <v>9050</v>
          </cell>
          <cell r="J245">
            <v>7692.49</v>
          </cell>
          <cell r="K245">
            <v>9050</v>
          </cell>
          <cell r="L245">
            <v>7692.49</v>
          </cell>
          <cell r="M245">
            <v>8000</v>
          </cell>
          <cell r="N245">
            <v>75</v>
          </cell>
          <cell r="O245">
            <v>6000</v>
          </cell>
          <cell r="P245">
            <v>-22.001848556189216</v>
          </cell>
          <cell r="Q245" t="str">
            <v>纪委</v>
          </cell>
        </row>
        <row r="246">
          <cell r="B246" t="str">
            <v>001-0018607</v>
          </cell>
          <cell r="C246" t="str">
            <v>打印机</v>
          </cell>
          <cell r="D246" t="str">
            <v>HP6L</v>
          </cell>
          <cell r="E246" t="str">
            <v/>
          </cell>
          <cell r="F246" t="str">
            <v>台</v>
          </cell>
          <cell r="G246" t="str">
            <v>200109</v>
          </cell>
          <cell r="H246" t="str">
            <v>200109</v>
          </cell>
          <cell r="I246">
            <v>3090</v>
          </cell>
          <cell r="J246">
            <v>2929.06</v>
          </cell>
          <cell r="K246">
            <v>3090</v>
          </cell>
          <cell r="L246">
            <v>2929.06</v>
          </cell>
          <cell r="M246">
            <v>2800</v>
          </cell>
          <cell r="N246">
            <v>95</v>
          </cell>
          <cell r="O246">
            <v>2660</v>
          </cell>
          <cell r="P246">
            <v>-9.1858821601469387</v>
          </cell>
          <cell r="Q246" t="str">
            <v>纪委</v>
          </cell>
        </row>
        <row r="247">
          <cell r="B247" t="str">
            <v>001-0019265</v>
          </cell>
          <cell r="C247" t="str">
            <v>计算机</v>
          </cell>
          <cell r="D247" t="str">
            <v>DELL</v>
          </cell>
          <cell r="E247" t="str">
            <v/>
          </cell>
          <cell r="F247" t="str">
            <v>台</v>
          </cell>
          <cell r="G247" t="str">
            <v>200111</v>
          </cell>
          <cell r="H247" t="str">
            <v>200111</v>
          </cell>
          <cell r="I247">
            <v>11337</v>
          </cell>
          <cell r="J247">
            <v>11053.56</v>
          </cell>
          <cell r="K247">
            <v>11337</v>
          </cell>
          <cell r="L247">
            <v>11053.56</v>
          </cell>
          <cell r="M247">
            <v>10000</v>
          </cell>
          <cell r="N247">
            <v>95</v>
          </cell>
          <cell r="O247">
            <v>9500</v>
          </cell>
          <cell r="P247">
            <v>-14.054838441189984</v>
          </cell>
          <cell r="Q247" t="str">
            <v>纪委</v>
          </cell>
        </row>
        <row r="248">
          <cell r="B248" t="str">
            <v>001-0019266</v>
          </cell>
          <cell r="C248" t="str">
            <v>计算机</v>
          </cell>
          <cell r="D248" t="str">
            <v>DELL</v>
          </cell>
          <cell r="E248" t="str">
            <v/>
          </cell>
          <cell r="F248" t="str">
            <v>台</v>
          </cell>
          <cell r="G248" t="str">
            <v>200111</v>
          </cell>
          <cell r="H248" t="str">
            <v>200111</v>
          </cell>
          <cell r="I248">
            <v>11337</v>
          </cell>
          <cell r="J248">
            <v>11053.56</v>
          </cell>
          <cell r="K248">
            <v>11337</v>
          </cell>
          <cell r="L248">
            <v>11053.56</v>
          </cell>
          <cell r="M248">
            <v>10000</v>
          </cell>
          <cell r="N248">
            <v>95</v>
          </cell>
          <cell r="O248">
            <v>9500</v>
          </cell>
          <cell r="P248">
            <v>-14.054838441189984</v>
          </cell>
          <cell r="Q248" t="str">
            <v>纪委</v>
          </cell>
        </row>
        <row r="249">
          <cell r="B249" t="str">
            <v>001-0019681</v>
          </cell>
          <cell r="C249" t="str">
            <v>吊顶式低噪声柜式空调</v>
          </cell>
          <cell r="D249" t="str">
            <v>CC400</v>
          </cell>
          <cell r="E249" t="str">
            <v/>
          </cell>
          <cell r="F249" t="str">
            <v>台</v>
          </cell>
          <cell r="G249" t="str">
            <v>200112</v>
          </cell>
          <cell r="H249" t="str">
            <v>200112</v>
          </cell>
          <cell r="I249">
            <v>13829.4</v>
          </cell>
          <cell r="J249">
            <v>13829.4</v>
          </cell>
          <cell r="K249">
            <v>13829.4</v>
          </cell>
          <cell r="L249">
            <v>13829.4</v>
          </cell>
          <cell r="M249">
            <v>12000</v>
          </cell>
          <cell r="N249">
            <v>95</v>
          </cell>
          <cell r="O249">
            <v>11400</v>
          </cell>
          <cell r="P249">
            <v>-17.566922643064771</v>
          </cell>
          <cell r="Q249" t="str">
            <v>能达公司</v>
          </cell>
        </row>
        <row r="250">
          <cell r="B250" t="str">
            <v>001-0019682</v>
          </cell>
          <cell r="C250" t="str">
            <v>吊顶式低噪声柜式空调</v>
          </cell>
          <cell r="D250" t="str">
            <v>CC400</v>
          </cell>
          <cell r="E250" t="str">
            <v/>
          </cell>
          <cell r="F250" t="str">
            <v>台</v>
          </cell>
          <cell r="G250" t="str">
            <v>200112</v>
          </cell>
          <cell r="H250" t="str">
            <v>200112</v>
          </cell>
          <cell r="I250">
            <v>13829.4</v>
          </cell>
          <cell r="J250">
            <v>13829.4</v>
          </cell>
          <cell r="K250">
            <v>13829.4</v>
          </cell>
          <cell r="L250">
            <v>13829.4</v>
          </cell>
          <cell r="M250">
            <v>12000</v>
          </cell>
          <cell r="N250">
            <v>95</v>
          </cell>
          <cell r="O250">
            <v>11400</v>
          </cell>
          <cell r="P250">
            <v>-17.566922643064771</v>
          </cell>
          <cell r="Q250" t="str">
            <v>能达公司</v>
          </cell>
        </row>
        <row r="251">
          <cell r="B251" t="str">
            <v>001-0019683</v>
          </cell>
          <cell r="C251" t="str">
            <v>吊顶式低噪声柜式空调</v>
          </cell>
          <cell r="D251" t="str">
            <v>CC400</v>
          </cell>
          <cell r="E251" t="str">
            <v/>
          </cell>
          <cell r="F251" t="str">
            <v>台</v>
          </cell>
          <cell r="G251" t="str">
            <v>200112</v>
          </cell>
          <cell r="H251" t="str">
            <v>200112</v>
          </cell>
          <cell r="I251">
            <v>13829.4</v>
          </cell>
          <cell r="J251">
            <v>13829.4</v>
          </cell>
          <cell r="K251">
            <v>13829.4</v>
          </cell>
          <cell r="L251">
            <v>13829.4</v>
          </cell>
          <cell r="M251">
            <v>12000</v>
          </cell>
          <cell r="N251">
            <v>95</v>
          </cell>
          <cell r="O251">
            <v>11400</v>
          </cell>
          <cell r="P251">
            <v>-17.566922643064771</v>
          </cell>
          <cell r="Q251" t="str">
            <v>能达公司</v>
          </cell>
        </row>
        <row r="252">
          <cell r="B252" t="str">
            <v>001-0019684</v>
          </cell>
          <cell r="C252" t="str">
            <v>吊顶式低噪声柜式空调</v>
          </cell>
          <cell r="D252" t="str">
            <v>CC400</v>
          </cell>
          <cell r="E252" t="str">
            <v/>
          </cell>
          <cell r="F252" t="str">
            <v>台</v>
          </cell>
          <cell r="G252" t="str">
            <v>200112</v>
          </cell>
          <cell r="H252" t="str">
            <v>200112</v>
          </cell>
          <cell r="I252">
            <v>13829.4</v>
          </cell>
          <cell r="J252">
            <v>13829.4</v>
          </cell>
          <cell r="K252">
            <v>13829.4</v>
          </cell>
          <cell r="L252">
            <v>13829.4</v>
          </cell>
          <cell r="M252">
            <v>12000</v>
          </cell>
          <cell r="N252">
            <v>95</v>
          </cell>
          <cell r="O252">
            <v>11400</v>
          </cell>
          <cell r="P252">
            <v>-17.566922643064771</v>
          </cell>
          <cell r="Q252" t="str">
            <v>能达公司</v>
          </cell>
        </row>
        <row r="253">
          <cell r="B253" t="str">
            <v>001-0019685</v>
          </cell>
          <cell r="C253" t="str">
            <v>吊顶式低噪声柜式空调</v>
          </cell>
          <cell r="D253" t="str">
            <v>CC400</v>
          </cell>
          <cell r="E253" t="str">
            <v/>
          </cell>
          <cell r="F253" t="str">
            <v>台</v>
          </cell>
          <cell r="G253" t="str">
            <v>200112</v>
          </cell>
          <cell r="H253" t="str">
            <v>200112</v>
          </cell>
          <cell r="I253">
            <v>13829.4</v>
          </cell>
          <cell r="J253">
            <v>13829.4</v>
          </cell>
          <cell r="K253">
            <v>13829.4</v>
          </cell>
          <cell r="L253">
            <v>13829.4</v>
          </cell>
          <cell r="M253">
            <v>12000</v>
          </cell>
          <cell r="N253">
            <v>95</v>
          </cell>
          <cell r="O253">
            <v>11400</v>
          </cell>
          <cell r="P253">
            <v>-17.566922643064771</v>
          </cell>
          <cell r="Q253" t="str">
            <v>能达公司</v>
          </cell>
        </row>
        <row r="254">
          <cell r="B254" t="str">
            <v>001-0019686</v>
          </cell>
          <cell r="C254" t="str">
            <v>吊顶式低噪声柜式空调</v>
          </cell>
          <cell r="D254" t="str">
            <v>CC400</v>
          </cell>
          <cell r="E254" t="str">
            <v/>
          </cell>
          <cell r="F254" t="str">
            <v>台</v>
          </cell>
          <cell r="G254" t="str">
            <v>200112</v>
          </cell>
          <cell r="H254" t="str">
            <v>200112</v>
          </cell>
          <cell r="I254">
            <v>12044.3</v>
          </cell>
          <cell r="J254">
            <v>12044.3</v>
          </cell>
          <cell r="K254">
            <v>12044.3</v>
          </cell>
          <cell r="L254">
            <v>12044.3</v>
          </cell>
          <cell r="M254">
            <v>12000</v>
          </cell>
          <cell r="N254">
            <v>95</v>
          </cell>
          <cell r="O254">
            <v>11400</v>
          </cell>
          <cell r="P254">
            <v>-5.3494183970840918</v>
          </cell>
          <cell r="Q254" t="str">
            <v>能达公司</v>
          </cell>
        </row>
        <row r="255">
          <cell r="B255" t="str">
            <v>001-0019687</v>
          </cell>
          <cell r="C255" t="str">
            <v>吊顶式低噪声柜式空调</v>
          </cell>
          <cell r="D255" t="str">
            <v>CC400</v>
          </cell>
          <cell r="E255" t="str">
            <v/>
          </cell>
          <cell r="F255" t="str">
            <v>台</v>
          </cell>
          <cell r="G255" t="str">
            <v>200112</v>
          </cell>
          <cell r="H255" t="str">
            <v>200112</v>
          </cell>
          <cell r="I255">
            <v>12044.3</v>
          </cell>
          <cell r="J255">
            <v>12044.3</v>
          </cell>
          <cell r="K255">
            <v>12044.3</v>
          </cell>
          <cell r="L255">
            <v>12044.3</v>
          </cell>
          <cell r="M255">
            <v>12000</v>
          </cell>
          <cell r="N255">
            <v>95</v>
          </cell>
          <cell r="O255">
            <v>11400</v>
          </cell>
          <cell r="P255">
            <v>-5.3494183970840918</v>
          </cell>
          <cell r="Q255" t="str">
            <v>能达公司</v>
          </cell>
        </row>
        <row r="256">
          <cell r="B256" t="str">
            <v>001-0019688</v>
          </cell>
          <cell r="C256" t="str">
            <v>吊顶式低噪声柜式空调</v>
          </cell>
          <cell r="D256" t="str">
            <v>CC400</v>
          </cell>
          <cell r="E256" t="str">
            <v/>
          </cell>
          <cell r="F256" t="str">
            <v>台</v>
          </cell>
          <cell r="G256" t="str">
            <v>200112</v>
          </cell>
          <cell r="H256" t="str">
            <v>200112</v>
          </cell>
          <cell r="I256">
            <v>12044.3</v>
          </cell>
          <cell r="J256">
            <v>12044.3</v>
          </cell>
          <cell r="K256">
            <v>12044.3</v>
          </cell>
          <cell r="L256">
            <v>12044.3</v>
          </cell>
          <cell r="M256">
            <v>12000</v>
          </cell>
          <cell r="N256">
            <v>95</v>
          </cell>
          <cell r="O256">
            <v>11400</v>
          </cell>
          <cell r="P256">
            <v>-5.3494183970840918</v>
          </cell>
          <cell r="Q256" t="str">
            <v>能达公司</v>
          </cell>
        </row>
        <row r="257">
          <cell r="B257" t="str">
            <v>001-0019689</v>
          </cell>
          <cell r="C257" t="str">
            <v>吊顶式低噪声柜式空调</v>
          </cell>
          <cell r="D257" t="str">
            <v>CC400</v>
          </cell>
          <cell r="E257" t="str">
            <v/>
          </cell>
          <cell r="F257" t="str">
            <v>台</v>
          </cell>
          <cell r="G257" t="str">
            <v>200112</v>
          </cell>
          <cell r="H257" t="str">
            <v>200112</v>
          </cell>
          <cell r="I257">
            <v>12044.3</v>
          </cell>
          <cell r="J257">
            <v>12044.3</v>
          </cell>
          <cell r="K257">
            <v>12044.3</v>
          </cell>
          <cell r="L257">
            <v>12044.3</v>
          </cell>
          <cell r="M257">
            <v>12000</v>
          </cell>
          <cell r="N257">
            <v>95</v>
          </cell>
          <cell r="O257">
            <v>11400</v>
          </cell>
          <cell r="P257">
            <v>-5.3494183970840918</v>
          </cell>
          <cell r="Q257" t="str">
            <v>能达公司</v>
          </cell>
        </row>
        <row r="258">
          <cell r="B258" t="str">
            <v>001-0019690</v>
          </cell>
          <cell r="C258" t="str">
            <v>吊顶式低噪声柜式空调</v>
          </cell>
          <cell r="D258" t="str">
            <v>CC400</v>
          </cell>
          <cell r="E258" t="str">
            <v/>
          </cell>
          <cell r="F258" t="str">
            <v>台</v>
          </cell>
          <cell r="G258" t="str">
            <v>200112</v>
          </cell>
          <cell r="H258" t="str">
            <v>200112</v>
          </cell>
          <cell r="I258">
            <v>12044.2</v>
          </cell>
          <cell r="J258">
            <v>12044.2</v>
          </cell>
          <cell r="K258">
            <v>12044.2</v>
          </cell>
          <cell r="L258">
            <v>12044.2</v>
          </cell>
          <cell r="M258">
            <v>12000</v>
          </cell>
          <cell r="N258">
            <v>95</v>
          </cell>
          <cell r="O258">
            <v>11400</v>
          </cell>
          <cell r="P258">
            <v>-5.3486325368227092</v>
          </cell>
          <cell r="Q258" t="str">
            <v>能达公司</v>
          </cell>
        </row>
        <row r="259">
          <cell r="B259" t="str">
            <v>001-0019691</v>
          </cell>
          <cell r="C259" t="str">
            <v>吊顶式低噪声柜式空调</v>
          </cell>
          <cell r="D259" t="str">
            <v>CC400</v>
          </cell>
          <cell r="E259" t="str">
            <v/>
          </cell>
          <cell r="F259" t="str">
            <v>台</v>
          </cell>
          <cell r="G259" t="str">
            <v>200112</v>
          </cell>
          <cell r="H259" t="str">
            <v>200112</v>
          </cell>
          <cell r="I259">
            <v>12044.2</v>
          </cell>
          <cell r="J259">
            <v>12044.2</v>
          </cell>
          <cell r="K259">
            <v>12044.2</v>
          </cell>
          <cell r="L259">
            <v>12044.2</v>
          </cell>
          <cell r="M259">
            <v>12000</v>
          </cell>
          <cell r="N259">
            <v>95</v>
          </cell>
          <cell r="O259">
            <v>11400</v>
          </cell>
          <cell r="P259">
            <v>-5.3486325368227092</v>
          </cell>
          <cell r="Q259" t="str">
            <v>能达公司</v>
          </cell>
        </row>
        <row r="260">
          <cell r="B260" t="str">
            <v>001-0019692</v>
          </cell>
          <cell r="C260" t="str">
            <v>吊顶式低噪声柜式空调</v>
          </cell>
          <cell r="D260" t="str">
            <v>CC400</v>
          </cell>
          <cell r="E260" t="str">
            <v/>
          </cell>
          <cell r="F260" t="str">
            <v>台</v>
          </cell>
          <cell r="G260" t="str">
            <v>200112</v>
          </cell>
          <cell r="H260" t="str">
            <v>200112</v>
          </cell>
          <cell r="I260">
            <v>12044.2</v>
          </cell>
          <cell r="J260">
            <v>12044.2</v>
          </cell>
          <cell r="K260">
            <v>12044.2</v>
          </cell>
          <cell r="L260">
            <v>12044.2</v>
          </cell>
          <cell r="M260">
            <v>12000</v>
          </cell>
          <cell r="N260">
            <v>95</v>
          </cell>
          <cell r="O260">
            <v>11400</v>
          </cell>
          <cell r="P260">
            <v>-5.3486325368227092</v>
          </cell>
          <cell r="Q260" t="str">
            <v>能达公司</v>
          </cell>
        </row>
        <row r="261">
          <cell r="B261" t="str">
            <v>001-0019693</v>
          </cell>
          <cell r="C261" t="str">
            <v>吊顶式低噪声柜式空调</v>
          </cell>
          <cell r="D261" t="str">
            <v>CC400</v>
          </cell>
          <cell r="E261" t="str">
            <v/>
          </cell>
          <cell r="F261" t="str">
            <v>台</v>
          </cell>
          <cell r="G261" t="str">
            <v>200112</v>
          </cell>
          <cell r="H261" t="str">
            <v>200112</v>
          </cell>
          <cell r="I261">
            <v>12044.2</v>
          </cell>
          <cell r="J261">
            <v>12044.2</v>
          </cell>
          <cell r="K261">
            <v>12044.2</v>
          </cell>
          <cell r="L261">
            <v>12044.2</v>
          </cell>
          <cell r="M261">
            <v>12000</v>
          </cell>
          <cell r="N261">
            <v>95</v>
          </cell>
          <cell r="O261">
            <v>11400</v>
          </cell>
          <cell r="P261">
            <v>-5.3486325368227092</v>
          </cell>
          <cell r="Q261" t="str">
            <v>能达公司</v>
          </cell>
        </row>
        <row r="262">
          <cell r="B262" t="str">
            <v>001-0019694</v>
          </cell>
          <cell r="C262" t="str">
            <v>吊顶式低噪声柜式空调</v>
          </cell>
          <cell r="D262" t="str">
            <v>CC400</v>
          </cell>
          <cell r="E262" t="str">
            <v/>
          </cell>
          <cell r="F262" t="str">
            <v>台</v>
          </cell>
          <cell r="G262" t="str">
            <v>200112</v>
          </cell>
          <cell r="H262" t="str">
            <v>200112</v>
          </cell>
          <cell r="I262">
            <v>12044.2</v>
          </cell>
          <cell r="J262">
            <v>12044.2</v>
          </cell>
          <cell r="K262">
            <v>12044.2</v>
          </cell>
          <cell r="L262">
            <v>12044.2</v>
          </cell>
          <cell r="M262">
            <v>12000</v>
          </cell>
          <cell r="N262">
            <v>95</v>
          </cell>
          <cell r="O262">
            <v>11400</v>
          </cell>
          <cell r="P262">
            <v>-5.3486325368227092</v>
          </cell>
          <cell r="Q262" t="str">
            <v>能达公司</v>
          </cell>
        </row>
        <row r="263">
          <cell r="B263" t="str">
            <v>001-0019695</v>
          </cell>
          <cell r="C263" t="str">
            <v>吊顶式低噪声柜式空调</v>
          </cell>
          <cell r="D263" t="str">
            <v>CC400</v>
          </cell>
          <cell r="E263" t="str">
            <v/>
          </cell>
          <cell r="F263" t="str">
            <v>台</v>
          </cell>
          <cell r="G263" t="str">
            <v>200112</v>
          </cell>
          <cell r="H263" t="str">
            <v>200112</v>
          </cell>
          <cell r="I263">
            <v>12044.2</v>
          </cell>
          <cell r="J263">
            <v>12044.2</v>
          </cell>
          <cell r="K263">
            <v>12044.2</v>
          </cell>
          <cell r="L263">
            <v>12044.2</v>
          </cell>
          <cell r="M263">
            <v>12000</v>
          </cell>
          <cell r="N263">
            <v>95</v>
          </cell>
          <cell r="O263">
            <v>11400</v>
          </cell>
          <cell r="P263">
            <v>-5.3486325368227092</v>
          </cell>
          <cell r="Q263" t="str">
            <v>能达公司</v>
          </cell>
        </row>
        <row r="264">
          <cell r="B264" t="str">
            <v>001-0019696</v>
          </cell>
          <cell r="C264" t="str">
            <v>吊顶式低噪声柜式空调</v>
          </cell>
          <cell r="D264" t="str">
            <v>CC400</v>
          </cell>
          <cell r="E264" t="str">
            <v/>
          </cell>
          <cell r="F264" t="str">
            <v>台</v>
          </cell>
          <cell r="G264" t="str">
            <v>200112</v>
          </cell>
          <cell r="H264" t="str">
            <v>200112</v>
          </cell>
          <cell r="I264">
            <v>12044.2</v>
          </cell>
          <cell r="J264">
            <v>12044.2</v>
          </cell>
          <cell r="K264">
            <v>12044.2</v>
          </cell>
          <cell r="L264">
            <v>12044.2</v>
          </cell>
          <cell r="M264">
            <v>12000</v>
          </cell>
          <cell r="N264">
            <v>95</v>
          </cell>
          <cell r="O264">
            <v>11400</v>
          </cell>
          <cell r="P264">
            <v>-5.3486325368227092</v>
          </cell>
          <cell r="Q264" t="str">
            <v>能达公司</v>
          </cell>
        </row>
        <row r="265">
          <cell r="B265" t="str">
            <v>001-0019697</v>
          </cell>
          <cell r="C265" t="str">
            <v>吊顶式低噪声柜式空调</v>
          </cell>
          <cell r="D265" t="str">
            <v>CC400</v>
          </cell>
          <cell r="E265" t="str">
            <v/>
          </cell>
          <cell r="F265" t="str">
            <v>台</v>
          </cell>
          <cell r="G265" t="str">
            <v>200112</v>
          </cell>
          <cell r="H265" t="str">
            <v>200112</v>
          </cell>
          <cell r="I265">
            <v>12044.2</v>
          </cell>
          <cell r="J265">
            <v>12044.2</v>
          </cell>
          <cell r="K265">
            <v>12044.2</v>
          </cell>
          <cell r="L265">
            <v>12044.2</v>
          </cell>
          <cell r="M265">
            <v>12000</v>
          </cell>
          <cell r="N265">
            <v>95</v>
          </cell>
          <cell r="O265">
            <v>11400</v>
          </cell>
          <cell r="P265">
            <v>-5.3486325368227092</v>
          </cell>
          <cell r="Q265" t="str">
            <v>能达公司</v>
          </cell>
        </row>
        <row r="266">
          <cell r="B266" t="str">
            <v>001-0019698</v>
          </cell>
          <cell r="C266" t="str">
            <v>吊顶式低噪声柜式空调</v>
          </cell>
          <cell r="D266" t="str">
            <v>CC400</v>
          </cell>
          <cell r="E266" t="str">
            <v/>
          </cell>
          <cell r="F266" t="str">
            <v>台</v>
          </cell>
          <cell r="G266" t="str">
            <v>200112</v>
          </cell>
          <cell r="H266" t="str">
            <v>200112</v>
          </cell>
          <cell r="I266">
            <v>12044.2</v>
          </cell>
          <cell r="J266">
            <v>12044.2</v>
          </cell>
          <cell r="K266">
            <v>12044.2</v>
          </cell>
          <cell r="L266">
            <v>12044.2</v>
          </cell>
          <cell r="M266">
            <v>12000</v>
          </cell>
          <cell r="N266">
            <v>95</v>
          </cell>
          <cell r="O266">
            <v>11400</v>
          </cell>
          <cell r="P266">
            <v>-5.3486325368227092</v>
          </cell>
          <cell r="Q266" t="str">
            <v>能达公司</v>
          </cell>
        </row>
        <row r="267">
          <cell r="B267" t="str">
            <v>001-0019699</v>
          </cell>
          <cell r="C267" t="str">
            <v>吊顶式低噪声柜式空调</v>
          </cell>
          <cell r="D267" t="str">
            <v>CC400</v>
          </cell>
          <cell r="E267" t="str">
            <v/>
          </cell>
          <cell r="F267" t="str">
            <v>台</v>
          </cell>
          <cell r="G267" t="str">
            <v>200112</v>
          </cell>
          <cell r="H267" t="str">
            <v>200112</v>
          </cell>
          <cell r="I267">
            <v>12044.2</v>
          </cell>
          <cell r="J267">
            <v>12044.2</v>
          </cell>
          <cell r="K267">
            <v>12044.2</v>
          </cell>
          <cell r="L267">
            <v>12044.2</v>
          </cell>
          <cell r="M267">
            <v>12000</v>
          </cell>
          <cell r="N267">
            <v>95</v>
          </cell>
          <cell r="O267">
            <v>11400</v>
          </cell>
          <cell r="P267">
            <v>-5.3486325368227092</v>
          </cell>
          <cell r="Q267" t="str">
            <v>能达公司</v>
          </cell>
        </row>
        <row r="268">
          <cell r="B268" t="str">
            <v>001-0019700</v>
          </cell>
          <cell r="C268" t="str">
            <v>吊顶式低噪声柜式空调</v>
          </cell>
          <cell r="D268" t="str">
            <v>CC400</v>
          </cell>
          <cell r="E268" t="str">
            <v/>
          </cell>
          <cell r="F268" t="str">
            <v>台</v>
          </cell>
          <cell r="G268" t="str">
            <v>200112</v>
          </cell>
          <cell r="H268" t="str">
            <v>200112</v>
          </cell>
          <cell r="I268">
            <v>12044.2</v>
          </cell>
          <cell r="J268">
            <v>12044.2</v>
          </cell>
          <cell r="K268">
            <v>12044.2</v>
          </cell>
          <cell r="L268">
            <v>12044.2</v>
          </cell>
          <cell r="M268">
            <v>12000</v>
          </cell>
          <cell r="N268">
            <v>95</v>
          </cell>
          <cell r="O268">
            <v>11400</v>
          </cell>
          <cell r="P268">
            <v>-5.3486325368227092</v>
          </cell>
          <cell r="Q268" t="str">
            <v>能达公司</v>
          </cell>
        </row>
        <row r="269">
          <cell r="B269" t="str">
            <v>001-0019701</v>
          </cell>
          <cell r="C269" t="str">
            <v>吊顶式低噪声柜式空调</v>
          </cell>
          <cell r="D269" t="str">
            <v>CC300</v>
          </cell>
          <cell r="E269" t="str">
            <v/>
          </cell>
          <cell r="F269" t="str">
            <v>台</v>
          </cell>
          <cell r="G269" t="str">
            <v>200112</v>
          </cell>
          <cell r="H269" t="str">
            <v>200112</v>
          </cell>
          <cell r="I269">
            <v>9715.7099999999991</v>
          </cell>
          <cell r="J269">
            <v>9715.7099999999991</v>
          </cell>
          <cell r="K269">
            <v>9715.7099999999991</v>
          </cell>
          <cell r="L269">
            <v>9715.7099999999991</v>
          </cell>
          <cell r="M269">
            <v>9700</v>
          </cell>
          <cell r="N269">
            <v>95</v>
          </cell>
          <cell r="O269">
            <v>9215</v>
          </cell>
          <cell r="P269">
            <v>-5.1536120365881564</v>
          </cell>
          <cell r="Q269" t="str">
            <v>能达公司</v>
          </cell>
        </row>
        <row r="270">
          <cell r="B270" t="str">
            <v>001-0019702</v>
          </cell>
          <cell r="C270" t="str">
            <v>吊顶式低噪声柜式空调</v>
          </cell>
          <cell r="D270" t="str">
            <v>CC300</v>
          </cell>
          <cell r="E270" t="str">
            <v/>
          </cell>
          <cell r="F270" t="str">
            <v>台</v>
          </cell>
          <cell r="G270" t="str">
            <v>200112</v>
          </cell>
          <cell r="H270" t="str">
            <v>200112</v>
          </cell>
          <cell r="I270">
            <v>9715.7099999999991</v>
          </cell>
          <cell r="J270">
            <v>9715.7099999999991</v>
          </cell>
          <cell r="K270">
            <v>9715.7099999999991</v>
          </cell>
          <cell r="L270">
            <v>9715.7099999999991</v>
          </cell>
          <cell r="M270">
            <v>9700</v>
          </cell>
          <cell r="N270">
            <v>95</v>
          </cell>
          <cell r="O270">
            <v>9215</v>
          </cell>
          <cell r="P270">
            <v>-5.1536120365881564</v>
          </cell>
          <cell r="Q270" t="str">
            <v>能达公司</v>
          </cell>
        </row>
        <row r="271">
          <cell r="B271" t="str">
            <v>001-0019703</v>
          </cell>
          <cell r="C271" t="str">
            <v>吊顶式低噪声柜式空调</v>
          </cell>
          <cell r="D271" t="str">
            <v>CC300</v>
          </cell>
          <cell r="E271" t="str">
            <v/>
          </cell>
          <cell r="F271" t="str">
            <v>台</v>
          </cell>
          <cell r="G271" t="str">
            <v>200112</v>
          </cell>
          <cell r="H271" t="str">
            <v>200112</v>
          </cell>
          <cell r="I271">
            <v>9715.7099999999991</v>
          </cell>
          <cell r="J271">
            <v>9715.7099999999991</v>
          </cell>
          <cell r="K271">
            <v>9715.7099999999991</v>
          </cell>
          <cell r="L271">
            <v>9715.7099999999991</v>
          </cell>
          <cell r="M271">
            <v>9700</v>
          </cell>
          <cell r="N271">
            <v>95</v>
          </cell>
          <cell r="O271">
            <v>9215</v>
          </cell>
          <cell r="P271">
            <v>-5.1536120365881564</v>
          </cell>
          <cell r="Q271" t="str">
            <v>能达公司</v>
          </cell>
        </row>
        <row r="272">
          <cell r="B272" t="str">
            <v>001-0019704</v>
          </cell>
          <cell r="C272" t="str">
            <v>吊顶式低噪声柜式空调</v>
          </cell>
          <cell r="D272" t="str">
            <v>CC300</v>
          </cell>
          <cell r="E272" t="str">
            <v/>
          </cell>
          <cell r="F272" t="str">
            <v>台</v>
          </cell>
          <cell r="G272" t="str">
            <v>200112</v>
          </cell>
          <cell r="H272" t="str">
            <v>200112</v>
          </cell>
          <cell r="I272">
            <v>9715.7099999999991</v>
          </cell>
          <cell r="J272">
            <v>9715.7099999999991</v>
          </cell>
          <cell r="K272">
            <v>9715.7099999999991</v>
          </cell>
          <cell r="L272">
            <v>9715.7099999999991</v>
          </cell>
          <cell r="M272">
            <v>9700</v>
          </cell>
          <cell r="N272">
            <v>95</v>
          </cell>
          <cell r="O272">
            <v>9215</v>
          </cell>
          <cell r="P272">
            <v>-5.1536120365881564</v>
          </cell>
          <cell r="Q272" t="str">
            <v>能达公司</v>
          </cell>
        </row>
        <row r="273">
          <cell r="B273" t="str">
            <v>001-0019705</v>
          </cell>
          <cell r="C273" t="str">
            <v>吊顶式低噪声柜式空调</v>
          </cell>
          <cell r="D273" t="str">
            <v>CC300</v>
          </cell>
          <cell r="E273" t="str">
            <v/>
          </cell>
          <cell r="F273" t="str">
            <v>台</v>
          </cell>
          <cell r="G273" t="str">
            <v>200112</v>
          </cell>
          <cell r="H273" t="str">
            <v>200112</v>
          </cell>
          <cell r="I273">
            <v>9715.7099999999991</v>
          </cell>
          <cell r="J273">
            <v>9715.7099999999991</v>
          </cell>
          <cell r="K273">
            <v>9715.7099999999991</v>
          </cell>
          <cell r="L273">
            <v>9715.7099999999991</v>
          </cell>
          <cell r="M273">
            <v>9700</v>
          </cell>
          <cell r="N273">
            <v>95</v>
          </cell>
          <cell r="O273">
            <v>9215</v>
          </cell>
          <cell r="P273">
            <v>-5.1536120365881564</v>
          </cell>
          <cell r="Q273" t="str">
            <v>能达公司</v>
          </cell>
        </row>
        <row r="274">
          <cell r="B274" t="str">
            <v>001-0019706</v>
          </cell>
          <cell r="C274" t="str">
            <v>吊顶式低噪声柜式空调</v>
          </cell>
          <cell r="D274" t="str">
            <v>CC300</v>
          </cell>
          <cell r="E274" t="str">
            <v/>
          </cell>
          <cell r="F274" t="str">
            <v>台</v>
          </cell>
          <cell r="G274" t="str">
            <v>200112</v>
          </cell>
          <cell r="H274" t="str">
            <v>200112</v>
          </cell>
          <cell r="I274">
            <v>9715.7099999999991</v>
          </cell>
          <cell r="J274">
            <v>9715.7099999999991</v>
          </cell>
          <cell r="K274">
            <v>9715.7099999999991</v>
          </cell>
          <cell r="L274">
            <v>9715.7099999999991</v>
          </cell>
          <cell r="M274">
            <v>9700</v>
          </cell>
          <cell r="N274">
            <v>95</v>
          </cell>
          <cell r="O274">
            <v>9215</v>
          </cell>
          <cell r="P274">
            <v>-5.1536120365881564</v>
          </cell>
          <cell r="Q274" t="str">
            <v>能达公司</v>
          </cell>
        </row>
        <row r="275">
          <cell r="B275" t="str">
            <v>001-0019707</v>
          </cell>
          <cell r="C275" t="str">
            <v>吊顶式低噪声柜式空调</v>
          </cell>
          <cell r="D275" t="str">
            <v>CC300</v>
          </cell>
          <cell r="E275" t="str">
            <v/>
          </cell>
          <cell r="F275" t="str">
            <v>台</v>
          </cell>
          <cell r="G275" t="str">
            <v>200112</v>
          </cell>
          <cell r="H275" t="str">
            <v>200112</v>
          </cell>
          <cell r="I275">
            <v>9715.7099999999991</v>
          </cell>
          <cell r="J275">
            <v>9715.7099999999991</v>
          </cell>
          <cell r="K275">
            <v>9715.7099999999991</v>
          </cell>
          <cell r="L275">
            <v>9715.7099999999991</v>
          </cell>
          <cell r="M275">
            <v>9700</v>
          </cell>
          <cell r="N275">
            <v>95</v>
          </cell>
          <cell r="O275">
            <v>9215</v>
          </cell>
          <cell r="P275">
            <v>-5.1536120365881564</v>
          </cell>
          <cell r="Q275" t="str">
            <v>能达公司</v>
          </cell>
        </row>
        <row r="276">
          <cell r="B276" t="str">
            <v>001-0019708</v>
          </cell>
          <cell r="C276" t="str">
            <v>明装立式低噪声柜式容能机</v>
          </cell>
          <cell r="D276" t="str">
            <v>GLM-6-2X2 0.64KW</v>
          </cell>
          <cell r="E276" t="str">
            <v/>
          </cell>
          <cell r="F276" t="str">
            <v>台</v>
          </cell>
          <cell r="G276" t="str">
            <v>200112</v>
          </cell>
          <cell r="H276" t="str">
            <v>200112</v>
          </cell>
          <cell r="I276">
            <v>11572.33</v>
          </cell>
          <cell r="J276">
            <v>11572.33</v>
          </cell>
          <cell r="K276">
            <v>11572.33</v>
          </cell>
          <cell r="L276">
            <v>11572.33</v>
          </cell>
          <cell r="M276">
            <v>11500</v>
          </cell>
          <cell r="N276">
            <v>95</v>
          </cell>
          <cell r="O276">
            <v>10925</v>
          </cell>
          <cell r="P276">
            <v>-5.5937741146337849</v>
          </cell>
          <cell r="Q276" t="str">
            <v>能达公司</v>
          </cell>
        </row>
        <row r="277">
          <cell r="B277" t="str">
            <v>001-0019709</v>
          </cell>
          <cell r="C277" t="str">
            <v>明装立式低噪声柜式容能机</v>
          </cell>
          <cell r="D277" t="str">
            <v>GLM-6-2X2 0.64KW</v>
          </cell>
          <cell r="E277" t="str">
            <v/>
          </cell>
          <cell r="F277" t="str">
            <v>台</v>
          </cell>
          <cell r="G277" t="str">
            <v>200112</v>
          </cell>
          <cell r="H277" t="str">
            <v>200112</v>
          </cell>
          <cell r="I277">
            <v>11572.33</v>
          </cell>
          <cell r="J277">
            <v>11572.33</v>
          </cell>
          <cell r="K277">
            <v>11572.33</v>
          </cell>
          <cell r="L277">
            <v>11572.33</v>
          </cell>
          <cell r="M277">
            <v>11500</v>
          </cell>
          <cell r="N277">
            <v>95</v>
          </cell>
          <cell r="O277">
            <v>10925</v>
          </cell>
          <cell r="P277">
            <v>-5.5937741146337849</v>
          </cell>
          <cell r="Q277" t="str">
            <v>能达公司</v>
          </cell>
        </row>
        <row r="278">
          <cell r="B278" t="str">
            <v>001-0019710</v>
          </cell>
          <cell r="C278" t="str">
            <v>明装立式低噪声柜式容能机</v>
          </cell>
          <cell r="D278" t="str">
            <v>GLM-6-2X2 0.64KW</v>
          </cell>
          <cell r="E278" t="str">
            <v/>
          </cell>
          <cell r="F278" t="str">
            <v>台</v>
          </cell>
          <cell r="G278" t="str">
            <v>200112</v>
          </cell>
          <cell r="H278" t="str">
            <v>200112</v>
          </cell>
          <cell r="I278">
            <v>11572.33</v>
          </cell>
          <cell r="J278">
            <v>11572.33</v>
          </cell>
          <cell r="K278">
            <v>11572.33</v>
          </cell>
          <cell r="L278">
            <v>11572.33</v>
          </cell>
          <cell r="M278">
            <v>11500</v>
          </cell>
          <cell r="N278">
            <v>95</v>
          </cell>
          <cell r="O278">
            <v>10925</v>
          </cell>
          <cell r="P278">
            <v>-5.5937741146337849</v>
          </cell>
          <cell r="Q278" t="str">
            <v>能达公司</v>
          </cell>
        </row>
        <row r="279">
          <cell r="B279" t="str">
            <v>001-0019711</v>
          </cell>
          <cell r="C279" t="str">
            <v>明装立式低噪声柜式容能机</v>
          </cell>
          <cell r="D279" t="str">
            <v>CLM-6-3 0.45KW</v>
          </cell>
          <cell r="E279" t="str">
            <v/>
          </cell>
          <cell r="F279" t="str">
            <v>台</v>
          </cell>
          <cell r="G279" t="str">
            <v>200112</v>
          </cell>
          <cell r="H279" t="str">
            <v>200112</v>
          </cell>
          <cell r="I279">
            <v>11543</v>
          </cell>
          <cell r="J279">
            <v>11543</v>
          </cell>
          <cell r="K279">
            <v>11543</v>
          </cell>
          <cell r="L279">
            <v>11543</v>
          </cell>
          <cell r="M279">
            <v>11500</v>
          </cell>
          <cell r="N279">
            <v>95</v>
          </cell>
          <cell r="O279">
            <v>10925</v>
          </cell>
          <cell r="P279">
            <v>-5.3538941349735767</v>
          </cell>
          <cell r="Q279" t="str">
            <v>能达公司</v>
          </cell>
        </row>
        <row r="280">
          <cell r="B280" t="str">
            <v>001-0019712</v>
          </cell>
          <cell r="C280" t="str">
            <v>吊顶式低噪声柜式新内机组</v>
          </cell>
          <cell r="D280" t="str">
            <v>CC2000 1.5HP</v>
          </cell>
          <cell r="E280" t="str">
            <v/>
          </cell>
          <cell r="F280" t="str">
            <v>台</v>
          </cell>
          <cell r="G280" t="str">
            <v>200112</v>
          </cell>
          <cell r="H280" t="str">
            <v>200112</v>
          </cell>
          <cell r="I280">
            <v>8122.75</v>
          </cell>
          <cell r="J280">
            <v>8122.75</v>
          </cell>
          <cell r="K280">
            <v>8122.75</v>
          </cell>
          <cell r="L280">
            <v>8122.75</v>
          </cell>
          <cell r="M280">
            <v>8000</v>
          </cell>
          <cell r="N280">
            <v>95</v>
          </cell>
          <cell r="O280">
            <v>7600</v>
          </cell>
          <cell r="P280">
            <v>-6.4356283278446336</v>
          </cell>
          <cell r="Q280" t="str">
            <v>能达公司</v>
          </cell>
        </row>
        <row r="281">
          <cell r="B281" t="str">
            <v>001-0019713</v>
          </cell>
          <cell r="C281" t="str">
            <v>吊顶式低噪声柜式新内机组</v>
          </cell>
          <cell r="D281" t="str">
            <v>CC2000 1.5HP</v>
          </cell>
          <cell r="E281" t="str">
            <v/>
          </cell>
          <cell r="F281" t="str">
            <v>台</v>
          </cell>
          <cell r="G281" t="str">
            <v>200112</v>
          </cell>
          <cell r="H281" t="str">
            <v>200112</v>
          </cell>
          <cell r="I281">
            <v>8122.75</v>
          </cell>
          <cell r="J281">
            <v>8122.75</v>
          </cell>
          <cell r="K281">
            <v>8122.75</v>
          </cell>
          <cell r="L281">
            <v>8122.75</v>
          </cell>
          <cell r="M281">
            <v>8000</v>
          </cell>
          <cell r="N281">
            <v>95</v>
          </cell>
          <cell r="O281">
            <v>7600</v>
          </cell>
          <cell r="P281">
            <v>-6.4356283278446336</v>
          </cell>
          <cell r="Q281" t="str">
            <v>能达公司</v>
          </cell>
        </row>
        <row r="282">
          <cell r="B282" t="str">
            <v>001-0019714</v>
          </cell>
          <cell r="C282" t="str">
            <v>吊顶式低噪声柜式新内机组</v>
          </cell>
          <cell r="D282" t="str">
            <v>CC2000 1.5HP</v>
          </cell>
          <cell r="E282" t="str">
            <v/>
          </cell>
          <cell r="F282" t="str">
            <v>台</v>
          </cell>
          <cell r="G282" t="str">
            <v>200112</v>
          </cell>
          <cell r="H282" t="str">
            <v>200112</v>
          </cell>
          <cell r="I282">
            <v>8122.75</v>
          </cell>
          <cell r="J282">
            <v>8122.75</v>
          </cell>
          <cell r="K282">
            <v>8122.75</v>
          </cell>
          <cell r="L282">
            <v>8122.75</v>
          </cell>
          <cell r="M282">
            <v>8000</v>
          </cell>
          <cell r="N282">
            <v>95</v>
          </cell>
          <cell r="O282">
            <v>7600</v>
          </cell>
          <cell r="P282">
            <v>-6.4356283278446336</v>
          </cell>
          <cell r="Q282" t="str">
            <v>能达公司</v>
          </cell>
        </row>
        <row r="283">
          <cell r="B283" t="str">
            <v>001-0019715</v>
          </cell>
          <cell r="C283" t="str">
            <v>吊顶式低噪声柜式新内机组</v>
          </cell>
          <cell r="D283" t="str">
            <v>CC2000 1.5HP</v>
          </cell>
          <cell r="E283" t="str">
            <v/>
          </cell>
          <cell r="F283" t="str">
            <v>台</v>
          </cell>
          <cell r="G283" t="str">
            <v>200112</v>
          </cell>
          <cell r="H283" t="str">
            <v>200112</v>
          </cell>
          <cell r="I283">
            <v>8122.75</v>
          </cell>
          <cell r="J283">
            <v>8122.75</v>
          </cell>
          <cell r="K283">
            <v>8122.75</v>
          </cell>
          <cell r="L283">
            <v>8122.75</v>
          </cell>
          <cell r="M283">
            <v>8000</v>
          </cell>
          <cell r="N283">
            <v>95</v>
          </cell>
          <cell r="O283">
            <v>7600</v>
          </cell>
          <cell r="P283">
            <v>-6.4356283278446336</v>
          </cell>
          <cell r="Q283" t="str">
            <v>能达公司</v>
          </cell>
        </row>
        <row r="284">
          <cell r="B284" t="str">
            <v>001-0019716</v>
          </cell>
          <cell r="C284" t="str">
            <v>低噪声内机箱</v>
          </cell>
          <cell r="D284" t="str">
            <v>AHFS08HL</v>
          </cell>
          <cell r="E284" t="str">
            <v/>
          </cell>
          <cell r="F284" t="str">
            <v>台</v>
          </cell>
          <cell r="G284" t="str">
            <v>200112</v>
          </cell>
          <cell r="H284" t="str">
            <v>200112</v>
          </cell>
          <cell r="I284">
            <v>12257</v>
          </cell>
          <cell r="J284">
            <v>12257</v>
          </cell>
          <cell r="K284">
            <v>12257</v>
          </cell>
          <cell r="L284">
            <v>12257</v>
          </cell>
          <cell r="M284">
            <v>12000</v>
          </cell>
          <cell r="N284">
            <v>95</v>
          </cell>
          <cell r="O284">
            <v>11400</v>
          </cell>
          <cell r="P284">
            <v>-6.9919229827853462</v>
          </cell>
          <cell r="Q284" t="str">
            <v>能达公司</v>
          </cell>
        </row>
        <row r="285">
          <cell r="B285" t="str">
            <v>001-0019717</v>
          </cell>
          <cell r="C285" t="str">
            <v>低噪声内机箱</v>
          </cell>
          <cell r="D285" t="str">
            <v>AHFS08HL</v>
          </cell>
          <cell r="E285" t="str">
            <v/>
          </cell>
          <cell r="F285" t="str">
            <v>台</v>
          </cell>
          <cell r="G285" t="str">
            <v>200112</v>
          </cell>
          <cell r="H285" t="str">
            <v>200112</v>
          </cell>
          <cell r="I285">
            <v>12257</v>
          </cell>
          <cell r="J285">
            <v>12257</v>
          </cell>
          <cell r="K285">
            <v>12257</v>
          </cell>
          <cell r="L285">
            <v>12257</v>
          </cell>
          <cell r="M285">
            <v>12000</v>
          </cell>
          <cell r="N285">
            <v>95</v>
          </cell>
          <cell r="O285">
            <v>11400</v>
          </cell>
          <cell r="P285">
            <v>-6.9919229827853462</v>
          </cell>
          <cell r="Q285" t="str">
            <v>能达公司</v>
          </cell>
        </row>
        <row r="286">
          <cell r="B286" t="str">
            <v>001-0019718</v>
          </cell>
          <cell r="C286" t="str">
            <v>防排烟内机箱</v>
          </cell>
          <cell r="D286" t="str">
            <v>XFG-I-NO25</v>
          </cell>
          <cell r="E286" t="str">
            <v/>
          </cell>
          <cell r="F286" t="str">
            <v>台</v>
          </cell>
          <cell r="G286" t="str">
            <v>200112</v>
          </cell>
          <cell r="H286" t="str">
            <v>200112</v>
          </cell>
          <cell r="I286">
            <v>24250</v>
          </cell>
          <cell r="J286">
            <v>24250</v>
          </cell>
          <cell r="K286">
            <v>24250</v>
          </cell>
          <cell r="L286">
            <v>24250</v>
          </cell>
          <cell r="M286">
            <v>24000</v>
          </cell>
          <cell r="N286">
            <v>95</v>
          </cell>
          <cell r="O286">
            <v>22800</v>
          </cell>
          <cell r="P286">
            <v>-5.9793814432989691</v>
          </cell>
          <cell r="Q286" t="str">
            <v>能达公司</v>
          </cell>
        </row>
        <row r="287">
          <cell r="B287" t="str">
            <v>001-0019719</v>
          </cell>
          <cell r="C287" t="str">
            <v>低噪声内机箱</v>
          </cell>
          <cell r="D287" t="str">
            <v>AHF-S120HL</v>
          </cell>
          <cell r="E287" t="str">
            <v/>
          </cell>
          <cell r="F287" t="str">
            <v>台</v>
          </cell>
          <cell r="G287" t="str">
            <v>200112</v>
          </cell>
          <cell r="H287" t="str">
            <v>200112</v>
          </cell>
          <cell r="I287">
            <v>14203.5</v>
          </cell>
          <cell r="J287">
            <v>14203.5</v>
          </cell>
          <cell r="K287">
            <v>14203.5</v>
          </cell>
          <cell r="L287">
            <v>14203.5</v>
          </cell>
          <cell r="M287">
            <v>14000</v>
          </cell>
          <cell r="N287">
            <v>95</v>
          </cell>
          <cell r="O287">
            <v>13300</v>
          </cell>
          <cell r="P287">
            <v>-6.3611081775618681</v>
          </cell>
          <cell r="Q287" t="str">
            <v>能达公司</v>
          </cell>
        </row>
        <row r="288">
          <cell r="B288" t="str">
            <v>001-0019720</v>
          </cell>
          <cell r="C288" t="str">
            <v>低噪声内机箱</v>
          </cell>
          <cell r="D288" t="str">
            <v>AHF-S120HL</v>
          </cell>
          <cell r="E288" t="str">
            <v/>
          </cell>
          <cell r="F288" t="str">
            <v>台</v>
          </cell>
          <cell r="G288" t="str">
            <v>200112</v>
          </cell>
          <cell r="H288" t="str">
            <v>200112</v>
          </cell>
          <cell r="I288">
            <v>14203.5</v>
          </cell>
          <cell r="J288">
            <v>14203.5</v>
          </cell>
          <cell r="K288">
            <v>14203.5</v>
          </cell>
          <cell r="L288">
            <v>14203.5</v>
          </cell>
          <cell r="M288">
            <v>14000</v>
          </cell>
          <cell r="N288">
            <v>95</v>
          </cell>
          <cell r="O288">
            <v>13300</v>
          </cell>
          <cell r="P288">
            <v>-6.3611081775618681</v>
          </cell>
          <cell r="Q288" t="str">
            <v>能达公司</v>
          </cell>
        </row>
        <row r="289">
          <cell r="B289" t="str">
            <v>001-0019721</v>
          </cell>
          <cell r="C289" t="str">
            <v>其余部件</v>
          </cell>
          <cell r="D289" t="str">
            <v/>
          </cell>
          <cell r="E289" t="str">
            <v/>
          </cell>
          <cell r="F289" t="str">
            <v/>
          </cell>
          <cell r="G289" t="str">
            <v>200112</v>
          </cell>
          <cell r="H289" t="str">
            <v>200112</v>
          </cell>
          <cell r="I289">
            <v>190258</v>
          </cell>
          <cell r="J289">
            <v>190258</v>
          </cell>
          <cell r="K289">
            <v>190258</v>
          </cell>
          <cell r="L289">
            <v>190258</v>
          </cell>
          <cell r="M289">
            <v>190000</v>
          </cell>
          <cell r="N289">
            <v>95</v>
          </cell>
          <cell r="O289">
            <v>180500</v>
          </cell>
          <cell r="P289">
            <v>-5.1288250691166732</v>
          </cell>
          <cell r="Q289" t="str">
            <v>能达公司</v>
          </cell>
        </row>
        <row r="290">
          <cell r="B290" t="str">
            <v>001-0020417</v>
          </cell>
          <cell r="C290" t="str">
            <v>240W功率放大器</v>
          </cell>
          <cell r="D290" t="str">
            <v>EM-KA 240C</v>
          </cell>
          <cell r="E290" t="str">
            <v/>
          </cell>
          <cell r="F290" t="str">
            <v>个</v>
          </cell>
          <cell r="G290" t="str">
            <v>200112</v>
          </cell>
          <cell r="H290" t="str">
            <v>200112</v>
          </cell>
          <cell r="I290">
            <v>11600</v>
          </cell>
          <cell r="J290">
            <v>11600</v>
          </cell>
          <cell r="K290">
            <v>11600</v>
          </cell>
          <cell r="L290">
            <v>11600</v>
          </cell>
          <cell r="M290">
            <v>11600</v>
          </cell>
          <cell r="N290">
            <v>95</v>
          </cell>
          <cell r="O290">
            <v>11020</v>
          </cell>
          <cell r="P290">
            <v>-5</v>
          </cell>
          <cell r="Q290" t="str">
            <v>能达公司</v>
          </cell>
        </row>
        <row r="291">
          <cell r="B291" t="str">
            <v>001-0020419</v>
          </cell>
          <cell r="C291" t="str">
            <v>收音单元</v>
          </cell>
          <cell r="D291" t="str">
            <v>PA-F2-G-E</v>
          </cell>
          <cell r="E291" t="str">
            <v/>
          </cell>
          <cell r="F291" t="str">
            <v>台</v>
          </cell>
          <cell r="G291" t="str">
            <v>200112</v>
          </cell>
          <cell r="H291" t="str">
            <v>200112</v>
          </cell>
          <cell r="I291">
            <v>4000</v>
          </cell>
          <cell r="J291">
            <v>4000</v>
          </cell>
          <cell r="K291">
            <v>4000</v>
          </cell>
          <cell r="L291">
            <v>4000</v>
          </cell>
          <cell r="M291">
            <v>4000</v>
          </cell>
          <cell r="N291">
            <v>95</v>
          </cell>
          <cell r="O291">
            <v>3800</v>
          </cell>
          <cell r="P291">
            <v>-5</v>
          </cell>
          <cell r="Q291" t="str">
            <v>能达公司</v>
          </cell>
        </row>
        <row r="292">
          <cell r="B292" t="str">
            <v>001-0020420</v>
          </cell>
          <cell r="C292" t="str">
            <v>录放音卡座</v>
          </cell>
          <cell r="D292" t="str">
            <v>PA-KU70-E</v>
          </cell>
          <cell r="E292" t="str">
            <v/>
          </cell>
          <cell r="F292" t="str">
            <v>台</v>
          </cell>
          <cell r="G292" t="str">
            <v>200112</v>
          </cell>
          <cell r="H292" t="str">
            <v>200112</v>
          </cell>
          <cell r="I292">
            <v>5300</v>
          </cell>
          <cell r="J292">
            <v>5300</v>
          </cell>
          <cell r="K292">
            <v>5300</v>
          </cell>
          <cell r="L292">
            <v>5300</v>
          </cell>
          <cell r="M292">
            <v>5300</v>
          </cell>
          <cell r="N292">
            <v>95</v>
          </cell>
          <cell r="O292">
            <v>5035</v>
          </cell>
          <cell r="P292">
            <v>-5</v>
          </cell>
          <cell r="Q292" t="str">
            <v>能达公司</v>
          </cell>
        </row>
        <row r="293">
          <cell r="B293" t="str">
            <v>001-0020421</v>
          </cell>
          <cell r="C293" t="str">
            <v>钟控</v>
          </cell>
          <cell r="D293" t="str">
            <v>PA-TU20-E</v>
          </cell>
          <cell r="E293" t="str">
            <v/>
          </cell>
          <cell r="F293" t="str">
            <v>台</v>
          </cell>
          <cell r="G293" t="str">
            <v>200112</v>
          </cell>
          <cell r="H293" t="str">
            <v>200112</v>
          </cell>
          <cell r="I293">
            <v>8900</v>
          </cell>
          <cell r="J293">
            <v>8900</v>
          </cell>
          <cell r="K293">
            <v>8900</v>
          </cell>
          <cell r="L293">
            <v>8900</v>
          </cell>
          <cell r="M293">
            <v>8900</v>
          </cell>
          <cell r="N293">
            <v>95</v>
          </cell>
          <cell r="O293">
            <v>8455</v>
          </cell>
          <cell r="P293">
            <v>-5</v>
          </cell>
          <cell r="Q293" t="str">
            <v>能达公司</v>
          </cell>
        </row>
        <row r="294">
          <cell r="B294" t="str">
            <v>001-0020422</v>
          </cell>
          <cell r="C294" t="str">
            <v>单元安装柜</v>
          </cell>
          <cell r="D294" t="str">
            <v>EM-R83-E</v>
          </cell>
          <cell r="E294" t="str">
            <v/>
          </cell>
          <cell r="F294" t="str">
            <v>个</v>
          </cell>
          <cell r="G294" t="str">
            <v>200112</v>
          </cell>
          <cell r="H294" t="str">
            <v>200112</v>
          </cell>
          <cell r="I294">
            <v>4900</v>
          </cell>
          <cell r="J294">
            <v>4900</v>
          </cell>
          <cell r="K294">
            <v>4900</v>
          </cell>
          <cell r="L294">
            <v>4900</v>
          </cell>
          <cell r="M294">
            <v>4900</v>
          </cell>
          <cell r="N294">
            <v>95</v>
          </cell>
          <cell r="O294">
            <v>4655</v>
          </cell>
          <cell r="P294">
            <v>-5</v>
          </cell>
          <cell r="Q294" t="str">
            <v>能达公司</v>
          </cell>
        </row>
        <row r="295">
          <cell r="B295" t="str">
            <v>001-0020423</v>
          </cell>
          <cell r="C295" t="str">
            <v>考勤机</v>
          </cell>
          <cell r="D295" t="str">
            <v>LS 3000</v>
          </cell>
          <cell r="E295" t="str">
            <v/>
          </cell>
          <cell r="F295" t="str">
            <v>台</v>
          </cell>
          <cell r="G295" t="str">
            <v>200112</v>
          </cell>
          <cell r="H295" t="str">
            <v>200112</v>
          </cell>
          <cell r="I295">
            <v>4100</v>
          </cell>
          <cell r="J295">
            <v>4100</v>
          </cell>
          <cell r="K295">
            <v>4100</v>
          </cell>
          <cell r="L295">
            <v>4100</v>
          </cell>
          <cell r="M295">
            <v>4100</v>
          </cell>
          <cell r="N295">
            <v>95</v>
          </cell>
          <cell r="O295">
            <v>3895</v>
          </cell>
          <cell r="P295">
            <v>-5</v>
          </cell>
          <cell r="Q295" t="str">
            <v>能达公司</v>
          </cell>
        </row>
        <row r="296">
          <cell r="B296" t="str">
            <v>001-0020424</v>
          </cell>
          <cell r="C296" t="str">
            <v>考勤机</v>
          </cell>
          <cell r="D296" t="str">
            <v>LS 3000</v>
          </cell>
          <cell r="E296" t="str">
            <v/>
          </cell>
          <cell r="F296" t="str">
            <v>台</v>
          </cell>
          <cell r="G296" t="str">
            <v>200112</v>
          </cell>
          <cell r="H296" t="str">
            <v>200112</v>
          </cell>
          <cell r="I296">
            <v>4100</v>
          </cell>
          <cell r="J296">
            <v>4100</v>
          </cell>
          <cell r="K296">
            <v>4100</v>
          </cell>
          <cell r="L296">
            <v>4100</v>
          </cell>
          <cell r="M296">
            <v>4100</v>
          </cell>
          <cell r="N296">
            <v>95</v>
          </cell>
          <cell r="O296">
            <v>3895</v>
          </cell>
          <cell r="P296">
            <v>-5</v>
          </cell>
          <cell r="Q296" t="str">
            <v>能达公司</v>
          </cell>
        </row>
        <row r="297">
          <cell r="B297" t="str">
            <v>001-0020425</v>
          </cell>
          <cell r="C297" t="str">
            <v>发卡器</v>
          </cell>
          <cell r="D297" t="str">
            <v>PC  30</v>
          </cell>
          <cell r="E297" t="str">
            <v/>
          </cell>
          <cell r="F297" t="str">
            <v>台</v>
          </cell>
          <cell r="G297" t="str">
            <v>200112</v>
          </cell>
          <cell r="H297" t="str">
            <v>200112</v>
          </cell>
          <cell r="I297">
            <v>2000</v>
          </cell>
          <cell r="J297">
            <v>2000</v>
          </cell>
          <cell r="K297">
            <v>2000</v>
          </cell>
          <cell r="L297">
            <v>2000</v>
          </cell>
          <cell r="M297">
            <v>2000</v>
          </cell>
          <cell r="N297">
            <v>95</v>
          </cell>
          <cell r="O297">
            <v>1900</v>
          </cell>
          <cell r="P297">
            <v>-5</v>
          </cell>
          <cell r="Q297" t="str">
            <v>能达公司</v>
          </cell>
        </row>
        <row r="298">
          <cell r="B298" t="str">
            <v>001-0020433</v>
          </cell>
          <cell r="C298" t="str">
            <v>其它耗材及软件费用</v>
          </cell>
          <cell r="D298" t="str">
            <v/>
          </cell>
          <cell r="E298" t="str">
            <v/>
          </cell>
          <cell r="F298" t="str">
            <v>台</v>
          </cell>
          <cell r="G298" t="str">
            <v>200112</v>
          </cell>
          <cell r="H298" t="str">
            <v>200112</v>
          </cell>
          <cell r="I298">
            <v>119166</v>
          </cell>
          <cell r="J298">
            <v>119166</v>
          </cell>
          <cell r="K298">
            <v>119166</v>
          </cell>
          <cell r="L298">
            <v>119166</v>
          </cell>
          <cell r="M298">
            <v>119000</v>
          </cell>
          <cell r="N298">
            <v>95</v>
          </cell>
          <cell r="O298">
            <v>113050</v>
          </cell>
          <cell r="P298">
            <v>-5.1323364046791875</v>
          </cell>
          <cell r="Q298" t="str">
            <v>能达公司</v>
          </cell>
        </row>
        <row r="299">
          <cell r="B299" t="str">
            <v>001-0008678</v>
          </cell>
          <cell r="C299" t="str">
            <v>语言学习系统</v>
          </cell>
          <cell r="D299" t="str">
            <v>F980F/36</v>
          </cell>
          <cell r="E299" t="str">
            <v/>
          </cell>
          <cell r="F299" t="str">
            <v>台</v>
          </cell>
          <cell r="G299" t="str">
            <v>199704</v>
          </cell>
          <cell r="H299" t="str">
            <v>199704</v>
          </cell>
          <cell r="I299">
            <v>102231</v>
          </cell>
          <cell r="J299">
            <v>69879.13</v>
          </cell>
          <cell r="K299">
            <v>102231</v>
          </cell>
          <cell r="L299">
            <v>69879.13</v>
          </cell>
          <cell r="M299">
            <v>60000</v>
          </cell>
          <cell r="N299">
            <v>50</v>
          </cell>
          <cell r="O299">
            <v>30000</v>
          </cell>
          <cell r="P299">
            <v>-57.068727100637915</v>
          </cell>
          <cell r="Q299" t="str">
            <v>培训中心</v>
          </cell>
        </row>
        <row r="300">
          <cell r="B300" t="str">
            <v>001-0010143</v>
          </cell>
          <cell r="C300" t="str">
            <v>打印机</v>
          </cell>
          <cell r="D300" t="str">
            <v>激光   HP5000</v>
          </cell>
          <cell r="E300" t="str">
            <v/>
          </cell>
          <cell r="F300" t="str">
            <v>台</v>
          </cell>
          <cell r="G300" t="str">
            <v>199909</v>
          </cell>
          <cell r="H300" t="str">
            <v>199909</v>
          </cell>
          <cell r="I300">
            <v>15200</v>
          </cell>
          <cell r="J300">
            <v>10450.01</v>
          </cell>
          <cell r="K300">
            <v>15200</v>
          </cell>
          <cell r="L300">
            <v>10450.01</v>
          </cell>
          <cell r="M300">
            <v>12500</v>
          </cell>
          <cell r="N300">
            <v>60</v>
          </cell>
          <cell r="O300">
            <v>7500</v>
          </cell>
          <cell r="P300">
            <v>-28.229733751450958</v>
          </cell>
          <cell r="Q300" t="str">
            <v>培训中心</v>
          </cell>
        </row>
        <row r="301">
          <cell r="B301" t="str">
            <v>001-0008267</v>
          </cell>
          <cell r="C301" t="str">
            <v>计算机</v>
          </cell>
          <cell r="D301" t="str">
            <v>HP586/100</v>
          </cell>
          <cell r="F301" t="str">
            <v/>
          </cell>
          <cell r="G301" t="str">
            <v>199610</v>
          </cell>
          <cell r="H301" t="str">
            <v>199610</v>
          </cell>
          <cell r="I301">
            <v>21200</v>
          </cell>
          <cell r="J301">
            <v>13000.9</v>
          </cell>
          <cell r="K301">
            <v>21200</v>
          </cell>
          <cell r="L301">
            <v>13000.9</v>
          </cell>
          <cell r="M301">
            <v>800</v>
          </cell>
          <cell r="N301">
            <v>100</v>
          </cell>
          <cell r="O301">
            <v>800</v>
          </cell>
          <cell r="P301">
            <v>-93.846579852164083</v>
          </cell>
          <cell r="Q301" t="str">
            <v>企管处</v>
          </cell>
        </row>
        <row r="302">
          <cell r="B302" t="str">
            <v>001-0008811</v>
          </cell>
          <cell r="C302" t="str">
            <v>复印机</v>
          </cell>
          <cell r="D302" t="str">
            <v>原装4495</v>
          </cell>
          <cell r="E302" t="str">
            <v/>
          </cell>
          <cell r="F302" t="str">
            <v>台</v>
          </cell>
          <cell r="G302" t="str">
            <v>199710</v>
          </cell>
          <cell r="H302" t="str">
            <v>199710</v>
          </cell>
          <cell r="I302">
            <v>25000</v>
          </cell>
          <cell r="J302">
            <v>11197.91</v>
          </cell>
          <cell r="K302">
            <v>25000</v>
          </cell>
          <cell r="L302">
            <v>11197.91</v>
          </cell>
          <cell r="M302">
            <v>18000</v>
          </cell>
          <cell r="N302">
            <v>15</v>
          </cell>
          <cell r="O302">
            <v>2700</v>
          </cell>
          <cell r="P302">
            <v>-75.888357738185078</v>
          </cell>
          <cell r="Q302" t="str">
            <v>人劳处</v>
          </cell>
        </row>
        <row r="303">
          <cell r="B303" t="str">
            <v>001-0009035</v>
          </cell>
          <cell r="C303" t="str">
            <v>去湿机</v>
          </cell>
          <cell r="D303" t="str">
            <v>CD400P</v>
          </cell>
          <cell r="E303" t="str">
            <v/>
          </cell>
          <cell r="F303" t="str">
            <v>台</v>
          </cell>
          <cell r="G303" t="str">
            <v>199806</v>
          </cell>
          <cell r="H303" t="str">
            <v>199806</v>
          </cell>
          <cell r="I303">
            <v>3450</v>
          </cell>
          <cell r="J303">
            <v>2526.25</v>
          </cell>
          <cell r="K303">
            <v>3450</v>
          </cell>
          <cell r="L303">
            <v>2526.25</v>
          </cell>
          <cell r="M303">
            <v>3200</v>
          </cell>
          <cell r="N303">
            <v>60</v>
          </cell>
          <cell r="O303">
            <v>1920</v>
          </cell>
          <cell r="P303">
            <v>-23.998020781791194</v>
          </cell>
          <cell r="Q303" t="str">
            <v>人劳处</v>
          </cell>
        </row>
        <row r="304">
          <cell r="B304" t="str">
            <v>001-0010075</v>
          </cell>
          <cell r="C304" t="str">
            <v>光盘刻录机</v>
          </cell>
          <cell r="D304" t="str">
            <v>HP8100</v>
          </cell>
          <cell r="E304" t="str">
            <v/>
          </cell>
          <cell r="F304" t="str">
            <v>台</v>
          </cell>
          <cell r="G304" t="str">
            <v>199906</v>
          </cell>
          <cell r="H304" t="str">
            <v>199906</v>
          </cell>
          <cell r="I304">
            <v>4745</v>
          </cell>
          <cell r="J304">
            <v>3440.13</v>
          </cell>
          <cell r="K304">
            <v>4745</v>
          </cell>
          <cell r="L304">
            <v>3440.13</v>
          </cell>
          <cell r="M304">
            <v>3200</v>
          </cell>
          <cell r="N304">
            <v>15</v>
          </cell>
          <cell r="O304">
            <v>480</v>
          </cell>
          <cell r="P304">
            <v>-86.047038920040805</v>
          </cell>
          <cell r="Q304" t="str">
            <v>人劳处</v>
          </cell>
        </row>
        <row r="305">
          <cell r="B305" t="str">
            <v>001-0010076</v>
          </cell>
          <cell r="C305" t="str">
            <v>光盘刻录机</v>
          </cell>
          <cell r="D305" t="str">
            <v>HP8100</v>
          </cell>
          <cell r="E305" t="str">
            <v/>
          </cell>
          <cell r="F305" t="str">
            <v>台</v>
          </cell>
          <cell r="G305" t="str">
            <v>199906</v>
          </cell>
          <cell r="H305" t="str">
            <v>199906</v>
          </cell>
          <cell r="I305">
            <v>4745</v>
          </cell>
          <cell r="J305">
            <v>3440.13</v>
          </cell>
          <cell r="K305">
            <v>4745</v>
          </cell>
          <cell r="L305">
            <v>3440.13</v>
          </cell>
          <cell r="M305">
            <v>3200</v>
          </cell>
          <cell r="N305">
            <v>15</v>
          </cell>
          <cell r="O305">
            <v>480</v>
          </cell>
          <cell r="P305">
            <v>-86.047038920040805</v>
          </cell>
          <cell r="Q305" t="str">
            <v>人劳处</v>
          </cell>
        </row>
        <row r="306">
          <cell r="B306" t="str">
            <v>001-0010144</v>
          </cell>
          <cell r="C306" t="str">
            <v>打印机</v>
          </cell>
          <cell r="D306" t="str">
            <v>HP6L</v>
          </cell>
          <cell r="E306" t="str">
            <v/>
          </cell>
          <cell r="F306" t="str">
            <v>台</v>
          </cell>
          <cell r="G306" t="str">
            <v>199909</v>
          </cell>
          <cell r="H306" t="str">
            <v>199909</v>
          </cell>
          <cell r="I306">
            <v>3150</v>
          </cell>
          <cell r="J306">
            <v>2165.63</v>
          </cell>
          <cell r="K306">
            <v>3150</v>
          </cell>
          <cell r="L306">
            <v>2165.63</v>
          </cell>
          <cell r="M306">
            <v>2800</v>
          </cell>
          <cell r="N306">
            <v>50</v>
          </cell>
          <cell r="O306">
            <v>1400</v>
          </cell>
          <cell r="P306">
            <v>-35.353684609097584</v>
          </cell>
          <cell r="Q306" t="str">
            <v>人劳处</v>
          </cell>
        </row>
        <row r="307">
          <cell r="B307" t="str">
            <v>001-0010163</v>
          </cell>
          <cell r="C307" t="str">
            <v>计算机</v>
          </cell>
          <cell r="D307" t="str">
            <v>联想逐日2000</v>
          </cell>
          <cell r="E307" t="str">
            <v/>
          </cell>
          <cell r="F307" t="str">
            <v>台</v>
          </cell>
          <cell r="G307" t="str">
            <v>199909</v>
          </cell>
          <cell r="H307" t="str">
            <v>199909</v>
          </cell>
          <cell r="I307">
            <v>6200</v>
          </cell>
          <cell r="J307">
            <v>4649.99</v>
          </cell>
          <cell r="K307">
            <v>6200</v>
          </cell>
          <cell r="L307">
            <v>4649.99</v>
          </cell>
          <cell r="M307">
            <v>4800</v>
          </cell>
          <cell r="N307">
            <v>40</v>
          </cell>
          <cell r="O307">
            <v>1920</v>
          </cell>
          <cell r="P307">
            <v>-58.709588622771221</v>
          </cell>
          <cell r="Q307" t="str">
            <v>人劳处</v>
          </cell>
        </row>
        <row r="308">
          <cell r="B308" t="str">
            <v>001-0010174</v>
          </cell>
          <cell r="C308" t="str">
            <v>计算机</v>
          </cell>
          <cell r="D308" t="str">
            <v>HPVE8</v>
          </cell>
          <cell r="E308" t="str">
            <v/>
          </cell>
          <cell r="F308" t="str">
            <v>台</v>
          </cell>
          <cell r="G308" t="str">
            <v>199909</v>
          </cell>
          <cell r="H308" t="str">
            <v>199909</v>
          </cell>
          <cell r="I308">
            <v>12700</v>
          </cell>
          <cell r="J308">
            <v>9525.01</v>
          </cell>
          <cell r="K308">
            <v>12700</v>
          </cell>
          <cell r="L308">
            <v>9525.01</v>
          </cell>
          <cell r="M308">
            <v>8000</v>
          </cell>
          <cell r="N308">
            <v>50</v>
          </cell>
          <cell r="O308">
            <v>4000</v>
          </cell>
          <cell r="P308">
            <v>-58.005293432762805</v>
          </cell>
          <cell r="Q308" t="str">
            <v>人劳处</v>
          </cell>
        </row>
        <row r="309">
          <cell r="B309" t="str">
            <v>001-0011502</v>
          </cell>
          <cell r="C309" t="str">
            <v>计算机</v>
          </cell>
          <cell r="D309" t="str">
            <v>HP8188A</v>
          </cell>
          <cell r="E309" t="str">
            <v/>
          </cell>
          <cell r="F309" t="str">
            <v>台</v>
          </cell>
          <cell r="G309" t="str">
            <v>200009</v>
          </cell>
          <cell r="H309" t="str">
            <v>200009</v>
          </cell>
          <cell r="I309">
            <v>9050</v>
          </cell>
          <cell r="J309">
            <v>7692.49</v>
          </cell>
          <cell r="K309">
            <v>9050</v>
          </cell>
          <cell r="L309">
            <v>7692.49</v>
          </cell>
          <cell r="M309">
            <v>8000</v>
          </cell>
          <cell r="N309">
            <v>70</v>
          </cell>
          <cell r="O309">
            <v>5600</v>
          </cell>
          <cell r="P309">
            <v>-27.201725319109936</v>
          </cell>
          <cell r="Q309" t="str">
            <v>人劳处</v>
          </cell>
        </row>
        <row r="310">
          <cell r="B310" t="str">
            <v>001-0011503</v>
          </cell>
          <cell r="C310" t="str">
            <v>计算机</v>
          </cell>
          <cell r="D310" t="str">
            <v>HP8188A</v>
          </cell>
          <cell r="E310" t="str">
            <v/>
          </cell>
          <cell r="F310" t="str">
            <v>台</v>
          </cell>
          <cell r="G310" t="str">
            <v>200009</v>
          </cell>
          <cell r="H310" t="str">
            <v>200009</v>
          </cell>
          <cell r="I310">
            <v>9050</v>
          </cell>
          <cell r="J310">
            <v>7692.49</v>
          </cell>
          <cell r="K310">
            <v>9050</v>
          </cell>
          <cell r="L310">
            <v>7692.49</v>
          </cell>
          <cell r="M310">
            <v>8000</v>
          </cell>
          <cell r="N310">
            <v>70</v>
          </cell>
          <cell r="O310">
            <v>5600</v>
          </cell>
          <cell r="P310">
            <v>-27.201725319109936</v>
          </cell>
          <cell r="Q310" t="str">
            <v>人劳处</v>
          </cell>
        </row>
        <row r="311">
          <cell r="B311" t="str">
            <v>001-0011527</v>
          </cell>
          <cell r="C311" t="str">
            <v>激光打印机</v>
          </cell>
          <cell r="D311" t="str">
            <v>联想</v>
          </cell>
          <cell r="E311" t="str">
            <v/>
          </cell>
          <cell r="F311" t="str">
            <v>台</v>
          </cell>
          <cell r="G311" t="str">
            <v>200009</v>
          </cell>
          <cell r="H311" t="str">
            <v>200009</v>
          </cell>
          <cell r="I311">
            <v>8650</v>
          </cell>
          <cell r="J311">
            <v>7028.14</v>
          </cell>
          <cell r="K311">
            <v>8650</v>
          </cell>
          <cell r="L311">
            <v>7028.14</v>
          </cell>
          <cell r="M311">
            <v>6500</v>
          </cell>
          <cell r="N311">
            <v>70</v>
          </cell>
          <cell r="O311">
            <v>4550</v>
          </cell>
          <cell r="P311">
            <v>-35.260253779805183</v>
          </cell>
          <cell r="Q311" t="str">
            <v>人劳处</v>
          </cell>
        </row>
        <row r="312">
          <cell r="B312" t="str">
            <v>001-0011766</v>
          </cell>
          <cell r="C312" t="str">
            <v>计算机</v>
          </cell>
          <cell r="D312" t="str">
            <v>HPVL2229A</v>
          </cell>
          <cell r="E312" t="str">
            <v/>
          </cell>
          <cell r="F312" t="str">
            <v>台</v>
          </cell>
          <cell r="G312" t="str">
            <v>200012</v>
          </cell>
          <cell r="H312" t="str">
            <v>200012</v>
          </cell>
          <cell r="I312">
            <v>9500</v>
          </cell>
          <cell r="J312">
            <v>8312.49</v>
          </cell>
          <cell r="K312">
            <v>9500</v>
          </cell>
          <cell r="L312">
            <v>8312.49</v>
          </cell>
          <cell r="M312">
            <v>8500</v>
          </cell>
          <cell r="N312">
            <v>75</v>
          </cell>
          <cell r="O312">
            <v>6375</v>
          </cell>
          <cell r="P312">
            <v>-23.308178415853732</v>
          </cell>
          <cell r="Q312" t="str">
            <v>人劳处</v>
          </cell>
        </row>
        <row r="313">
          <cell r="B313" t="str">
            <v>001-0011767</v>
          </cell>
          <cell r="C313" t="str">
            <v>计算机</v>
          </cell>
          <cell r="D313" t="str">
            <v>HPVL2229A</v>
          </cell>
          <cell r="E313" t="str">
            <v/>
          </cell>
          <cell r="F313" t="str">
            <v>台</v>
          </cell>
          <cell r="G313" t="str">
            <v>200012</v>
          </cell>
          <cell r="H313" t="str">
            <v>200012</v>
          </cell>
          <cell r="I313">
            <v>9500</v>
          </cell>
          <cell r="J313">
            <v>8312.49</v>
          </cell>
          <cell r="K313">
            <v>9500</v>
          </cell>
          <cell r="L313">
            <v>8312.49</v>
          </cell>
          <cell r="M313">
            <v>8500</v>
          </cell>
          <cell r="N313">
            <v>75</v>
          </cell>
          <cell r="O313">
            <v>6375</v>
          </cell>
          <cell r="P313">
            <v>-23.308178415853732</v>
          </cell>
          <cell r="Q313" t="str">
            <v>人劳处</v>
          </cell>
        </row>
        <row r="314">
          <cell r="B314" t="str">
            <v>001-0012046</v>
          </cell>
          <cell r="C314" t="str">
            <v>人劳信息管理系统（包括网络附件</v>
          </cell>
          <cell r="D314" t="str">
            <v/>
          </cell>
          <cell r="E314" t="str">
            <v/>
          </cell>
          <cell r="F314" t="str">
            <v>套</v>
          </cell>
          <cell r="G314" t="str">
            <v>200012</v>
          </cell>
          <cell r="H314" t="str">
            <v>200012</v>
          </cell>
          <cell r="I314">
            <v>165900</v>
          </cell>
          <cell r="J314">
            <v>145162.5</v>
          </cell>
          <cell r="K314">
            <v>165900</v>
          </cell>
          <cell r="L314">
            <v>145162.5</v>
          </cell>
          <cell r="M314">
            <v>150000</v>
          </cell>
          <cell r="N314">
            <v>90</v>
          </cell>
          <cell r="O314">
            <v>135000</v>
          </cell>
          <cell r="P314">
            <v>-7.0007749935417207</v>
          </cell>
          <cell r="Q314" t="str">
            <v>人劳处</v>
          </cell>
        </row>
        <row r="315">
          <cell r="B315" t="str">
            <v>001-0018605</v>
          </cell>
          <cell r="C315" t="str">
            <v>打印机</v>
          </cell>
          <cell r="D315" t="str">
            <v>HP6L</v>
          </cell>
          <cell r="E315" t="str">
            <v/>
          </cell>
          <cell r="F315" t="str">
            <v>台</v>
          </cell>
          <cell r="G315" t="str">
            <v>200109</v>
          </cell>
          <cell r="H315" t="str">
            <v>200109</v>
          </cell>
          <cell r="I315">
            <v>3090</v>
          </cell>
          <cell r="J315">
            <v>2929.06</v>
          </cell>
          <cell r="K315">
            <v>3090</v>
          </cell>
          <cell r="L315">
            <v>2929.06</v>
          </cell>
          <cell r="M315">
            <v>2800</v>
          </cell>
          <cell r="N315">
            <v>95</v>
          </cell>
          <cell r="O315">
            <v>2660</v>
          </cell>
          <cell r="P315">
            <v>-9.1858821601469387</v>
          </cell>
          <cell r="Q315" t="str">
            <v>人劳处</v>
          </cell>
        </row>
        <row r="316">
          <cell r="B316" t="str">
            <v>001-0018626</v>
          </cell>
          <cell r="C316" t="str">
            <v>打印机</v>
          </cell>
          <cell r="D316" t="str">
            <v>Epson-1610 Hp5000</v>
          </cell>
          <cell r="E316" t="str">
            <v/>
          </cell>
          <cell r="F316" t="str">
            <v>台</v>
          </cell>
          <cell r="G316" t="str">
            <v>200109</v>
          </cell>
          <cell r="H316" t="str">
            <v>200109</v>
          </cell>
          <cell r="I316">
            <v>12400</v>
          </cell>
          <cell r="J316">
            <v>11754.16</v>
          </cell>
          <cell r="K316">
            <v>12400</v>
          </cell>
          <cell r="L316">
            <v>11754.16</v>
          </cell>
          <cell r="M316">
            <v>12500</v>
          </cell>
          <cell r="N316">
            <v>95</v>
          </cell>
          <cell r="O316">
            <v>11875</v>
          </cell>
          <cell r="P316">
            <v>1.0280615543773453</v>
          </cell>
          <cell r="Q316" t="str">
            <v>人劳处</v>
          </cell>
        </row>
        <row r="317">
          <cell r="B317" t="str">
            <v>001-0019249</v>
          </cell>
          <cell r="C317" t="str">
            <v>计算机</v>
          </cell>
          <cell r="D317" t="str">
            <v>DELL</v>
          </cell>
          <cell r="E317" t="str">
            <v/>
          </cell>
          <cell r="F317" t="str">
            <v>台</v>
          </cell>
          <cell r="G317" t="str">
            <v>200111</v>
          </cell>
          <cell r="H317" t="str">
            <v>200111</v>
          </cell>
          <cell r="I317">
            <v>11337</v>
          </cell>
          <cell r="J317">
            <v>11053.56</v>
          </cell>
          <cell r="K317">
            <v>11337</v>
          </cell>
          <cell r="L317">
            <v>11053.56</v>
          </cell>
          <cell r="M317">
            <v>11000</v>
          </cell>
          <cell r="N317">
            <v>95</v>
          </cell>
          <cell r="O317">
            <v>10450</v>
          </cell>
          <cell r="P317">
            <v>-5.4603222853089823</v>
          </cell>
          <cell r="Q317" t="str">
            <v>人劳处</v>
          </cell>
        </row>
        <row r="318">
          <cell r="B318" t="str">
            <v>001-0019328</v>
          </cell>
          <cell r="C318" t="str">
            <v>投影仪</v>
          </cell>
          <cell r="D318" t="str">
            <v>CP-X960</v>
          </cell>
          <cell r="E318" t="str">
            <v/>
          </cell>
          <cell r="F318" t="str">
            <v>台</v>
          </cell>
          <cell r="G318" t="str">
            <v>200111</v>
          </cell>
          <cell r="H318" t="str">
            <v>200111</v>
          </cell>
          <cell r="I318">
            <v>36000</v>
          </cell>
          <cell r="J318">
            <v>35250.300000000003</v>
          </cell>
          <cell r="K318">
            <v>36000</v>
          </cell>
          <cell r="L318">
            <v>35250.300000000003</v>
          </cell>
          <cell r="M318">
            <v>35000</v>
          </cell>
          <cell r="N318">
            <v>95</v>
          </cell>
          <cell r="O318">
            <v>33250</v>
          </cell>
          <cell r="P318">
            <v>-5.6745616349364481</v>
          </cell>
          <cell r="Q318" t="str">
            <v>人劳处</v>
          </cell>
        </row>
        <row r="319">
          <cell r="B319" t="str">
            <v>001-0020345</v>
          </cell>
          <cell r="C319" t="str">
            <v>密集书架</v>
          </cell>
          <cell r="D319" t="str">
            <v>560*27000*2200</v>
          </cell>
          <cell r="E319" t="str">
            <v/>
          </cell>
          <cell r="F319" t="str">
            <v>组</v>
          </cell>
          <cell r="G319" t="str">
            <v>200112</v>
          </cell>
          <cell r="H319" t="str">
            <v>200112</v>
          </cell>
          <cell r="I319">
            <v>3763</v>
          </cell>
          <cell r="J319">
            <v>3763</v>
          </cell>
          <cell r="K319">
            <v>3763</v>
          </cell>
          <cell r="L319">
            <v>3763</v>
          </cell>
          <cell r="M319">
            <v>3700</v>
          </cell>
          <cell r="N319">
            <v>95</v>
          </cell>
          <cell r="O319">
            <v>3515</v>
          </cell>
          <cell r="P319">
            <v>-6.5904863141110814</v>
          </cell>
          <cell r="Q319" t="str">
            <v>人劳处</v>
          </cell>
        </row>
        <row r="320">
          <cell r="B320" t="str">
            <v>001-0020346</v>
          </cell>
          <cell r="C320" t="str">
            <v>密集书架</v>
          </cell>
          <cell r="D320" t="str">
            <v>560*27000*2200</v>
          </cell>
          <cell r="E320" t="str">
            <v/>
          </cell>
          <cell r="F320" t="str">
            <v>组</v>
          </cell>
          <cell r="G320" t="str">
            <v>200112</v>
          </cell>
          <cell r="H320" t="str">
            <v>200112</v>
          </cell>
          <cell r="I320">
            <v>3763</v>
          </cell>
          <cell r="J320">
            <v>3763</v>
          </cell>
          <cell r="K320">
            <v>3763</v>
          </cell>
          <cell r="L320">
            <v>3763</v>
          </cell>
          <cell r="M320">
            <v>3700</v>
          </cell>
          <cell r="N320">
            <v>95</v>
          </cell>
          <cell r="O320">
            <v>3515</v>
          </cell>
          <cell r="P320">
            <v>-6.5904863141110814</v>
          </cell>
          <cell r="Q320" t="str">
            <v>人劳处</v>
          </cell>
        </row>
        <row r="321">
          <cell r="B321" t="str">
            <v>001-0020347</v>
          </cell>
          <cell r="C321" t="str">
            <v>密集书架</v>
          </cell>
          <cell r="D321" t="str">
            <v>560*27000*2200</v>
          </cell>
          <cell r="E321" t="str">
            <v/>
          </cell>
          <cell r="F321" t="str">
            <v>组</v>
          </cell>
          <cell r="G321" t="str">
            <v>200112</v>
          </cell>
          <cell r="H321" t="str">
            <v>200112</v>
          </cell>
          <cell r="I321">
            <v>3763</v>
          </cell>
          <cell r="J321">
            <v>3763</v>
          </cell>
          <cell r="K321">
            <v>3763</v>
          </cell>
          <cell r="L321">
            <v>3763</v>
          </cell>
          <cell r="M321">
            <v>3700</v>
          </cell>
          <cell r="N321">
            <v>95</v>
          </cell>
          <cell r="O321">
            <v>3515</v>
          </cell>
          <cell r="P321">
            <v>-6.5904863141110814</v>
          </cell>
          <cell r="Q321" t="str">
            <v>人劳处</v>
          </cell>
        </row>
        <row r="322">
          <cell r="B322" t="str">
            <v>001-0020348</v>
          </cell>
          <cell r="C322" t="str">
            <v>密集书架</v>
          </cell>
          <cell r="D322" t="str">
            <v>560*27000*2200</v>
          </cell>
          <cell r="E322" t="str">
            <v/>
          </cell>
          <cell r="F322" t="str">
            <v>组</v>
          </cell>
          <cell r="G322" t="str">
            <v>200112</v>
          </cell>
          <cell r="H322" t="str">
            <v>200112</v>
          </cell>
          <cell r="I322">
            <v>3763</v>
          </cell>
          <cell r="J322">
            <v>3763</v>
          </cell>
          <cell r="K322">
            <v>3763</v>
          </cell>
          <cell r="L322">
            <v>3763</v>
          </cell>
          <cell r="M322">
            <v>3700</v>
          </cell>
          <cell r="N322">
            <v>95</v>
          </cell>
          <cell r="O322">
            <v>3515</v>
          </cell>
          <cell r="P322">
            <v>-6.5904863141110814</v>
          </cell>
          <cell r="Q322" t="str">
            <v>人劳处</v>
          </cell>
        </row>
        <row r="323">
          <cell r="B323" t="str">
            <v>001-0020349</v>
          </cell>
          <cell r="C323" t="str">
            <v>密集书架</v>
          </cell>
          <cell r="D323" t="str">
            <v>560*27000*2200</v>
          </cell>
          <cell r="E323" t="str">
            <v/>
          </cell>
          <cell r="F323" t="str">
            <v>组</v>
          </cell>
          <cell r="G323" t="str">
            <v>200112</v>
          </cell>
          <cell r="H323" t="str">
            <v>200112</v>
          </cell>
          <cell r="I323">
            <v>3763</v>
          </cell>
          <cell r="J323">
            <v>3763</v>
          </cell>
          <cell r="K323">
            <v>3763</v>
          </cell>
          <cell r="L323">
            <v>3763</v>
          </cell>
          <cell r="M323">
            <v>3700</v>
          </cell>
          <cell r="N323">
            <v>95</v>
          </cell>
          <cell r="O323">
            <v>3515</v>
          </cell>
          <cell r="P323">
            <v>-6.5904863141110814</v>
          </cell>
          <cell r="Q323" t="str">
            <v>人劳处</v>
          </cell>
        </row>
        <row r="324">
          <cell r="B324" t="str">
            <v>001-0020350</v>
          </cell>
          <cell r="C324" t="str">
            <v>密集书架</v>
          </cell>
          <cell r="D324" t="str">
            <v>560*27000*2200</v>
          </cell>
          <cell r="E324" t="str">
            <v/>
          </cell>
          <cell r="F324" t="str">
            <v>组</v>
          </cell>
          <cell r="G324" t="str">
            <v>200112</v>
          </cell>
          <cell r="H324" t="str">
            <v>200112</v>
          </cell>
          <cell r="I324">
            <v>3763</v>
          </cell>
          <cell r="J324">
            <v>3763</v>
          </cell>
          <cell r="K324">
            <v>3763</v>
          </cell>
          <cell r="L324">
            <v>3763</v>
          </cell>
          <cell r="M324">
            <v>3700</v>
          </cell>
          <cell r="N324">
            <v>95</v>
          </cell>
          <cell r="O324">
            <v>3515</v>
          </cell>
          <cell r="P324">
            <v>-6.5904863141110814</v>
          </cell>
          <cell r="Q324" t="str">
            <v>人劳处</v>
          </cell>
        </row>
        <row r="325">
          <cell r="B325" t="str">
            <v>001-0020351</v>
          </cell>
          <cell r="C325" t="str">
            <v>三人沙发</v>
          </cell>
          <cell r="D325" t="str">
            <v>真皮黑色</v>
          </cell>
          <cell r="E325" t="str">
            <v/>
          </cell>
          <cell r="F325" t="str">
            <v>个</v>
          </cell>
          <cell r="G325" t="str">
            <v>200112</v>
          </cell>
          <cell r="H325" t="str">
            <v>200112</v>
          </cell>
          <cell r="I325">
            <v>3268</v>
          </cell>
          <cell r="J325">
            <v>3268</v>
          </cell>
          <cell r="K325">
            <v>3268</v>
          </cell>
          <cell r="L325">
            <v>3268</v>
          </cell>
          <cell r="M325">
            <v>3200</v>
          </cell>
          <cell r="N325">
            <v>95</v>
          </cell>
          <cell r="O325">
            <v>3040</v>
          </cell>
          <cell r="P325">
            <v>-6.9767441860465116</v>
          </cell>
          <cell r="Q325" t="str">
            <v>人劳处</v>
          </cell>
        </row>
        <row r="326">
          <cell r="B326" t="str">
            <v>001-0020352</v>
          </cell>
          <cell r="C326" t="str">
            <v>三人沙发</v>
          </cell>
          <cell r="D326" t="str">
            <v>真皮黑色</v>
          </cell>
          <cell r="E326" t="str">
            <v/>
          </cell>
          <cell r="F326" t="str">
            <v>个</v>
          </cell>
          <cell r="G326" t="str">
            <v>200112</v>
          </cell>
          <cell r="H326" t="str">
            <v>200112</v>
          </cell>
          <cell r="I326">
            <v>3268</v>
          </cell>
          <cell r="J326">
            <v>3268</v>
          </cell>
          <cell r="K326">
            <v>3268</v>
          </cell>
          <cell r="L326">
            <v>3268</v>
          </cell>
          <cell r="M326">
            <v>3200</v>
          </cell>
          <cell r="N326">
            <v>95</v>
          </cell>
          <cell r="O326">
            <v>3040</v>
          </cell>
          <cell r="P326">
            <v>-6.9767441860465116</v>
          </cell>
          <cell r="Q326" t="str">
            <v>人劳处</v>
          </cell>
        </row>
        <row r="327">
          <cell r="B327" t="str">
            <v>001-0020353</v>
          </cell>
          <cell r="C327" t="str">
            <v>三人沙发</v>
          </cell>
          <cell r="D327" t="str">
            <v>真皮黑色</v>
          </cell>
          <cell r="E327" t="str">
            <v/>
          </cell>
          <cell r="F327" t="str">
            <v>个</v>
          </cell>
          <cell r="G327" t="str">
            <v>200112</v>
          </cell>
          <cell r="H327" t="str">
            <v>200112</v>
          </cell>
          <cell r="I327">
            <v>3268</v>
          </cell>
          <cell r="J327">
            <v>3268</v>
          </cell>
          <cell r="K327">
            <v>3268</v>
          </cell>
          <cell r="L327">
            <v>3268</v>
          </cell>
          <cell r="M327">
            <v>3200</v>
          </cell>
          <cell r="N327">
            <v>95</v>
          </cell>
          <cell r="O327">
            <v>3040</v>
          </cell>
          <cell r="P327">
            <v>-6.9767441860465116</v>
          </cell>
          <cell r="Q327" t="str">
            <v>人劳处</v>
          </cell>
        </row>
        <row r="328">
          <cell r="B328" t="str">
            <v>001-0020354</v>
          </cell>
          <cell r="C328" t="str">
            <v>三人沙发</v>
          </cell>
          <cell r="D328" t="str">
            <v>真皮黑色</v>
          </cell>
          <cell r="E328" t="str">
            <v/>
          </cell>
          <cell r="F328" t="str">
            <v>个</v>
          </cell>
          <cell r="G328" t="str">
            <v>200112</v>
          </cell>
          <cell r="H328" t="str">
            <v>200112</v>
          </cell>
          <cell r="I328">
            <v>3268</v>
          </cell>
          <cell r="J328">
            <v>3268</v>
          </cell>
          <cell r="K328">
            <v>3268</v>
          </cell>
          <cell r="L328">
            <v>3268</v>
          </cell>
          <cell r="M328">
            <v>3200</v>
          </cell>
          <cell r="N328">
            <v>95</v>
          </cell>
          <cell r="O328">
            <v>3040</v>
          </cell>
          <cell r="P328">
            <v>-6.9767441860465116</v>
          </cell>
          <cell r="Q328" t="str">
            <v>人劳处</v>
          </cell>
        </row>
        <row r="329">
          <cell r="B329" t="str">
            <v>001-0020792</v>
          </cell>
          <cell r="C329" t="str">
            <v>压缩器</v>
          </cell>
          <cell r="D329" t="str">
            <v/>
          </cell>
          <cell r="E329" t="str">
            <v/>
          </cell>
          <cell r="F329" t="str">
            <v>台</v>
          </cell>
          <cell r="G329" t="str">
            <v>200110</v>
          </cell>
          <cell r="H329" t="str">
            <v>200110</v>
          </cell>
          <cell r="I329">
            <v>2300</v>
          </cell>
          <cell r="J329">
            <v>2300</v>
          </cell>
          <cell r="K329">
            <v>2300</v>
          </cell>
          <cell r="L329">
            <v>2300</v>
          </cell>
          <cell r="M329">
            <v>2300</v>
          </cell>
          <cell r="N329">
            <v>95</v>
          </cell>
          <cell r="O329">
            <v>2185</v>
          </cell>
          <cell r="P329">
            <v>-5</v>
          </cell>
          <cell r="Q329" t="str">
            <v>人劳处</v>
          </cell>
        </row>
        <row r="330">
          <cell r="B330" t="str">
            <v>001-0020796</v>
          </cell>
          <cell r="C330" t="str">
            <v>音箱</v>
          </cell>
          <cell r="D330" t="str">
            <v/>
          </cell>
          <cell r="E330" t="str">
            <v/>
          </cell>
          <cell r="F330" t="str">
            <v>对</v>
          </cell>
          <cell r="G330" t="str">
            <v>200110</v>
          </cell>
          <cell r="H330" t="str">
            <v>200110</v>
          </cell>
          <cell r="I330">
            <v>8700</v>
          </cell>
          <cell r="J330">
            <v>8700</v>
          </cell>
          <cell r="K330">
            <v>8700</v>
          </cell>
          <cell r="L330">
            <v>8700</v>
          </cell>
          <cell r="M330">
            <v>8700</v>
          </cell>
          <cell r="N330">
            <v>95</v>
          </cell>
          <cell r="O330">
            <v>8265</v>
          </cell>
          <cell r="P330">
            <v>-5</v>
          </cell>
          <cell r="Q330" t="str">
            <v>人劳处</v>
          </cell>
        </row>
        <row r="331">
          <cell r="B331" t="str">
            <v>001-0020797</v>
          </cell>
          <cell r="C331" t="str">
            <v>效果器</v>
          </cell>
          <cell r="D331" t="str">
            <v/>
          </cell>
          <cell r="E331" t="str">
            <v/>
          </cell>
          <cell r="F331" t="str">
            <v>台</v>
          </cell>
          <cell r="G331" t="str">
            <v>200110</v>
          </cell>
          <cell r="H331" t="str">
            <v>200110</v>
          </cell>
          <cell r="I331">
            <v>2350</v>
          </cell>
          <cell r="J331">
            <v>2350</v>
          </cell>
          <cell r="K331">
            <v>2350</v>
          </cell>
          <cell r="L331">
            <v>2350</v>
          </cell>
          <cell r="M331">
            <v>2300</v>
          </cell>
          <cell r="N331">
            <v>95</v>
          </cell>
          <cell r="O331">
            <v>2185</v>
          </cell>
          <cell r="P331">
            <v>-7.0212765957446814</v>
          </cell>
          <cell r="Q331" t="str">
            <v>人劳处</v>
          </cell>
        </row>
        <row r="332">
          <cell r="B332" t="str">
            <v>001-0020798</v>
          </cell>
          <cell r="C332" t="str">
            <v>反馈抑制器</v>
          </cell>
          <cell r="D332" t="str">
            <v/>
          </cell>
          <cell r="E332" t="str">
            <v/>
          </cell>
          <cell r="F332" t="str">
            <v>台</v>
          </cell>
          <cell r="G332" t="str">
            <v>200110</v>
          </cell>
          <cell r="H332" t="str">
            <v>200110</v>
          </cell>
          <cell r="I332">
            <v>2900</v>
          </cell>
          <cell r="J332">
            <v>2900</v>
          </cell>
          <cell r="K332">
            <v>2900</v>
          </cell>
          <cell r="L332">
            <v>2900</v>
          </cell>
          <cell r="M332">
            <v>2800</v>
          </cell>
          <cell r="N332">
            <v>95</v>
          </cell>
          <cell r="O332">
            <v>2660</v>
          </cell>
          <cell r="P332">
            <v>-8.2758620689655178</v>
          </cell>
          <cell r="Q332" t="str">
            <v>人劳处</v>
          </cell>
        </row>
        <row r="333">
          <cell r="B333" t="str">
            <v>001-0020799</v>
          </cell>
          <cell r="C333" t="str">
            <v>功率放大器</v>
          </cell>
          <cell r="D333" t="str">
            <v/>
          </cell>
          <cell r="E333" t="str">
            <v/>
          </cell>
          <cell r="F333" t="str">
            <v>台</v>
          </cell>
          <cell r="G333" t="str">
            <v>200110</v>
          </cell>
          <cell r="H333" t="str">
            <v>200110</v>
          </cell>
          <cell r="I333">
            <v>2900</v>
          </cell>
          <cell r="J333">
            <v>2900</v>
          </cell>
          <cell r="K333">
            <v>2900</v>
          </cell>
          <cell r="L333">
            <v>2900</v>
          </cell>
          <cell r="M333">
            <v>2800</v>
          </cell>
          <cell r="N333">
            <v>95</v>
          </cell>
          <cell r="O333">
            <v>2660</v>
          </cell>
          <cell r="P333">
            <v>-8.2758620689655178</v>
          </cell>
          <cell r="Q333" t="str">
            <v>人劳处</v>
          </cell>
        </row>
        <row r="334">
          <cell r="B334" t="str">
            <v>001-0020800</v>
          </cell>
          <cell r="C334" t="str">
            <v>调音台</v>
          </cell>
          <cell r="D334" t="str">
            <v/>
          </cell>
          <cell r="E334" t="str">
            <v/>
          </cell>
          <cell r="F334" t="str">
            <v>台</v>
          </cell>
          <cell r="G334" t="str">
            <v>200110</v>
          </cell>
          <cell r="H334" t="str">
            <v>200110</v>
          </cell>
          <cell r="I334">
            <v>5700</v>
          </cell>
          <cell r="J334">
            <v>5700</v>
          </cell>
          <cell r="K334">
            <v>5700</v>
          </cell>
          <cell r="L334">
            <v>5700</v>
          </cell>
          <cell r="M334">
            <v>5700</v>
          </cell>
          <cell r="N334">
            <v>95</v>
          </cell>
          <cell r="O334">
            <v>5415</v>
          </cell>
          <cell r="P334">
            <v>-5</v>
          </cell>
          <cell r="Q334" t="str">
            <v>人劳处</v>
          </cell>
        </row>
        <row r="335">
          <cell r="B335" t="str">
            <v>001-0020801</v>
          </cell>
          <cell r="C335" t="str">
            <v>功率放大器</v>
          </cell>
          <cell r="D335" t="str">
            <v/>
          </cell>
          <cell r="E335" t="str">
            <v/>
          </cell>
          <cell r="F335" t="str">
            <v>台</v>
          </cell>
          <cell r="G335" t="str">
            <v>200110</v>
          </cell>
          <cell r="H335" t="str">
            <v>200110</v>
          </cell>
          <cell r="I335">
            <v>3600</v>
          </cell>
          <cell r="J335">
            <v>3600</v>
          </cell>
          <cell r="K335">
            <v>3600</v>
          </cell>
          <cell r="L335">
            <v>3600</v>
          </cell>
          <cell r="M335">
            <v>3500</v>
          </cell>
          <cell r="N335">
            <v>95</v>
          </cell>
          <cell r="O335">
            <v>3325</v>
          </cell>
          <cell r="P335">
            <v>-7.6388888888888893</v>
          </cell>
          <cell r="Q335" t="str">
            <v>人劳处</v>
          </cell>
        </row>
        <row r="336">
          <cell r="B336" t="str">
            <v>001-0020802</v>
          </cell>
          <cell r="C336" t="str">
            <v>卡座</v>
          </cell>
          <cell r="D336" t="str">
            <v/>
          </cell>
          <cell r="E336" t="str">
            <v/>
          </cell>
          <cell r="F336" t="str">
            <v>台</v>
          </cell>
          <cell r="G336" t="str">
            <v>200110</v>
          </cell>
          <cell r="H336" t="str">
            <v>200110</v>
          </cell>
          <cell r="I336">
            <v>2163</v>
          </cell>
          <cell r="J336">
            <v>2163</v>
          </cell>
          <cell r="K336">
            <v>2163</v>
          </cell>
          <cell r="L336">
            <v>2163</v>
          </cell>
          <cell r="M336">
            <v>2100</v>
          </cell>
          <cell r="N336">
            <v>95</v>
          </cell>
          <cell r="O336">
            <v>1995</v>
          </cell>
          <cell r="P336">
            <v>-7.7669902912621351</v>
          </cell>
          <cell r="Q336" t="str">
            <v>人劳处</v>
          </cell>
        </row>
        <row r="337">
          <cell r="B337" t="str">
            <v>001-0020803</v>
          </cell>
          <cell r="C337" t="str">
            <v>会议话筒主机</v>
          </cell>
          <cell r="D337" t="str">
            <v/>
          </cell>
          <cell r="E337" t="str">
            <v/>
          </cell>
          <cell r="F337" t="str">
            <v>台</v>
          </cell>
          <cell r="G337" t="str">
            <v>200110</v>
          </cell>
          <cell r="H337" t="str">
            <v>200110</v>
          </cell>
          <cell r="I337">
            <v>5760</v>
          </cell>
          <cell r="J337">
            <v>5760</v>
          </cell>
          <cell r="K337">
            <v>5760</v>
          </cell>
          <cell r="L337">
            <v>5760</v>
          </cell>
          <cell r="M337">
            <v>5700</v>
          </cell>
          <cell r="N337">
            <v>95</v>
          </cell>
          <cell r="O337">
            <v>5415</v>
          </cell>
          <cell r="P337">
            <v>-5.9895833333333339</v>
          </cell>
          <cell r="Q337" t="str">
            <v>人劳处</v>
          </cell>
        </row>
        <row r="338">
          <cell r="B338" t="str">
            <v>001-0020804</v>
          </cell>
          <cell r="C338" t="str">
            <v>会议话筒</v>
          </cell>
          <cell r="D338" t="str">
            <v/>
          </cell>
          <cell r="E338" t="str">
            <v/>
          </cell>
          <cell r="F338" t="str">
            <v>个</v>
          </cell>
          <cell r="G338" t="str">
            <v>200110</v>
          </cell>
          <cell r="H338" t="str">
            <v>200110</v>
          </cell>
          <cell r="I338">
            <v>3100</v>
          </cell>
          <cell r="J338">
            <v>3100</v>
          </cell>
          <cell r="K338">
            <v>3100</v>
          </cell>
          <cell r="L338">
            <v>3100</v>
          </cell>
          <cell r="M338">
            <v>3100</v>
          </cell>
          <cell r="N338">
            <v>95</v>
          </cell>
          <cell r="O338">
            <v>2945</v>
          </cell>
          <cell r="P338">
            <v>-5</v>
          </cell>
          <cell r="Q338" t="str">
            <v>人劳处</v>
          </cell>
        </row>
        <row r="339">
          <cell r="B339" t="str">
            <v>001-0020805</v>
          </cell>
          <cell r="C339" t="str">
            <v>会议话筒</v>
          </cell>
          <cell r="D339" t="str">
            <v/>
          </cell>
          <cell r="E339" t="str">
            <v/>
          </cell>
          <cell r="F339" t="str">
            <v>个</v>
          </cell>
          <cell r="G339" t="str">
            <v>200110</v>
          </cell>
          <cell r="H339" t="str">
            <v>200110</v>
          </cell>
          <cell r="I339">
            <v>2500</v>
          </cell>
          <cell r="J339">
            <v>2500</v>
          </cell>
          <cell r="K339">
            <v>2500</v>
          </cell>
          <cell r="L339">
            <v>2500</v>
          </cell>
          <cell r="M339">
            <v>2500</v>
          </cell>
          <cell r="N339">
            <v>95</v>
          </cell>
          <cell r="O339">
            <v>2375</v>
          </cell>
          <cell r="P339">
            <v>-5</v>
          </cell>
          <cell r="Q339" t="str">
            <v>人劳处</v>
          </cell>
        </row>
        <row r="340">
          <cell r="B340" t="str">
            <v>001-0020806</v>
          </cell>
          <cell r="C340" t="str">
            <v>会议话筒</v>
          </cell>
          <cell r="D340" t="str">
            <v/>
          </cell>
          <cell r="E340" t="str">
            <v/>
          </cell>
          <cell r="F340" t="str">
            <v>个</v>
          </cell>
          <cell r="G340" t="str">
            <v>200110</v>
          </cell>
          <cell r="H340" t="str">
            <v>200110</v>
          </cell>
          <cell r="I340">
            <v>2500</v>
          </cell>
          <cell r="J340">
            <v>2500</v>
          </cell>
          <cell r="K340">
            <v>2500</v>
          </cell>
          <cell r="L340">
            <v>2500</v>
          </cell>
          <cell r="M340">
            <v>2500</v>
          </cell>
          <cell r="N340">
            <v>95</v>
          </cell>
          <cell r="O340">
            <v>2375</v>
          </cell>
          <cell r="P340">
            <v>-5</v>
          </cell>
          <cell r="Q340" t="str">
            <v>人劳处</v>
          </cell>
        </row>
        <row r="341">
          <cell r="B341" t="str">
            <v>001-0020807</v>
          </cell>
          <cell r="C341" t="str">
            <v>会议话筒</v>
          </cell>
          <cell r="D341" t="str">
            <v/>
          </cell>
          <cell r="E341" t="str">
            <v/>
          </cell>
          <cell r="F341" t="str">
            <v>个</v>
          </cell>
          <cell r="G341" t="str">
            <v>200110</v>
          </cell>
          <cell r="H341" t="str">
            <v>200110</v>
          </cell>
          <cell r="I341">
            <v>2500</v>
          </cell>
          <cell r="J341">
            <v>2500</v>
          </cell>
          <cell r="K341">
            <v>2500</v>
          </cell>
          <cell r="L341">
            <v>2500</v>
          </cell>
          <cell r="M341">
            <v>2500</v>
          </cell>
          <cell r="N341">
            <v>95</v>
          </cell>
          <cell r="O341">
            <v>2375</v>
          </cell>
          <cell r="P341">
            <v>-5</v>
          </cell>
          <cell r="Q341" t="str">
            <v>人劳处</v>
          </cell>
        </row>
        <row r="342">
          <cell r="B342" t="str">
            <v>001-0020808</v>
          </cell>
          <cell r="C342" t="str">
            <v>会议话筒</v>
          </cell>
          <cell r="D342" t="str">
            <v/>
          </cell>
          <cell r="E342" t="str">
            <v/>
          </cell>
          <cell r="F342" t="str">
            <v>个</v>
          </cell>
          <cell r="G342" t="str">
            <v>200110</v>
          </cell>
          <cell r="H342" t="str">
            <v>200110</v>
          </cell>
          <cell r="I342">
            <v>2500</v>
          </cell>
          <cell r="J342">
            <v>2500</v>
          </cell>
          <cell r="K342">
            <v>2500</v>
          </cell>
          <cell r="L342">
            <v>2500</v>
          </cell>
          <cell r="M342">
            <v>2500</v>
          </cell>
          <cell r="N342">
            <v>95</v>
          </cell>
          <cell r="O342">
            <v>2375</v>
          </cell>
          <cell r="P342">
            <v>-5</v>
          </cell>
          <cell r="Q342" t="str">
            <v>人劳处</v>
          </cell>
        </row>
        <row r="343">
          <cell r="B343" t="str">
            <v>001-0020809</v>
          </cell>
          <cell r="C343" t="str">
            <v>无线话筒</v>
          </cell>
          <cell r="D343" t="str">
            <v/>
          </cell>
          <cell r="E343" t="str">
            <v/>
          </cell>
          <cell r="F343" t="str">
            <v>对</v>
          </cell>
          <cell r="G343" t="str">
            <v>200110</v>
          </cell>
          <cell r="H343" t="str">
            <v>200110</v>
          </cell>
          <cell r="I343">
            <v>2009</v>
          </cell>
          <cell r="J343">
            <v>2009</v>
          </cell>
          <cell r="K343">
            <v>2009</v>
          </cell>
          <cell r="L343">
            <v>2009</v>
          </cell>
          <cell r="M343">
            <v>2000</v>
          </cell>
          <cell r="N343">
            <v>95</v>
          </cell>
          <cell r="O343">
            <v>1900</v>
          </cell>
          <cell r="P343">
            <v>-5.425584868093579</v>
          </cell>
          <cell r="Q343" t="str">
            <v>人劳处</v>
          </cell>
        </row>
        <row r="344">
          <cell r="B344" t="str">
            <v>001-0011647</v>
          </cell>
          <cell r="C344" t="str">
            <v>多媒体视听系统</v>
          </cell>
          <cell r="D344" t="str">
            <v/>
          </cell>
          <cell r="E344" t="str">
            <v/>
          </cell>
          <cell r="F344" t="str">
            <v>套</v>
          </cell>
          <cell r="G344" t="str">
            <v>200011</v>
          </cell>
          <cell r="H344" t="str">
            <v>200011</v>
          </cell>
          <cell r="I344">
            <v>67000</v>
          </cell>
          <cell r="J344">
            <v>60621.599999999999</v>
          </cell>
          <cell r="K344">
            <v>67000</v>
          </cell>
          <cell r="L344">
            <v>60621.599999999999</v>
          </cell>
          <cell r="M344">
            <v>61000</v>
          </cell>
          <cell r="N344">
            <v>90</v>
          </cell>
          <cell r="O344">
            <v>54900</v>
          </cell>
          <cell r="P344">
            <v>-9.4382200403816441</v>
          </cell>
          <cell r="Q344" t="str">
            <v>人武部</v>
          </cell>
        </row>
        <row r="345">
          <cell r="B345" t="str">
            <v>001-0010142</v>
          </cell>
          <cell r="C345" t="str">
            <v>打印机</v>
          </cell>
          <cell r="D345" t="str">
            <v>激光   HP5000</v>
          </cell>
          <cell r="E345" t="str">
            <v/>
          </cell>
          <cell r="F345" t="str">
            <v>台</v>
          </cell>
          <cell r="G345" t="str">
            <v>199909</v>
          </cell>
          <cell r="H345" t="str">
            <v>199909</v>
          </cell>
          <cell r="I345">
            <v>15200</v>
          </cell>
          <cell r="J345">
            <v>10450.01</v>
          </cell>
          <cell r="K345">
            <v>15200</v>
          </cell>
          <cell r="L345">
            <v>10450.01</v>
          </cell>
          <cell r="M345">
            <v>12500</v>
          </cell>
          <cell r="N345">
            <v>50</v>
          </cell>
          <cell r="O345">
            <v>6250</v>
          </cell>
          <cell r="P345">
            <v>-40.191444792875799</v>
          </cell>
          <cell r="Q345" t="str">
            <v>审计处</v>
          </cell>
        </row>
        <row r="346">
          <cell r="B346" t="str">
            <v>001-0010156</v>
          </cell>
          <cell r="C346" t="str">
            <v>计算机</v>
          </cell>
          <cell r="D346" t="str">
            <v>HPVE8</v>
          </cell>
          <cell r="E346" t="str">
            <v/>
          </cell>
          <cell r="F346" t="str">
            <v>台</v>
          </cell>
          <cell r="G346" t="str">
            <v>199909</v>
          </cell>
          <cell r="H346" t="str">
            <v>199909</v>
          </cell>
          <cell r="I346">
            <v>12700</v>
          </cell>
          <cell r="J346">
            <v>9525.01</v>
          </cell>
          <cell r="K346">
            <v>12700</v>
          </cell>
          <cell r="L346">
            <v>9525.01</v>
          </cell>
          <cell r="M346">
            <v>8000</v>
          </cell>
          <cell r="N346">
            <v>50</v>
          </cell>
          <cell r="O346">
            <v>4000</v>
          </cell>
          <cell r="P346">
            <v>-58.005293432762805</v>
          </cell>
          <cell r="Q346" t="str">
            <v>审计处</v>
          </cell>
        </row>
        <row r="347">
          <cell r="B347" t="str">
            <v>001-0011479</v>
          </cell>
          <cell r="C347" t="str">
            <v>复印机</v>
          </cell>
          <cell r="D347" t="str">
            <v>夏普2030</v>
          </cell>
          <cell r="E347" t="str">
            <v/>
          </cell>
          <cell r="F347" t="str">
            <v>台</v>
          </cell>
          <cell r="G347" t="str">
            <v>200009</v>
          </cell>
          <cell r="H347" t="str">
            <v>200009</v>
          </cell>
          <cell r="I347">
            <v>26500</v>
          </cell>
          <cell r="J347">
            <v>21531.25</v>
          </cell>
          <cell r="K347">
            <v>26500</v>
          </cell>
          <cell r="L347">
            <v>21531.25</v>
          </cell>
          <cell r="M347">
            <v>24000</v>
          </cell>
          <cell r="N347">
            <v>70</v>
          </cell>
          <cell r="O347">
            <v>16800</v>
          </cell>
          <cell r="P347">
            <v>-21.973875181422351</v>
          </cell>
          <cell r="Q347" t="str">
            <v>审计处</v>
          </cell>
        </row>
        <row r="348">
          <cell r="B348" t="str">
            <v>001-0011500</v>
          </cell>
          <cell r="C348" t="str">
            <v>计算机</v>
          </cell>
          <cell r="D348" t="str">
            <v>HP8188A</v>
          </cell>
          <cell r="E348" t="str">
            <v/>
          </cell>
          <cell r="F348" t="str">
            <v>台</v>
          </cell>
          <cell r="G348" t="str">
            <v>200009</v>
          </cell>
          <cell r="H348" t="str">
            <v>200009</v>
          </cell>
          <cell r="I348">
            <v>9050</v>
          </cell>
          <cell r="J348">
            <v>7692.49</v>
          </cell>
          <cell r="K348">
            <v>9050</v>
          </cell>
          <cell r="L348">
            <v>7692.49</v>
          </cell>
          <cell r="M348">
            <v>8000</v>
          </cell>
          <cell r="N348">
            <v>70</v>
          </cell>
          <cell r="O348">
            <v>5600</v>
          </cell>
          <cell r="P348">
            <v>-27.201725319109936</v>
          </cell>
          <cell r="Q348" t="str">
            <v>审计处</v>
          </cell>
        </row>
        <row r="349">
          <cell r="B349" t="str">
            <v>001-0019963</v>
          </cell>
          <cell r="C349" t="str">
            <v>计算机</v>
          </cell>
          <cell r="D349" t="str">
            <v>DELL</v>
          </cell>
          <cell r="E349" t="str">
            <v/>
          </cell>
          <cell r="F349" t="str">
            <v>套</v>
          </cell>
          <cell r="G349" t="str">
            <v>200112</v>
          </cell>
          <cell r="H349" t="str">
            <v>200112</v>
          </cell>
          <cell r="I349">
            <v>11337</v>
          </cell>
          <cell r="J349">
            <v>11148.04</v>
          </cell>
          <cell r="K349">
            <v>11337</v>
          </cell>
          <cell r="L349">
            <v>11148.04</v>
          </cell>
          <cell r="M349">
            <v>11000</v>
          </cell>
          <cell r="N349">
            <v>95</v>
          </cell>
          <cell r="O349">
            <v>10450</v>
          </cell>
          <cell r="P349">
            <v>-6.2615491153601956</v>
          </cell>
          <cell r="Q349" t="str">
            <v>审计处</v>
          </cell>
        </row>
        <row r="350">
          <cell r="B350" t="str">
            <v>001-0008842</v>
          </cell>
          <cell r="C350" t="str">
            <v>打印机</v>
          </cell>
          <cell r="D350" t="str">
            <v>喷墨  EPSON-1000</v>
          </cell>
          <cell r="F350" t="str">
            <v>台</v>
          </cell>
          <cell r="G350" t="str">
            <v>199711</v>
          </cell>
          <cell r="H350" t="str">
            <v>199711</v>
          </cell>
          <cell r="I350">
            <v>3700</v>
          </cell>
          <cell r="J350">
            <v>2096.6799999999998</v>
          </cell>
          <cell r="K350">
            <v>3700</v>
          </cell>
          <cell r="L350">
            <v>2096.6799999999998</v>
          </cell>
          <cell r="M350">
            <v>2000</v>
          </cell>
          <cell r="N350">
            <v>15</v>
          </cell>
          <cell r="O350">
            <v>300</v>
          </cell>
          <cell r="P350">
            <v>-85.691664917870156</v>
          </cell>
          <cell r="Q350" t="str">
            <v>团委</v>
          </cell>
        </row>
        <row r="351">
          <cell r="B351" t="str">
            <v>001-0004715</v>
          </cell>
          <cell r="C351" t="str">
            <v>彩电</v>
          </cell>
          <cell r="D351" t="str">
            <v>伴卡拉OK</v>
          </cell>
          <cell r="F351" t="str">
            <v>台</v>
          </cell>
          <cell r="G351" t="str">
            <v>199208</v>
          </cell>
          <cell r="H351" t="str">
            <v>199208</v>
          </cell>
          <cell r="I351">
            <v>3952.87</v>
          </cell>
          <cell r="J351">
            <v>0</v>
          </cell>
          <cell r="K351">
            <v>3952.87</v>
          </cell>
          <cell r="L351">
            <v>0</v>
          </cell>
          <cell r="M351">
            <v>0</v>
          </cell>
          <cell r="O351">
            <v>0</v>
          </cell>
          <cell r="Q351" t="str">
            <v>报废</v>
          </cell>
        </row>
        <row r="352">
          <cell r="B352" t="str">
            <v>001-0007982</v>
          </cell>
          <cell r="C352" t="str">
            <v>手持电台</v>
          </cell>
          <cell r="D352" t="str">
            <v>C151</v>
          </cell>
          <cell r="E352" t="str">
            <v/>
          </cell>
          <cell r="F352" t="str">
            <v>台</v>
          </cell>
          <cell r="G352" t="str">
            <v>199606</v>
          </cell>
          <cell r="H352" t="str">
            <v>199606</v>
          </cell>
          <cell r="I352">
            <v>3645</v>
          </cell>
          <cell r="J352">
            <v>2597.0500000000002</v>
          </cell>
          <cell r="K352">
            <v>3645</v>
          </cell>
          <cell r="L352">
            <v>2597.0500000000002</v>
          </cell>
          <cell r="M352">
            <v>3200</v>
          </cell>
          <cell r="N352">
            <v>15</v>
          </cell>
          <cell r="O352">
            <v>480</v>
          </cell>
          <cell r="P352">
            <v>-81.517490999403179</v>
          </cell>
          <cell r="Q352" t="str">
            <v>武警内卫</v>
          </cell>
        </row>
        <row r="353">
          <cell r="B353" t="str">
            <v>001-0007983</v>
          </cell>
          <cell r="C353" t="str">
            <v>手持电台</v>
          </cell>
          <cell r="D353" t="str">
            <v>C151</v>
          </cell>
          <cell r="E353" t="str">
            <v/>
          </cell>
          <cell r="F353" t="str">
            <v>台</v>
          </cell>
          <cell r="G353" t="str">
            <v>199606</v>
          </cell>
          <cell r="H353" t="str">
            <v>199606</v>
          </cell>
          <cell r="I353">
            <v>3645</v>
          </cell>
          <cell r="J353">
            <v>2597.0500000000002</v>
          </cell>
          <cell r="K353">
            <v>3645</v>
          </cell>
          <cell r="L353">
            <v>2597.0500000000002</v>
          </cell>
          <cell r="M353">
            <v>3200</v>
          </cell>
          <cell r="N353">
            <v>15</v>
          </cell>
          <cell r="O353">
            <v>480</v>
          </cell>
          <cell r="P353">
            <v>-81.517490999403179</v>
          </cell>
          <cell r="Q353" t="str">
            <v>武警内卫</v>
          </cell>
        </row>
        <row r="354">
          <cell r="B354" t="str">
            <v>001-0007984</v>
          </cell>
          <cell r="C354" t="str">
            <v>手持电台</v>
          </cell>
          <cell r="D354" t="str">
            <v>C151</v>
          </cell>
          <cell r="E354" t="str">
            <v/>
          </cell>
          <cell r="F354" t="str">
            <v>台</v>
          </cell>
          <cell r="G354" t="str">
            <v>199606</v>
          </cell>
          <cell r="H354" t="str">
            <v>199606</v>
          </cell>
          <cell r="I354">
            <v>3645</v>
          </cell>
          <cell r="J354">
            <v>2597.0500000000002</v>
          </cell>
          <cell r="K354">
            <v>3645</v>
          </cell>
          <cell r="L354">
            <v>2597.0500000000002</v>
          </cell>
          <cell r="M354">
            <v>3200</v>
          </cell>
          <cell r="N354">
            <v>15</v>
          </cell>
          <cell r="O354">
            <v>480</v>
          </cell>
          <cell r="P354">
            <v>-81.517490999403179</v>
          </cell>
          <cell r="Q354" t="str">
            <v>武警内卫</v>
          </cell>
        </row>
        <row r="355">
          <cell r="B355" t="str">
            <v>001-0007985</v>
          </cell>
          <cell r="C355" t="str">
            <v>手持电台</v>
          </cell>
          <cell r="D355" t="str">
            <v>C151</v>
          </cell>
          <cell r="E355" t="str">
            <v/>
          </cell>
          <cell r="F355" t="str">
            <v>台</v>
          </cell>
          <cell r="G355" t="str">
            <v>199606</v>
          </cell>
          <cell r="H355" t="str">
            <v>199606</v>
          </cell>
          <cell r="I355">
            <v>3645</v>
          </cell>
          <cell r="J355">
            <v>2597.0500000000002</v>
          </cell>
          <cell r="K355">
            <v>3645</v>
          </cell>
          <cell r="L355">
            <v>2597.0500000000002</v>
          </cell>
          <cell r="M355">
            <v>3200</v>
          </cell>
          <cell r="N355">
            <v>15</v>
          </cell>
          <cell r="O355">
            <v>480</v>
          </cell>
          <cell r="P355">
            <v>-81.517490999403179</v>
          </cell>
          <cell r="Q355" t="str">
            <v>武警内卫</v>
          </cell>
        </row>
        <row r="356">
          <cell r="B356" t="str">
            <v>001-0007986</v>
          </cell>
          <cell r="C356" t="str">
            <v>红外线报警器</v>
          </cell>
          <cell r="D356" t="str">
            <v/>
          </cell>
          <cell r="E356" t="str">
            <v/>
          </cell>
          <cell r="F356" t="str">
            <v>台</v>
          </cell>
          <cell r="G356" t="str">
            <v>199606</v>
          </cell>
          <cell r="H356" t="str">
            <v>199606</v>
          </cell>
          <cell r="I356">
            <v>3420</v>
          </cell>
          <cell r="J356">
            <v>1781.9</v>
          </cell>
          <cell r="K356">
            <v>3420</v>
          </cell>
          <cell r="L356">
            <v>1781.9</v>
          </cell>
          <cell r="M356">
            <v>4000</v>
          </cell>
          <cell r="N356">
            <v>40</v>
          </cell>
          <cell r="O356">
            <v>1600</v>
          </cell>
          <cell r="P356">
            <v>-10.20820472529323</v>
          </cell>
          <cell r="Q356" t="str">
            <v>武警内卫</v>
          </cell>
        </row>
        <row r="357">
          <cell r="B357" t="str">
            <v>001-0007995</v>
          </cell>
          <cell r="C357" t="str">
            <v>录像机</v>
          </cell>
          <cell r="D357" t="str">
            <v>500A</v>
          </cell>
          <cell r="E357" t="str">
            <v/>
          </cell>
          <cell r="F357" t="str">
            <v>台</v>
          </cell>
          <cell r="G357" t="str">
            <v>199606</v>
          </cell>
          <cell r="H357" t="str">
            <v>199606</v>
          </cell>
          <cell r="I357">
            <v>3744</v>
          </cell>
          <cell r="J357">
            <v>1950.71</v>
          </cell>
          <cell r="K357">
            <v>3744</v>
          </cell>
          <cell r="L357">
            <v>1950.71</v>
          </cell>
          <cell r="M357">
            <v>2800</v>
          </cell>
          <cell r="N357">
            <v>30</v>
          </cell>
          <cell r="O357">
            <v>840</v>
          </cell>
          <cell r="P357">
            <v>-56.938755632564551</v>
          </cell>
          <cell r="Q357" t="str">
            <v>武警内卫</v>
          </cell>
        </row>
        <row r="358">
          <cell r="B358" t="str">
            <v>001-0008002</v>
          </cell>
          <cell r="C358" t="str">
            <v>空调</v>
          </cell>
          <cell r="D358" t="str">
            <v>格力FRD-12W  AK  5P</v>
          </cell>
          <cell r="E358" t="str">
            <v/>
          </cell>
          <cell r="F358" t="str">
            <v>台</v>
          </cell>
          <cell r="G358" t="str">
            <v>199606</v>
          </cell>
          <cell r="H358" t="str">
            <v>199606</v>
          </cell>
          <cell r="I358">
            <v>17901</v>
          </cell>
          <cell r="J358">
            <v>10551.75</v>
          </cell>
          <cell r="K358">
            <v>17901</v>
          </cell>
          <cell r="L358">
            <v>10551.75</v>
          </cell>
          <cell r="M358">
            <v>7000</v>
          </cell>
          <cell r="N358">
            <v>30</v>
          </cell>
          <cell r="O358">
            <v>2100</v>
          </cell>
          <cell r="P358">
            <v>-80.098087994882363</v>
          </cell>
          <cell r="Q358" t="str">
            <v>武警内卫</v>
          </cell>
        </row>
        <row r="359">
          <cell r="B359" t="str">
            <v>001-0008003</v>
          </cell>
          <cell r="C359" t="str">
            <v>空调</v>
          </cell>
          <cell r="D359" t="str">
            <v>格力FRD-12W  AK  5P</v>
          </cell>
          <cell r="E359" t="str">
            <v/>
          </cell>
          <cell r="F359" t="str">
            <v>台</v>
          </cell>
          <cell r="G359" t="str">
            <v>199606</v>
          </cell>
          <cell r="H359" t="str">
            <v>199606</v>
          </cell>
          <cell r="I359">
            <v>17901</v>
          </cell>
          <cell r="J359">
            <v>10551.75</v>
          </cell>
          <cell r="K359">
            <v>17901</v>
          </cell>
          <cell r="L359">
            <v>10551.75</v>
          </cell>
          <cell r="M359">
            <v>7000</v>
          </cell>
          <cell r="N359">
            <v>30</v>
          </cell>
          <cell r="O359">
            <v>2100</v>
          </cell>
          <cell r="P359">
            <v>-80.098087994882363</v>
          </cell>
          <cell r="Q359" t="str">
            <v>武警内卫</v>
          </cell>
        </row>
        <row r="360">
          <cell r="B360" t="str">
            <v>001-0018023</v>
          </cell>
          <cell r="C360" t="str">
            <v>空调</v>
          </cell>
          <cell r="D360" t="str">
            <v/>
          </cell>
          <cell r="E360" t="str">
            <v/>
          </cell>
          <cell r="F360" t="str">
            <v>台</v>
          </cell>
          <cell r="G360" t="str">
            <v>200108</v>
          </cell>
          <cell r="H360" t="str">
            <v>200108</v>
          </cell>
          <cell r="I360">
            <v>175</v>
          </cell>
          <cell r="J360">
            <v>167.93</v>
          </cell>
          <cell r="K360">
            <v>175</v>
          </cell>
          <cell r="L360">
            <v>167.93</v>
          </cell>
          <cell r="M360">
            <v>175</v>
          </cell>
          <cell r="N360">
            <v>90</v>
          </cell>
          <cell r="O360">
            <v>157.5</v>
          </cell>
          <cell r="P360">
            <v>-6.2109212171738264</v>
          </cell>
          <cell r="Q360" t="str">
            <v>武警内卫</v>
          </cell>
        </row>
        <row r="361">
          <cell r="B361" t="str">
            <v>001-0019222</v>
          </cell>
          <cell r="C361" t="str">
            <v>手持电台</v>
          </cell>
          <cell r="D361" t="str">
            <v>TK-388</v>
          </cell>
          <cell r="E361" t="str">
            <v/>
          </cell>
          <cell r="F361" t="str">
            <v>台</v>
          </cell>
          <cell r="G361" t="str">
            <v>200111</v>
          </cell>
          <cell r="H361" t="str">
            <v>200111</v>
          </cell>
          <cell r="I361">
            <v>2450</v>
          </cell>
          <cell r="J361">
            <v>2419.37</v>
          </cell>
          <cell r="K361">
            <v>2450</v>
          </cell>
          <cell r="L361">
            <v>2419.37</v>
          </cell>
          <cell r="M361">
            <v>2400</v>
          </cell>
          <cell r="N361">
            <v>95</v>
          </cell>
          <cell r="O361">
            <v>2280</v>
          </cell>
          <cell r="P361">
            <v>-5.7605905669657762</v>
          </cell>
          <cell r="Q361" t="str">
            <v>武警内卫</v>
          </cell>
        </row>
        <row r="362">
          <cell r="B362" t="str">
            <v>001-0019223</v>
          </cell>
          <cell r="C362" t="str">
            <v>手持电台</v>
          </cell>
          <cell r="D362" t="str">
            <v>TK-388</v>
          </cell>
          <cell r="E362" t="str">
            <v/>
          </cell>
          <cell r="F362" t="str">
            <v>台</v>
          </cell>
          <cell r="G362" t="str">
            <v>200111</v>
          </cell>
          <cell r="H362" t="str">
            <v>200111</v>
          </cell>
          <cell r="I362">
            <v>2450</v>
          </cell>
          <cell r="J362">
            <v>2419.37</v>
          </cell>
          <cell r="K362">
            <v>2450</v>
          </cell>
          <cell r="L362">
            <v>2419.37</v>
          </cell>
          <cell r="M362">
            <v>2400</v>
          </cell>
          <cell r="N362">
            <v>95</v>
          </cell>
          <cell r="O362">
            <v>2280</v>
          </cell>
          <cell r="P362">
            <v>-5.7605905669657762</v>
          </cell>
          <cell r="Q362" t="str">
            <v>武警内卫</v>
          </cell>
        </row>
        <row r="363">
          <cell r="B363" t="str">
            <v>001-0019224</v>
          </cell>
          <cell r="C363" t="str">
            <v>手持电台</v>
          </cell>
          <cell r="D363" t="str">
            <v>TK-388</v>
          </cell>
          <cell r="E363" t="str">
            <v/>
          </cell>
          <cell r="F363" t="str">
            <v>台</v>
          </cell>
          <cell r="G363" t="str">
            <v>200111</v>
          </cell>
          <cell r="H363" t="str">
            <v>200111</v>
          </cell>
          <cell r="I363">
            <v>2450</v>
          </cell>
          <cell r="J363">
            <v>2419.37</v>
          </cell>
          <cell r="K363">
            <v>2450</v>
          </cell>
          <cell r="L363">
            <v>2419.37</v>
          </cell>
          <cell r="M363">
            <v>2400</v>
          </cell>
          <cell r="N363">
            <v>95</v>
          </cell>
          <cell r="O363">
            <v>2280</v>
          </cell>
          <cell r="P363">
            <v>-5.7605905669657762</v>
          </cell>
          <cell r="Q363" t="str">
            <v>武警内卫</v>
          </cell>
        </row>
        <row r="364">
          <cell r="B364" t="str">
            <v>001-0019225</v>
          </cell>
          <cell r="C364" t="str">
            <v>手持电台</v>
          </cell>
          <cell r="D364" t="str">
            <v>TK-388</v>
          </cell>
          <cell r="E364" t="str">
            <v/>
          </cell>
          <cell r="F364" t="str">
            <v>台</v>
          </cell>
          <cell r="G364" t="str">
            <v>200111</v>
          </cell>
          <cell r="H364" t="str">
            <v>200111</v>
          </cell>
          <cell r="I364">
            <v>2450</v>
          </cell>
          <cell r="J364">
            <v>2419.37</v>
          </cell>
          <cell r="K364">
            <v>2450</v>
          </cell>
          <cell r="L364">
            <v>2419.37</v>
          </cell>
          <cell r="M364">
            <v>2400</v>
          </cell>
          <cell r="N364">
            <v>95</v>
          </cell>
          <cell r="O364">
            <v>2280</v>
          </cell>
          <cell r="P364">
            <v>-5.7605905669657762</v>
          </cell>
          <cell r="Q364" t="str">
            <v>武警内卫</v>
          </cell>
        </row>
        <row r="365">
          <cell r="B365" t="str">
            <v>001-0019226</v>
          </cell>
          <cell r="C365" t="str">
            <v>手持电台</v>
          </cell>
          <cell r="D365" t="str">
            <v>TK-388</v>
          </cell>
          <cell r="E365" t="str">
            <v/>
          </cell>
          <cell r="F365" t="str">
            <v>台</v>
          </cell>
          <cell r="G365" t="str">
            <v>200111</v>
          </cell>
          <cell r="H365" t="str">
            <v>200111</v>
          </cell>
          <cell r="I365">
            <v>2450</v>
          </cell>
          <cell r="J365">
            <v>2419.37</v>
          </cell>
          <cell r="K365">
            <v>2450</v>
          </cell>
          <cell r="L365">
            <v>2419.37</v>
          </cell>
          <cell r="M365">
            <v>2400</v>
          </cell>
          <cell r="N365">
            <v>95</v>
          </cell>
          <cell r="O365">
            <v>2280</v>
          </cell>
          <cell r="P365">
            <v>-5.7605905669657762</v>
          </cell>
          <cell r="Q365" t="str">
            <v>武警内卫</v>
          </cell>
        </row>
        <row r="366">
          <cell r="B366" t="str">
            <v>001-0019227</v>
          </cell>
          <cell r="C366" t="str">
            <v>手持电台</v>
          </cell>
          <cell r="D366" t="str">
            <v>TK-388</v>
          </cell>
          <cell r="E366" t="str">
            <v/>
          </cell>
          <cell r="F366" t="str">
            <v>台</v>
          </cell>
          <cell r="G366" t="str">
            <v>200111</v>
          </cell>
          <cell r="H366" t="str">
            <v>200111</v>
          </cell>
          <cell r="I366">
            <v>2450</v>
          </cell>
          <cell r="J366">
            <v>2419.37</v>
          </cell>
          <cell r="K366">
            <v>2450</v>
          </cell>
          <cell r="L366">
            <v>2419.37</v>
          </cell>
          <cell r="M366">
            <v>2400</v>
          </cell>
          <cell r="N366">
            <v>95</v>
          </cell>
          <cell r="O366">
            <v>2280</v>
          </cell>
          <cell r="P366">
            <v>-5.7605905669657762</v>
          </cell>
          <cell r="Q366" t="str">
            <v>武警内卫</v>
          </cell>
        </row>
        <row r="367">
          <cell r="B367" t="str">
            <v>001-0019228</v>
          </cell>
          <cell r="C367" t="str">
            <v>手持电台</v>
          </cell>
          <cell r="D367" t="str">
            <v>TK-388</v>
          </cell>
          <cell r="E367" t="str">
            <v/>
          </cell>
          <cell r="F367" t="str">
            <v>台</v>
          </cell>
          <cell r="G367" t="str">
            <v>200111</v>
          </cell>
          <cell r="H367" t="str">
            <v>200111</v>
          </cell>
          <cell r="I367">
            <v>2450</v>
          </cell>
          <cell r="J367">
            <v>2419.37</v>
          </cell>
          <cell r="K367">
            <v>2450</v>
          </cell>
          <cell r="L367">
            <v>2419.37</v>
          </cell>
          <cell r="M367">
            <v>2400</v>
          </cell>
          <cell r="N367">
            <v>95</v>
          </cell>
          <cell r="O367">
            <v>2280</v>
          </cell>
          <cell r="P367">
            <v>-5.7605905669657762</v>
          </cell>
          <cell r="Q367" t="str">
            <v>武警内卫</v>
          </cell>
        </row>
        <row r="368">
          <cell r="B368" t="str">
            <v>001-0019229</v>
          </cell>
          <cell r="C368" t="str">
            <v>手持电台</v>
          </cell>
          <cell r="D368" t="str">
            <v>TK-388</v>
          </cell>
          <cell r="E368" t="str">
            <v/>
          </cell>
          <cell r="F368" t="str">
            <v>台</v>
          </cell>
          <cell r="G368" t="str">
            <v>200111</v>
          </cell>
          <cell r="H368" t="str">
            <v>200111</v>
          </cell>
          <cell r="I368">
            <v>2450</v>
          </cell>
          <cell r="J368">
            <v>2419.37</v>
          </cell>
          <cell r="K368">
            <v>2450</v>
          </cell>
          <cell r="L368">
            <v>2419.37</v>
          </cell>
          <cell r="M368">
            <v>2400</v>
          </cell>
          <cell r="N368">
            <v>95</v>
          </cell>
          <cell r="O368">
            <v>2280</v>
          </cell>
          <cell r="P368">
            <v>-5.7605905669657762</v>
          </cell>
          <cell r="Q368" t="str">
            <v>武警内卫</v>
          </cell>
        </row>
        <row r="369">
          <cell r="B369" t="str">
            <v>001-0019230</v>
          </cell>
          <cell r="C369" t="str">
            <v>手持电台</v>
          </cell>
          <cell r="D369" t="str">
            <v>TK-388</v>
          </cell>
          <cell r="E369" t="str">
            <v/>
          </cell>
          <cell r="F369" t="str">
            <v>台</v>
          </cell>
          <cell r="G369" t="str">
            <v>200111</v>
          </cell>
          <cell r="H369" t="str">
            <v>200111</v>
          </cell>
          <cell r="I369">
            <v>2450</v>
          </cell>
          <cell r="J369">
            <v>2419.37</v>
          </cell>
          <cell r="K369">
            <v>2450</v>
          </cell>
          <cell r="L369">
            <v>2419.37</v>
          </cell>
          <cell r="M369">
            <v>2400</v>
          </cell>
          <cell r="N369">
            <v>95</v>
          </cell>
          <cell r="O369">
            <v>2280</v>
          </cell>
          <cell r="P369">
            <v>-5.7605905669657762</v>
          </cell>
          <cell r="Q369" t="str">
            <v>武警内卫</v>
          </cell>
        </row>
        <row r="370">
          <cell r="B370" t="str">
            <v>001-0019231</v>
          </cell>
          <cell r="C370" t="str">
            <v>手持电台</v>
          </cell>
          <cell r="D370" t="str">
            <v>TK-388</v>
          </cell>
          <cell r="E370" t="str">
            <v/>
          </cell>
          <cell r="F370" t="str">
            <v>台</v>
          </cell>
          <cell r="G370" t="str">
            <v>200111</v>
          </cell>
          <cell r="H370" t="str">
            <v>200111</v>
          </cell>
          <cell r="I370">
            <v>2450</v>
          </cell>
          <cell r="J370">
            <v>2419.37</v>
          </cell>
          <cell r="K370">
            <v>2450</v>
          </cell>
          <cell r="L370">
            <v>2419.37</v>
          </cell>
          <cell r="M370">
            <v>2400</v>
          </cell>
          <cell r="N370">
            <v>95</v>
          </cell>
          <cell r="O370">
            <v>2280</v>
          </cell>
          <cell r="P370">
            <v>-5.7605905669657762</v>
          </cell>
          <cell r="Q370" t="str">
            <v>武警内卫</v>
          </cell>
        </row>
        <row r="371">
          <cell r="B371" t="str">
            <v>001-0019232</v>
          </cell>
          <cell r="C371" t="str">
            <v>手持电台</v>
          </cell>
          <cell r="D371" t="str">
            <v>TK-388</v>
          </cell>
          <cell r="E371" t="str">
            <v/>
          </cell>
          <cell r="F371" t="str">
            <v>台</v>
          </cell>
          <cell r="G371" t="str">
            <v>200111</v>
          </cell>
          <cell r="H371" t="str">
            <v>200111</v>
          </cell>
          <cell r="I371">
            <v>2450</v>
          </cell>
          <cell r="J371">
            <v>2419.37</v>
          </cell>
          <cell r="K371">
            <v>2450</v>
          </cell>
          <cell r="L371">
            <v>2419.37</v>
          </cell>
          <cell r="M371">
            <v>2400</v>
          </cell>
          <cell r="N371">
            <v>95</v>
          </cell>
          <cell r="O371">
            <v>2280</v>
          </cell>
          <cell r="P371">
            <v>-5.7605905669657762</v>
          </cell>
          <cell r="Q371" t="str">
            <v>武警内卫</v>
          </cell>
        </row>
        <row r="372">
          <cell r="B372" t="str">
            <v>001-0019233</v>
          </cell>
          <cell r="C372" t="str">
            <v>手持电台</v>
          </cell>
          <cell r="D372" t="str">
            <v>TK-388</v>
          </cell>
          <cell r="E372" t="str">
            <v/>
          </cell>
          <cell r="F372" t="str">
            <v>台</v>
          </cell>
          <cell r="G372" t="str">
            <v>200111</v>
          </cell>
          <cell r="H372" t="str">
            <v>200111</v>
          </cell>
          <cell r="I372">
            <v>2450</v>
          </cell>
          <cell r="J372">
            <v>2419.37</v>
          </cell>
          <cell r="K372">
            <v>2450</v>
          </cell>
          <cell r="L372">
            <v>2419.37</v>
          </cell>
          <cell r="M372">
            <v>2400</v>
          </cell>
          <cell r="N372">
            <v>95</v>
          </cell>
          <cell r="O372">
            <v>2280</v>
          </cell>
          <cell r="P372">
            <v>-5.7605905669657762</v>
          </cell>
          <cell r="Q372" t="str">
            <v>武警内卫</v>
          </cell>
        </row>
        <row r="373">
          <cell r="B373" t="str">
            <v>001-0019234</v>
          </cell>
          <cell r="C373" t="str">
            <v>手持电台</v>
          </cell>
          <cell r="D373" t="str">
            <v>TK-388</v>
          </cell>
          <cell r="E373" t="str">
            <v/>
          </cell>
          <cell r="F373" t="str">
            <v>台</v>
          </cell>
          <cell r="G373" t="str">
            <v>200111</v>
          </cell>
          <cell r="H373" t="str">
            <v>200111</v>
          </cell>
          <cell r="I373">
            <v>2450</v>
          </cell>
          <cell r="J373">
            <v>2419.37</v>
          </cell>
          <cell r="K373">
            <v>2450</v>
          </cell>
          <cell r="L373">
            <v>2419.37</v>
          </cell>
          <cell r="M373">
            <v>2400</v>
          </cell>
          <cell r="N373">
            <v>95</v>
          </cell>
          <cell r="O373">
            <v>2280</v>
          </cell>
          <cell r="P373">
            <v>-5.7605905669657762</v>
          </cell>
          <cell r="Q373" t="str">
            <v>武警内卫</v>
          </cell>
        </row>
        <row r="374">
          <cell r="B374" t="str">
            <v>001-0019235</v>
          </cell>
          <cell r="C374" t="str">
            <v>手持电台</v>
          </cell>
          <cell r="D374" t="str">
            <v>TK-388</v>
          </cell>
          <cell r="E374" t="str">
            <v/>
          </cell>
          <cell r="F374" t="str">
            <v>台</v>
          </cell>
          <cell r="G374" t="str">
            <v>200111</v>
          </cell>
          <cell r="H374" t="str">
            <v>200111</v>
          </cell>
          <cell r="I374">
            <v>2450</v>
          </cell>
          <cell r="J374">
            <v>2419.37</v>
          </cell>
          <cell r="K374">
            <v>2450</v>
          </cell>
          <cell r="L374">
            <v>2419.37</v>
          </cell>
          <cell r="M374">
            <v>2400</v>
          </cell>
          <cell r="N374">
            <v>95</v>
          </cell>
          <cell r="O374">
            <v>2280</v>
          </cell>
          <cell r="P374">
            <v>-5.7605905669657762</v>
          </cell>
          <cell r="Q374" t="str">
            <v>武警内卫</v>
          </cell>
        </row>
        <row r="375">
          <cell r="B375" t="str">
            <v>001-0019236</v>
          </cell>
          <cell r="C375" t="str">
            <v>手持电台</v>
          </cell>
          <cell r="D375" t="str">
            <v>TK-388</v>
          </cell>
          <cell r="E375" t="str">
            <v/>
          </cell>
          <cell r="F375" t="str">
            <v>台</v>
          </cell>
          <cell r="G375" t="str">
            <v>200111</v>
          </cell>
          <cell r="H375" t="str">
            <v>200111</v>
          </cell>
          <cell r="I375">
            <v>2450</v>
          </cell>
          <cell r="J375">
            <v>2419.37</v>
          </cell>
          <cell r="K375">
            <v>2450</v>
          </cell>
          <cell r="L375">
            <v>2419.37</v>
          </cell>
          <cell r="M375">
            <v>2400</v>
          </cell>
          <cell r="N375">
            <v>95</v>
          </cell>
          <cell r="O375">
            <v>2280</v>
          </cell>
          <cell r="P375">
            <v>-5.7605905669657762</v>
          </cell>
          <cell r="Q375" t="str">
            <v>武警内卫</v>
          </cell>
        </row>
        <row r="376">
          <cell r="B376" t="str">
            <v>001-0019237</v>
          </cell>
          <cell r="C376" t="str">
            <v>手持电台</v>
          </cell>
          <cell r="D376" t="str">
            <v>TK-388</v>
          </cell>
          <cell r="E376" t="str">
            <v/>
          </cell>
          <cell r="F376" t="str">
            <v>台</v>
          </cell>
          <cell r="G376" t="str">
            <v>200111</v>
          </cell>
          <cell r="H376" t="str">
            <v>200111</v>
          </cell>
          <cell r="I376">
            <v>2450</v>
          </cell>
          <cell r="J376">
            <v>2419.37</v>
          </cell>
          <cell r="K376">
            <v>2450</v>
          </cell>
          <cell r="L376">
            <v>2419.37</v>
          </cell>
          <cell r="M376">
            <v>2400</v>
          </cell>
          <cell r="N376">
            <v>95</v>
          </cell>
          <cell r="O376">
            <v>2280</v>
          </cell>
          <cell r="P376">
            <v>-5.7605905669657762</v>
          </cell>
          <cell r="Q376" t="str">
            <v>武警内卫</v>
          </cell>
        </row>
        <row r="377">
          <cell r="B377" t="str">
            <v>001-0019238</v>
          </cell>
          <cell r="C377" t="str">
            <v>手持电台</v>
          </cell>
          <cell r="D377" t="str">
            <v>TK-388</v>
          </cell>
          <cell r="E377" t="str">
            <v/>
          </cell>
          <cell r="F377" t="str">
            <v>台</v>
          </cell>
          <cell r="G377" t="str">
            <v>200111</v>
          </cell>
          <cell r="H377" t="str">
            <v>200111</v>
          </cell>
          <cell r="I377">
            <v>2450</v>
          </cell>
          <cell r="J377">
            <v>2419.37</v>
          </cell>
          <cell r="K377">
            <v>2450</v>
          </cell>
          <cell r="L377">
            <v>2419.37</v>
          </cell>
          <cell r="M377">
            <v>2400</v>
          </cell>
          <cell r="N377">
            <v>95</v>
          </cell>
          <cell r="O377">
            <v>2280</v>
          </cell>
          <cell r="P377">
            <v>-5.7605905669657762</v>
          </cell>
          <cell r="Q377" t="str">
            <v>武警内卫</v>
          </cell>
        </row>
        <row r="378">
          <cell r="B378" t="str">
            <v>001-0019239</v>
          </cell>
          <cell r="C378" t="str">
            <v>手持电台</v>
          </cell>
          <cell r="D378" t="str">
            <v>TK-388</v>
          </cell>
          <cell r="E378" t="str">
            <v/>
          </cell>
          <cell r="F378" t="str">
            <v>台</v>
          </cell>
          <cell r="G378" t="str">
            <v>200111</v>
          </cell>
          <cell r="H378" t="str">
            <v>200111</v>
          </cell>
          <cell r="I378">
            <v>2450</v>
          </cell>
          <cell r="J378">
            <v>2419.37</v>
          </cell>
          <cell r="K378">
            <v>2450</v>
          </cell>
          <cell r="L378">
            <v>2419.37</v>
          </cell>
          <cell r="M378">
            <v>2400</v>
          </cell>
          <cell r="N378">
            <v>95</v>
          </cell>
          <cell r="O378">
            <v>2280</v>
          </cell>
          <cell r="P378">
            <v>-5.7605905669657762</v>
          </cell>
          <cell r="Q378" t="str">
            <v>武警内卫</v>
          </cell>
        </row>
        <row r="379">
          <cell r="B379" t="str">
            <v>001-0019240</v>
          </cell>
          <cell r="C379" t="str">
            <v>手持电台</v>
          </cell>
          <cell r="D379" t="str">
            <v>TK-388</v>
          </cell>
          <cell r="E379" t="str">
            <v/>
          </cell>
          <cell r="F379" t="str">
            <v>台</v>
          </cell>
          <cell r="G379" t="str">
            <v>200111</v>
          </cell>
          <cell r="H379" t="str">
            <v>200111</v>
          </cell>
          <cell r="I379">
            <v>2450</v>
          </cell>
          <cell r="J379">
            <v>2419.37</v>
          </cell>
          <cell r="K379">
            <v>2450</v>
          </cell>
          <cell r="L379">
            <v>2419.37</v>
          </cell>
          <cell r="M379">
            <v>2400</v>
          </cell>
          <cell r="N379">
            <v>95</v>
          </cell>
          <cell r="O379">
            <v>2280</v>
          </cell>
          <cell r="P379">
            <v>-5.7605905669657762</v>
          </cell>
          <cell r="Q379" t="str">
            <v>武警内卫</v>
          </cell>
        </row>
        <row r="380">
          <cell r="B380" t="str">
            <v>001-0020102</v>
          </cell>
          <cell r="C380" t="str">
            <v>篮球板</v>
          </cell>
          <cell r="D380" t="str">
            <v/>
          </cell>
          <cell r="E380" t="str">
            <v/>
          </cell>
          <cell r="F380" t="str">
            <v>副</v>
          </cell>
          <cell r="G380" t="str">
            <v>200112</v>
          </cell>
          <cell r="H380" t="str">
            <v>200112</v>
          </cell>
          <cell r="I380">
            <v>2288</v>
          </cell>
          <cell r="J380">
            <v>2270.64</v>
          </cell>
          <cell r="K380">
            <v>2288</v>
          </cell>
          <cell r="L380">
            <v>2270.64</v>
          </cell>
          <cell r="M380">
            <v>2300</v>
          </cell>
          <cell r="N380">
            <v>90</v>
          </cell>
          <cell r="O380">
            <v>2070</v>
          </cell>
          <cell r="P380">
            <v>-8.8362752351759806</v>
          </cell>
          <cell r="Q380" t="str">
            <v>武警内卫</v>
          </cell>
        </row>
        <row r="381">
          <cell r="B381" t="str">
            <v>001-0020112</v>
          </cell>
          <cell r="C381" t="str">
            <v>冰箱</v>
          </cell>
          <cell r="D381" t="str">
            <v>BCD-237DVC</v>
          </cell>
          <cell r="E381" t="str">
            <v/>
          </cell>
          <cell r="F381" t="str">
            <v>台</v>
          </cell>
          <cell r="G381" t="str">
            <v>200112</v>
          </cell>
          <cell r="H381" t="str">
            <v>200112</v>
          </cell>
          <cell r="I381">
            <v>3860</v>
          </cell>
          <cell r="J381">
            <v>3830.72</v>
          </cell>
          <cell r="K381">
            <v>3860</v>
          </cell>
          <cell r="L381">
            <v>3830.72</v>
          </cell>
          <cell r="M381">
            <v>3800</v>
          </cell>
          <cell r="N381">
            <v>95</v>
          </cell>
          <cell r="O381">
            <v>3610</v>
          </cell>
          <cell r="P381">
            <v>-5.7618411160304017</v>
          </cell>
          <cell r="Q381" t="str">
            <v>武警内卫</v>
          </cell>
        </row>
        <row r="382">
          <cell r="B382" t="str">
            <v>001-0020113</v>
          </cell>
          <cell r="C382" t="str">
            <v>冰箱</v>
          </cell>
          <cell r="D382" t="str">
            <v>BCD-237DVC</v>
          </cell>
          <cell r="E382" t="str">
            <v/>
          </cell>
          <cell r="F382" t="str">
            <v>台</v>
          </cell>
          <cell r="G382" t="str">
            <v>200112</v>
          </cell>
          <cell r="H382" t="str">
            <v>200112</v>
          </cell>
          <cell r="I382">
            <v>3860</v>
          </cell>
          <cell r="J382">
            <v>3830.72</v>
          </cell>
          <cell r="K382">
            <v>3860</v>
          </cell>
          <cell r="L382">
            <v>3830.72</v>
          </cell>
          <cell r="M382">
            <v>3800</v>
          </cell>
          <cell r="N382">
            <v>95</v>
          </cell>
          <cell r="O382">
            <v>3610</v>
          </cell>
          <cell r="P382">
            <v>-5.7618411160304017</v>
          </cell>
          <cell r="Q382" t="str">
            <v>武警内卫</v>
          </cell>
        </row>
        <row r="383">
          <cell r="B383" t="str">
            <v>001-0020114</v>
          </cell>
          <cell r="C383" t="str">
            <v>太阳能热水器</v>
          </cell>
          <cell r="D383" t="str">
            <v>1500/14-100</v>
          </cell>
          <cell r="E383" t="str">
            <v/>
          </cell>
          <cell r="F383" t="str">
            <v>台</v>
          </cell>
          <cell r="G383" t="str">
            <v>200112</v>
          </cell>
          <cell r="H383" t="str">
            <v>200112</v>
          </cell>
          <cell r="I383">
            <v>2200</v>
          </cell>
          <cell r="J383">
            <v>2183.3200000000002</v>
          </cell>
          <cell r="K383">
            <v>2200</v>
          </cell>
          <cell r="L383">
            <v>2183.3200000000002</v>
          </cell>
          <cell r="M383">
            <v>2200</v>
          </cell>
          <cell r="N383">
            <v>95</v>
          </cell>
          <cell r="O383">
            <v>2090</v>
          </cell>
          <cell r="P383">
            <v>-4.2742245754172616</v>
          </cell>
          <cell r="Q383" t="str">
            <v>武警内卫</v>
          </cell>
        </row>
        <row r="384">
          <cell r="B384" t="str">
            <v>001-0020115</v>
          </cell>
          <cell r="C384" t="str">
            <v>太阳能热水器</v>
          </cell>
          <cell r="D384" t="str">
            <v>1500/14-100</v>
          </cell>
          <cell r="E384" t="str">
            <v/>
          </cell>
          <cell r="F384" t="str">
            <v>台</v>
          </cell>
          <cell r="G384" t="str">
            <v>200112</v>
          </cell>
          <cell r="H384" t="str">
            <v>200112</v>
          </cell>
          <cell r="I384">
            <v>2200</v>
          </cell>
          <cell r="J384">
            <v>2183.3200000000002</v>
          </cell>
          <cell r="K384">
            <v>2200</v>
          </cell>
          <cell r="L384">
            <v>2183.3200000000002</v>
          </cell>
          <cell r="M384">
            <v>2200</v>
          </cell>
          <cell r="N384">
            <v>95</v>
          </cell>
          <cell r="O384">
            <v>2090</v>
          </cell>
          <cell r="P384">
            <v>-4.2742245754172616</v>
          </cell>
          <cell r="Q384" t="str">
            <v>武警内卫</v>
          </cell>
        </row>
        <row r="385">
          <cell r="B385" t="str">
            <v>001-0020116</v>
          </cell>
          <cell r="C385" t="str">
            <v>太阳能热水器</v>
          </cell>
          <cell r="D385" t="str">
            <v>1500/14-100</v>
          </cell>
          <cell r="E385" t="str">
            <v/>
          </cell>
          <cell r="F385" t="str">
            <v>台</v>
          </cell>
          <cell r="G385" t="str">
            <v>200112</v>
          </cell>
          <cell r="H385" t="str">
            <v>200112</v>
          </cell>
          <cell r="I385">
            <v>2200</v>
          </cell>
          <cell r="J385">
            <v>2183.3200000000002</v>
          </cell>
          <cell r="K385">
            <v>2200</v>
          </cell>
          <cell r="L385">
            <v>2183.3200000000002</v>
          </cell>
          <cell r="M385">
            <v>2200</v>
          </cell>
          <cell r="N385">
            <v>95</v>
          </cell>
          <cell r="O385">
            <v>2090</v>
          </cell>
          <cell r="P385">
            <v>-4.2742245754172616</v>
          </cell>
          <cell r="Q385" t="str">
            <v>武警内卫</v>
          </cell>
        </row>
        <row r="386">
          <cell r="B386" t="str">
            <v>001-0020117</v>
          </cell>
          <cell r="C386" t="str">
            <v>太阳能热水器</v>
          </cell>
          <cell r="D386" t="str">
            <v>1500/14-100</v>
          </cell>
          <cell r="E386" t="str">
            <v/>
          </cell>
          <cell r="F386" t="str">
            <v>台</v>
          </cell>
          <cell r="G386" t="str">
            <v>200112</v>
          </cell>
          <cell r="H386" t="str">
            <v>200112</v>
          </cell>
          <cell r="I386">
            <v>2200</v>
          </cell>
          <cell r="J386">
            <v>2183.3200000000002</v>
          </cell>
          <cell r="K386">
            <v>2200</v>
          </cell>
          <cell r="L386">
            <v>2183.3200000000002</v>
          </cell>
          <cell r="M386">
            <v>2200</v>
          </cell>
          <cell r="N386">
            <v>95</v>
          </cell>
          <cell r="O386">
            <v>2090</v>
          </cell>
          <cell r="P386">
            <v>-4.2742245754172616</v>
          </cell>
          <cell r="Q386" t="str">
            <v>武警内卫</v>
          </cell>
        </row>
        <row r="387">
          <cell r="B387" t="str">
            <v>001-0020118</v>
          </cell>
          <cell r="C387" t="str">
            <v>太阳能热水器</v>
          </cell>
          <cell r="D387" t="str">
            <v>1500/14-100</v>
          </cell>
          <cell r="E387" t="str">
            <v/>
          </cell>
          <cell r="F387" t="str">
            <v>台</v>
          </cell>
          <cell r="G387" t="str">
            <v>200112</v>
          </cell>
          <cell r="H387" t="str">
            <v>200112</v>
          </cell>
          <cell r="I387">
            <v>2200</v>
          </cell>
          <cell r="J387">
            <v>2183.3200000000002</v>
          </cell>
          <cell r="K387">
            <v>2200</v>
          </cell>
          <cell r="L387">
            <v>2183.3200000000002</v>
          </cell>
          <cell r="M387">
            <v>2200</v>
          </cell>
          <cell r="N387">
            <v>95</v>
          </cell>
          <cell r="O387">
            <v>2090</v>
          </cell>
          <cell r="P387">
            <v>-4.2742245754172616</v>
          </cell>
          <cell r="Q387" t="str">
            <v>武警内卫</v>
          </cell>
        </row>
        <row r="388">
          <cell r="B388" t="str">
            <v>001-0020119</v>
          </cell>
          <cell r="C388" t="str">
            <v>太阳能热水器</v>
          </cell>
          <cell r="D388" t="str">
            <v>1500/14-100</v>
          </cell>
          <cell r="E388" t="str">
            <v/>
          </cell>
          <cell r="F388" t="str">
            <v>台</v>
          </cell>
          <cell r="G388" t="str">
            <v>200112</v>
          </cell>
          <cell r="H388" t="str">
            <v>200112</v>
          </cell>
          <cell r="I388">
            <v>2200</v>
          </cell>
          <cell r="J388">
            <v>2183.3200000000002</v>
          </cell>
          <cell r="K388">
            <v>2200</v>
          </cell>
          <cell r="L388">
            <v>2183.3200000000002</v>
          </cell>
          <cell r="M388">
            <v>2200</v>
          </cell>
          <cell r="N388">
            <v>95</v>
          </cell>
          <cell r="O388">
            <v>2090</v>
          </cell>
          <cell r="P388">
            <v>-4.2742245754172616</v>
          </cell>
          <cell r="Q388" t="str">
            <v>武警内卫</v>
          </cell>
        </row>
        <row r="389">
          <cell r="B389" t="str">
            <v>001-0020120</v>
          </cell>
          <cell r="C389" t="str">
            <v>太阳能热水器</v>
          </cell>
          <cell r="D389" t="str">
            <v>1500/14-100</v>
          </cell>
          <cell r="E389" t="str">
            <v/>
          </cell>
          <cell r="F389" t="str">
            <v>台</v>
          </cell>
          <cell r="G389" t="str">
            <v>200112</v>
          </cell>
          <cell r="H389" t="str">
            <v>200112</v>
          </cell>
          <cell r="I389">
            <v>2200</v>
          </cell>
          <cell r="J389">
            <v>2183.3200000000002</v>
          </cell>
          <cell r="K389">
            <v>2200</v>
          </cell>
          <cell r="L389">
            <v>2183.3200000000002</v>
          </cell>
          <cell r="M389">
            <v>2200</v>
          </cell>
          <cell r="N389">
            <v>95</v>
          </cell>
          <cell r="O389">
            <v>2090</v>
          </cell>
          <cell r="P389">
            <v>-4.2742245754172616</v>
          </cell>
          <cell r="Q389" t="str">
            <v>武警内卫</v>
          </cell>
        </row>
        <row r="390">
          <cell r="B390" t="str">
            <v>001-0020121</v>
          </cell>
          <cell r="C390" t="str">
            <v>太阳能热水器</v>
          </cell>
          <cell r="D390" t="str">
            <v>1500/14-100</v>
          </cell>
          <cell r="E390" t="str">
            <v/>
          </cell>
          <cell r="F390" t="str">
            <v>台</v>
          </cell>
          <cell r="G390" t="str">
            <v>200112</v>
          </cell>
          <cell r="H390" t="str">
            <v>200112</v>
          </cell>
          <cell r="I390">
            <v>2200</v>
          </cell>
          <cell r="J390">
            <v>2183.3200000000002</v>
          </cell>
          <cell r="K390">
            <v>2200</v>
          </cell>
          <cell r="L390">
            <v>2183.3200000000002</v>
          </cell>
          <cell r="M390">
            <v>2200</v>
          </cell>
          <cell r="N390">
            <v>95</v>
          </cell>
          <cell r="O390">
            <v>2090</v>
          </cell>
          <cell r="P390">
            <v>-4.2742245754172616</v>
          </cell>
          <cell r="Q390" t="str">
            <v>武警内卫</v>
          </cell>
        </row>
        <row r="391">
          <cell r="B391" t="str">
            <v>001-0020122</v>
          </cell>
          <cell r="C391" t="str">
            <v>太阳能热水器</v>
          </cell>
          <cell r="D391" t="str">
            <v>1500/14-100</v>
          </cell>
          <cell r="E391" t="str">
            <v/>
          </cell>
          <cell r="F391" t="str">
            <v>台</v>
          </cell>
          <cell r="G391" t="str">
            <v>200112</v>
          </cell>
          <cell r="H391" t="str">
            <v>200112</v>
          </cell>
          <cell r="I391">
            <v>2200</v>
          </cell>
          <cell r="J391">
            <v>2183.3200000000002</v>
          </cell>
          <cell r="K391">
            <v>2200</v>
          </cell>
          <cell r="L391">
            <v>2183.3200000000002</v>
          </cell>
          <cell r="M391">
            <v>2200</v>
          </cell>
          <cell r="N391">
            <v>95</v>
          </cell>
          <cell r="O391">
            <v>2090</v>
          </cell>
          <cell r="P391">
            <v>-4.2742245754172616</v>
          </cell>
          <cell r="Q391" t="str">
            <v>武警内卫</v>
          </cell>
        </row>
        <row r="392">
          <cell r="B392" t="str">
            <v>001-0003784</v>
          </cell>
          <cell r="C392" t="str">
            <v>厨用排烟机</v>
          </cell>
          <cell r="D392" t="str">
            <v>5M×1.5M×2.3M  1.5KW</v>
          </cell>
          <cell r="E392" t="str">
            <v/>
          </cell>
          <cell r="F392" t="str">
            <v>套</v>
          </cell>
          <cell r="G392" t="str">
            <v>199106</v>
          </cell>
          <cell r="H392" t="str">
            <v>199106</v>
          </cell>
          <cell r="I392">
            <v>2613.46</v>
          </cell>
          <cell r="J392">
            <v>607.5</v>
          </cell>
          <cell r="K392">
            <v>2613.46</v>
          </cell>
          <cell r="L392">
            <v>607.5</v>
          </cell>
          <cell r="M392">
            <v>3200</v>
          </cell>
          <cell r="N392">
            <v>15</v>
          </cell>
          <cell r="O392">
            <v>480</v>
          </cell>
          <cell r="P392">
            <v>-20.987654320987652</v>
          </cell>
          <cell r="Q392" t="str">
            <v>武警消防</v>
          </cell>
        </row>
        <row r="393">
          <cell r="B393" t="str">
            <v>001-0004713</v>
          </cell>
          <cell r="C393" t="str">
            <v>茶水炉</v>
          </cell>
          <cell r="D393" t="str">
            <v>0.6T</v>
          </cell>
          <cell r="F393" t="str">
            <v>台</v>
          </cell>
          <cell r="G393" t="str">
            <v>199208</v>
          </cell>
          <cell r="H393" t="str">
            <v>199208</v>
          </cell>
          <cell r="I393">
            <v>4315.4399999999996</v>
          </cell>
          <cell r="J393">
            <v>2433.7399999999998</v>
          </cell>
          <cell r="K393">
            <v>4315.4399999999996</v>
          </cell>
          <cell r="L393">
            <v>2433.7399999999998</v>
          </cell>
          <cell r="M393">
            <v>5100</v>
          </cell>
          <cell r="N393">
            <v>40</v>
          </cell>
          <cell r="O393">
            <v>2040</v>
          </cell>
          <cell r="P393">
            <v>-16.178392104333241</v>
          </cell>
          <cell r="Q393" t="str">
            <v>武警消防</v>
          </cell>
        </row>
        <row r="394">
          <cell r="B394" t="str">
            <v>001-0004714</v>
          </cell>
          <cell r="C394" t="str">
            <v>茶水炉</v>
          </cell>
          <cell r="D394" t="str">
            <v>0.6T</v>
          </cell>
          <cell r="F394" t="str">
            <v>台</v>
          </cell>
          <cell r="G394" t="str">
            <v>199208</v>
          </cell>
          <cell r="H394" t="str">
            <v>199208</v>
          </cell>
          <cell r="I394">
            <v>4315.4399999999996</v>
          </cell>
          <cell r="J394">
            <v>2433.7399999999998</v>
          </cell>
          <cell r="K394">
            <v>4315.4399999999996</v>
          </cell>
          <cell r="L394">
            <v>2433.7399999999998</v>
          </cell>
          <cell r="M394">
            <v>5100</v>
          </cell>
          <cell r="N394">
            <v>40</v>
          </cell>
          <cell r="O394">
            <v>2040</v>
          </cell>
          <cell r="P394">
            <v>-16.178392104333241</v>
          </cell>
          <cell r="Q394" t="str">
            <v>武警消防</v>
          </cell>
        </row>
        <row r="395">
          <cell r="B395" t="str">
            <v>001-0005252</v>
          </cell>
          <cell r="C395" t="str">
            <v>冰柜</v>
          </cell>
          <cell r="D395" t="str">
            <v>上海双叶1m3</v>
          </cell>
          <cell r="E395" t="str">
            <v/>
          </cell>
          <cell r="F395" t="str">
            <v>台</v>
          </cell>
          <cell r="G395" t="str">
            <v>199308</v>
          </cell>
          <cell r="H395" t="str">
            <v>199308</v>
          </cell>
          <cell r="I395">
            <v>8550</v>
          </cell>
          <cell r="J395">
            <v>3310.14</v>
          </cell>
          <cell r="K395">
            <v>8550</v>
          </cell>
          <cell r="L395">
            <v>3310.14</v>
          </cell>
          <cell r="M395">
            <v>8500</v>
          </cell>
          <cell r="N395">
            <v>25</v>
          </cell>
          <cell r="O395">
            <v>2125</v>
          </cell>
          <cell r="P395">
            <v>-35.803319497060542</v>
          </cell>
          <cell r="Q395" t="str">
            <v>武警消防</v>
          </cell>
        </row>
        <row r="396">
          <cell r="B396" t="str">
            <v>001-0005579</v>
          </cell>
          <cell r="C396" t="str">
            <v>空调</v>
          </cell>
          <cell r="D396" t="str">
            <v>迎春KC-20</v>
          </cell>
          <cell r="E396" t="str">
            <v/>
          </cell>
          <cell r="F396" t="str">
            <v>台</v>
          </cell>
          <cell r="G396" t="str">
            <v>199404</v>
          </cell>
          <cell r="H396" t="str">
            <v>199404</v>
          </cell>
          <cell r="I396">
            <v>3350</v>
          </cell>
          <cell r="J396">
            <v>1456.42</v>
          </cell>
          <cell r="K396">
            <v>3350</v>
          </cell>
          <cell r="L396">
            <v>1456.42</v>
          </cell>
          <cell r="M396">
            <v>1800</v>
          </cell>
          <cell r="N396">
            <v>15</v>
          </cell>
          <cell r="O396">
            <v>270</v>
          </cell>
          <cell r="P396">
            <v>-81.461391631534866</v>
          </cell>
          <cell r="Q396" t="str">
            <v>武警消防</v>
          </cell>
        </row>
        <row r="397">
          <cell r="B397" t="str">
            <v>001-0005580</v>
          </cell>
          <cell r="C397" t="str">
            <v>空调</v>
          </cell>
          <cell r="D397" t="str">
            <v>迎春KC-20</v>
          </cell>
          <cell r="E397" t="str">
            <v/>
          </cell>
          <cell r="F397" t="str">
            <v>台</v>
          </cell>
          <cell r="G397" t="str">
            <v>199404</v>
          </cell>
          <cell r="H397" t="str">
            <v>199404</v>
          </cell>
          <cell r="I397">
            <v>3350</v>
          </cell>
          <cell r="J397">
            <v>1456.42</v>
          </cell>
          <cell r="K397">
            <v>3350</v>
          </cell>
          <cell r="L397">
            <v>1456.42</v>
          </cell>
          <cell r="M397">
            <v>1800</v>
          </cell>
          <cell r="N397">
            <v>15</v>
          </cell>
          <cell r="O397">
            <v>270</v>
          </cell>
          <cell r="P397">
            <v>-81.461391631534866</v>
          </cell>
          <cell r="Q397" t="str">
            <v>武警消防</v>
          </cell>
        </row>
        <row r="398">
          <cell r="B398" t="str">
            <v>001-0005581</v>
          </cell>
          <cell r="C398" t="str">
            <v>空调</v>
          </cell>
          <cell r="D398" t="str">
            <v>迎春KC-20</v>
          </cell>
          <cell r="E398" t="str">
            <v/>
          </cell>
          <cell r="F398" t="str">
            <v>台</v>
          </cell>
          <cell r="G398" t="str">
            <v>199404</v>
          </cell>
          <cell r="H398" t="str">
            <v>199404</v>
          </cell>
          <cell r="I398">
            <v>3350</v>
          </cell>
          <cell r="J398">
            <v>1456.42</v>
          </cell>
          <cell r="K398">
            <v>3350</v>
          </cell>
          <cell r="L398">
            <v>1456.42</v>
          </cell>
          <cell r="M398">
            <v>1800</v>
          </cell>
          <cell r="N398">
            <v>15</v>
          </cell>
          <cell r="O398">
            <v>270</v>
          </cell>
          <cell r="P398">
            <v>-81.461391631534866</v>
          </cell>
          <cell r="Q398" t="str">
            <v>武警消防</v>
          </cell>
        </row>
        <row r="399">
          <cell r="B399" t="str">
            <v>001-0005582</v>
          </cell>
          <cell r="C399" t="str">
            <v>空调</v>
          </cell>
          <cell r="D399" t="str">
            <v>迎春KC-20</v>
          </cell>
          <cell r="E399" t="str">
            <v/>
          </cell>
          <cell r="F399" t="str">
            <v>台</v>
          </cell>
          <cell r="G399" t="str">
            <v>199404</v>
          </cell>
          <cell r="H399" t="str">
            <v>199404</v>
          </cell>
          <cell r="I399">
            <v>3350</v>
          </cell>
          <cell r="J399">
            <v>1456.42</v>
          </cell>
          <cell r="K399">
            <v>3350</v>
          </cell>
          <cell r="L399">
            <v>1456.42</v>
          </cell>
          <cell r="M399">
            <v>1800</v>
          </cell>
          <cell r="N399">
            <v>15</v>
          </cell>
          <cell r="O399">
            <v>270</v>
          </cell>
          <cell r="P399">
            <v>-81.461391631534866</v>
          </cell>
          <cell r="Q399" t="str">
            <v>武警消防</v>
          </cell>
        </row>
        <row r="400">
          <cell r="B400" t="str">
            <v>001-0005711</v>
          </cell>
          <cell r="C400" t="str">
            <v>打印机</v>
          </cell>
          <cell r="D400" t="str">
            <v>LQ-1600K</v>
          </cell>
          <cell r="E400" t="str">
            <v/>
          </cell>
          <cell r="F400" t="str">
            <v>台</v>
          </cell>
          <cell r="G400" t="str">
            <v>199405</v>
          </cell>
          <cell r="H400" t="str">
            <v>199405</v>
          </cell>
          <cell r="I400">
            <v>5000</v>
          </cell>
          <cell r="J400">
            <v>104.18</v>
          </cell>
          <cell r="K400">
            <v>5000</v>
          </cell>
          <cell r="L400">
            <v>104.18</v>
          </cell>
          <cell r="M400">
            <v>3200</v>
          </cell>
          <cell r="N400">
            <v>5</v>
          </cell>
          <cell r="O400">
            <v>160</v>
          </cell>
          <cell r="P400">
            <v>53.580341716260307</v>
          </cell>
          <cell r="Q400" t="str">
            <v>武警消防</v>
          </cell>
        </row>
        <row r="401">
          <cell r="B401" t="str">
            <v>001-0006986</v>
          </cell>
          <cell r="C401" t="str">
            <v>十功能健身器</v>
          </cell>
          <cell r="D401" t="str">
            <v/>
          </cell>
          <cell r="E401" t="str">
            <v/>
          </cell>
          <cell r="F401" t="str">
            <v>台</v>
          </cell>
          <cell r="G401" t="str">
            <v>199506</v>
          </cell>
          <cell r="H401" t="str">
            <v>199506</v>
          </cell>
          <cell r="I401">
            <v>23100</v>
          </cell>
          <cell r="J401">
            <v>11966.94</v>
          </cell>
          <cell r="K401">
            <v>23100</v>
          </cell>
          <cell r="L401">
            <v>11966.94</v>
          </cell>
          <cell r="M401">
            <v>4000</v>
          </cell>
          <cell r="N401">
            <v>40</v>
          </cell>
          <cell r="O401">
            <v>1600</v>
          </cell>
          <cell r="P401">
            <v>-86.629831853422843</v>
          </cell>
          <cell r="Q401" t="str">
            <v>武警消防</v>
          </cell>
        </row>
        <row r="402">
          <cell r="B402" t="str">
            <v>001-0006991</v>
          </cell>
          <cell r="C402" t="str">
            <v>电开水器</v>
          </cell>
          <cell r="D402" t="str">
            <v/>
          </cell>
          <cell r="E402" t="str">
            <v/>
          </cell>
          <cell r="F402" t="str">
            <v>台</v>
          </cell>
          <cell r="G402" t="str">
            <v>199506</v>
          </cell>
          <cell r="H402" t="str">
            <v>199506</v>
          </cell>
          <cell r="I402">
            <v>3740</v>
          </cell>
          <cell r="J402">
            <v>1937.51</v>
          </cell>
          <cell r="K402">
            <v>3740</v>
          </cell>
          <cell r="L402">
            <v>1937.51</v>
          </cell>
          <cell r="M402">
            <v>3200</v>
          </cell>
          <cell r="N402">
            <v>40</v>
          </cell>
          <cell r="O402">
            <v>1280</v>
          </cell>
          <cell r="P402">
            <v>-33.935824847355626</v>
          </cell>
          <cell r="Q402" t="str">
            <v>武警消防</v>
          </cell>
        </row>
        <row r="403">
          <cell r="B403" t="str">
            <v>001-0006992</v>
          </cell>
          <cell r="C403" t="str">
            <v>高泡发生器</v>
          </cell>
          <cell r="D403" t="str">
            <v>PFS3</v>
          </cell>
          <cell r="E403" t="str">
            <v/>
          </cell>
          <cell r="F403" t="str">
            <v>台</v>
          </cell>
          <cell r="G403" t="str">
            <v>199506</v>
          </cell>
          <cell r="H403" t="str">
            <v>199506</v>
          </cell>
          <cell r="I403">
            <v>9001.85</v>
          </cell>
          <cell r="J403">
            <v>4663.41</v>
          </cell>
          <cell r="K403">
            <v>9001.85</v>
          </cell>
          <cell r="L403">
            <v>4663.41</v>
          </cell>
          <cell r="M403">
            <v>11000</v>
          </cell>
          <cell r="N403">
            <v>40</v>
          </cell>
          <cell r="O403">
            <v>4400</v>
          </cell>
          <cell r="P403">
            <v>-5.6484418054599503</v>
          </cell>
          <cell r="Q403" t="str">
            <v>武警消防</v>
          </cell>
        </row>
        <row r="404">
          <cell r="B404" t="str">
            <v>001-0006993</v>
          </cell>
          <cell r="C404" t="str">
            <v>高泡发生器</v>
          </cell>
          <cell r="D404" t="str">
            <v>PFS3</v>
          </cell>
          <cell r="E404" t="str">
            <v/>
          </cell>
          <cell r="F404" t="str">
            <v>台</v>
          </cell>
          <cell r="G404" t="str">
            <v>199506</v>
          </cell>
          <cell r="H404" t="str">
            <v>199506</v>
          </cell>
          <cell r="I404">
            <v>9001.85</v>
          </cell>
          <cell r="J404">
            <v>4663.41</v>
          </cell>
          <cell r="K404">
            <v>9001.85</v>
          </cell>
          <cell r="L404">
            <v>4663.41</v>
          </cell>
          <cell r="M404">
            <v>11000</v>
          </cell>
          <cell r="N404">
            <v>40</v>
          </cell>
          <cell r="O404">
            <v>4400</v>
          </cell>
          <cell r="P404">
            <v>-5.6484418054599503</v>
          </cell>
          <cell r="Q404" t="str">
            <v>武警消防</v>
          </cell>
        </row>
        <row r="405">
          <cell r="B405" t="str">
            <v>001-0007325</v>
          </cell>
          <cell r="C405" t="str">
            <v>冰柜</v>
          </cell>
          <cell r="D405" t="str">
            <v>六门冷藏柜</v>
          </cell>
          <cell r="E405" t="str">
            <v/>
          </cell>
          <cell r="F405" t="str">
            <v>台</v>
          </cell>
          <cell r="G405" t="str">
            <v>199509</v>
          </cell>
          <cell r="H405" t="str">
            <v>199509</v>
          </cell>
          <cell r="I405">
            <v>13500</v>
          </cell>
          <cell r="J405">
            <v>7234.63</v>
          </cell>
          <cell r="K405">
            <v>13500</v>
          </cell>
          <cell r="L405">
            <v>7234.63</v>
          </cell>
          <cell r="M405">
            <v>13000</v>
          </cell>
          <cell r="N405">
            <v>50</v>
          </cell>
          <cell r="O405">
            <v>6500</v>
          </cell>
          <cell r="P405">
            <v>-10.154354818421952</v>
          </cell>
          <cell r="Q405" t="str">
            <v>武警消防</v>
          </cell>
        </row>
        <row r="406">
          <cell r="B406" t="str">
            <v>001-0007326</v>
          </cell>
          <cell r="C406" t="str">
            <v>冰柜</v>
          </cell>
          <cell r="D406" t="str">
            <v>六门冷藏柜</v>
          </cell>
          <cell r="E406" t="str">
            <v/>
          </cell>
          <cell r="F406" t="str">
            <v>台</v>
          </cell>
          <cell r="G406" t="str">
            <v>199509</v>
          </cell>
          <cell r="H406" t="str">
            <v>199509</v>
          </cell>
          <cell r="I406">
            <v>13500</v>
          </cell>
          <cell r="J406">
            <v>7234.63</v>
          </cell>
          <cell r="K406">
            <v>13500</v>
          </cell>
          <cell r="L406">
            <v>7234.63</v>
          </cell>
          <cell r="M406">
            <v>13000</v>
          </cell>
          <cell r="N406">
            <v>50</v>
          </cell>
          <cell r="O406">
            <v>6500</v>
          </cell>
          <cell r="P406">
            <v>-10.154354818421952</v>
          </cell>
          <cell r="Q406" t="str">
            <v>武警消防</v>
          </cell>
        </row>
        <row r="407">
          <cell r="B407" t="str">
            <v>001-0007699</v>
          </cell>
          <cell r="C407" t="str">
            <v>消防排烟机</v>
          </cell>
          <cell r="D407" t="str">
            <v/>
          </cell>
          <cell r="E407" t="str">
            <v/>
          </cell>
          <cell r="F407" t="str">
            <v>台</v>
          </cell>
          <cell r="G407" t="str">
            <v>199602</v>
          </cell>
          <cell r="H407" t="str">
            <v>199602</v>
          </cell>
          <cell r="I407">
            <v>21000</v>
          </cell>
          <cell r="J407">
            <v>11878.65</v>
          </cell>
          <cell r="K407">
            <v>21000</v>
          </cell>
          <cell r="L407">
            <v>11878.65</v>
          </cell>
          <cell r="M407">
            <v>21000</v>
          </cell>
          <cell r="N407">
            <v>40</v>
          </cell>
          <cell r="O407">
            <v>8400</v>
          </cell>
          <cell r="P407">
            <v>-29.284893485370812</v>
          </cell>
          <cell r="Q407" t="str">
            <v>武警消防</v>
          </cell>
        </row>
        <row r="408">
          <cell r="B408" t="str">
            <v>001-0007700</v>
          </cell>
          <cell r="C408" t="str">
            <v>消防排烟机</v>
          </cell>
          <cell r="D408" t="str">
            <v/>
          </cell>
          <cell r="E408" t="str">
            <v/>
          </cell>
          <cell r="F408" t="str">
            <v>台</v>
          </cell>
          <cell r="G408" t="str">
            <v>199602</v>
          </cell>
          <cell r="H408" t="str">
            <v>199602</v>
          </cell>
          <cell r="I408">
            <v>21000</v>
          </cell>
          <cell r="J408">
            <v>11878.65</v>
          </cell>
          <cell r="K408">
            <v>21000</v>
          </cell>
          <cell r="L408">
            <v>11878.65</v>
          </cell>
          <cell r="M408">
            <v>21000</v>
          </cell>
          <cell r="N408">
            <v>40</v>
          </cell>
          <cell r="O408">
            <v>8400</v>
          </cell>
          <cell r="P408">
            <v>-29.284893485370812</v>
          </cell>
          <cell r="Q408" t="str">
            <v>武警消防</v>
          </cell>
        </row>
        <row r="409">
          <cell r="B409" t="str">
            <v>001-0007862</v>
          </cell>
          <cell r="C409" t="str">
            <v>万燕镭射机</v>
          </cell>
          <cell r="D409" t="str">
            <v>CDK-320</v>
          </cell>
          <cell r="E409" t="str">
            <v/>
          </cell>
          <cell r="F409" t="str">
            <v>台</v>
          </cell>
          <cell r="G409" t="str">
            <v>199604</v>
          </cell>
          <cell r="H409" t="str">
            <v>199604</v>
          </cell>
          <cell r="I409">
            <v>3380</v>
          </cell>
          <cell r="J409">
            <v>1952.12</v>
          </cell>
          <cell r="K409">
            <v>3380</v>
          </cell>
          <cell r="L409">
            <v>1952.12</v>
          </cell>
          <cell r="M409">
            <v>1000</v>
          </cell>
          <cell r="N409">
            <v>15</v>
          </cell>
          <cell r="O409">
            <v>150</v>
          </cell>
          <cell r="P409">
            <v>-92.316046144704217</v>
          </cell>
          <cell r="Q409" t="str">
            <v>武警消防</v>
          </cell>
        </row>
        <row r="410">
          <cell r="B410" t="str">
            <v>001-0007863</v>
          </cell>
          <cell r="C410" t="str">
            <v>万燕镭射机</v>
          </cell>
          <cell r="D410" t="str">
            <v>CDK-320</v>
          </cell>
          <cell r="E410" t="str">
            <v/>
          </cell>
          <cell r="F410" t="str">
            <v>台</v>
          </cell>
          <cell r="G410" t="str">
            <v>199604</v>
          </cell>
          <cell r="H410" t="str">
            <v>199604</v>
          </cell>
          <cell r="I410">
            <v>3380</v>
          </cell>
          <cell r="J410">
            <v>1952.12</v>
          </cell>
          <cell r="K410">
            <v>3380</v>
          </cell>
          <cell r="L410">
            <v>1952.12</v>
          </cell>
          <cell r="M410">
            <v>1000</v>
          </cell>
          <cell r="N410">
            <v>15</v>
          </cell>
          <cell r="O410">
            <v>150</v>
          </cell>
          <cell r="P410">
            <v>-92.316046144704217</v>
          </cell>
          <cell r="Q410" t="str">
            <v>武警消防</v>
          </cell>
        </row>
        <row r="411">
          <cell r="B411" t="str">
            <v>001-0007864</v>
          </cell>
          <cell r="C411" t="str">
            <v>彩电</v>
          </cell>
          <cell r="D411" t="str">
            <v>三洋25＂</v>
          </cell>
          <cell r="E411" t="str">
            <v/>
          </cell>
          <cell r="F411" t="str">
            <v>台</v>
          </cell>
          <cell r="G411" t="str">
            <v>199604</v>
          </cell>
          <cell r="H411" t="str">
            <v>199604</v>
          </cell>
          <cell r="I411">
            <v>4650</v>
          </cell>
          <cell r="J411">
            <v>2685.6</v>
          </cell>
          <cell r="K411">
            <v>4650</v>
          </cell>
          <cell r="L411">
            <v>2685.6</v>
          </cell>
          <cell r="M411">
            <v>2000</v>
          </cell>
          <cell r="N411">
            <v>25</v>
          </cell>
          <cell r="O411">
            <v>500</v>
          </cell>
          <cell r="P411">
            <v>-81.382186476020252</v>
          </cell>
          <cell r="Q411" t="str">
            <v>武警消防</v>
          </cell>
        </row>
        <row r="412">
          <cell r="B412" t="str">
            <v>001-0007865</v>
          </cell>
          <cell r="C412" t="str">
            <v>彩电</v>
          </cell>
          <cell r="D412" t="str">
            <v>三洋25＂</v>
          </cell>
          <cell r="E412" t="str">
            <v/>
          </cell>
          <cell r="F412" t="str">
            <v>台</v>
          </cell>
          <cell r="G412" t="str">
            <v>199604</v>
          </cell>
          <cell r="H412" t="str">
            <v>199604</v>
          </cell>
          <cell r="I412">
            <v>4650</v>
          </cell>
          <cell r="J412">
            <v>2685.6</v>
          </cell>
          <cell r="K412">
            <v>4650</v>
          </cell>
          <cell r="L412">
            <v>2685.6</v>
          </cell>
          <cell r="M412">
            <v>2000</v>
          </cell>
          <cell r="N412">
            <v>25</v>
          </cell>
          <cell r="O412">
            <v>500</v>
          </cell>
          <cell r="P412">
            <v>-81.382186476020252</v>
          </cell>
          <cell r="Q412" t="str">
            <v>武警消防</v>
          </cell>
        </row>
        <row r="413">
          <cell r="B413" t="str">
            <v>001-0007880</v>
          </cell>
          <cell r="C413" t="str">
            <v>音箱</v>
          </cell>
          <cell r="D413" t="str">
            <v/>
          </cell>
          <cell r="E413" t="str">
            <v/>
          </cell>
          <cell r="F413" t="str">
            <v>台</v>
          </cell>
          <cell r="G413" t="str">
            <v>199604</v>
          </cell>
          <cell r="H413" t="str">
            <v>199604</v>
          </cell>
          <cell r="I413">
            <v>1500</v>
          </cell>
          <cell r="J413">
            <v>866.31</v>
          </cell>
          <cell r="K413">
            <v>1500</v>
          </cell>
          <cell r="L413">
            <v>866.31</v>
          </cell>
          <cell r="M413">
            <v>1000</v>
          </cell>
          <cell r="N413">
            <v>50</v>
          </cell>
          <cell r="O413">
            <v>500</v>
          </cell>
          <cell r="P413">
            <v>-42.283939929124678</v>
          </cell>
          <cell r="Q413" t="str">
            <v>武警消防</v>
          </cell>
        </row>
        <row r="414">
          <cell r="B414" t="str">
            <v>001-0007881</v>
          </cell>
          <cell r="C414" t="str">
            <v>音箱</v>
          </cell>
          <cell r="D414" t="str">
            <v/>
          </cell>
          <cell r="E414" t="str">
            <v/>
          </cell>
          <cell r="F414" t="str">
            <v>台</v>
          </cell>
          <cell r="G414" t="str">
            <v>199604</v>
          </cell>
          <cell r="H414" t="str">
            <v>199604</v>
          </cell>
          <cell r="I414">
            <v>1500</v>
          </cell>
          <cell r="J414">
            <v>866.31</v>
          </cell>
          <cell r="K414">
            <v>1500</v>
          </cell>
          <cell r="L414">
            <v>866.31</v>
          </cell>
          <cell r="M414">
            <v>1000</v>
          </cell>
          <cell r="N414">
            <v>50</v>
          </cell>
          <cell r="O414">
            <v>500</v>
          </cell>
          <cell r="P414">
            <v>-42.283939929124678</v>
          </cell>
          <cell r="Q414" t="str">
            <v>武警消防</v>
          </cell>
        </row>
        <row r="415">
          <cell r="B415" t="str">
            <v>001-0007882</v>
          </cell>
          <cell r="C415" t="str">
            <v>功放</v>
          </cell>
          <cell r="D415" t="str">
            <v>7070</v>
          </cell>
          <cell r="E415" t="str">
            <v/>
          </cell>
          <cell r="F415" t="str">
            <v>台</v>
          </cell>
          <cell r="G415" t="str">
            <v>199604</v>
          </cell>
          <cell r="H415" t="str">
            <v>199604</v>
          </cell>
          <cell r="I415">
            <v>1500</v>
          </cell>
          <cell r="J415">
            <v>866.31</v>
          </cell>
          <cell r="K415">
            <v>1500</v>
          </cell>
          <cell r="L415">
            <v>866.31</v>
          </cell>
          <cell r="M415">
            <v>1200</v>
          </cell>
          <cell r="N415">
            <v>50</v>
          </cell>
          <cell r="O415">
            <v>600</v>
          </cell>
          <cell r="P415">
            <v>-30.740727914949613</v>
          </cell>
          <cell r="Q415" t="str">
            <v>武警消防</v>
          </cell>
        </row>
        <row r="416">
          <cell r="B416" t="str">
            <v>001-0007883</v>
          </cell>
          <cell r="C416" t="str">
            <v>功放</v>
          </cell>
          <cell r="D416" t="str">
            <v>7070</v>
          </cell>
          <cell r="E416" t="str">
            <v/>
          </cell>
          <cell r="F416" t="str">
            <v>台</v>
          </cell>
          <cell r="G416" t="str">
            <v>199604</v>
          </cell>
          <cell r="H416" t="str">
            <v>199604</v>
          </cell>
          <cell r="I416">
            <v>1500</v>
          </cell>
          <cell r="J416">
            <v>866.31</v>
          </cell>
          <cell r="K416">
            <v>1500</v>
          </cell>
          <cell r="L416">
            <v>866.31</v>
          </cell>
          <cell r="M416">
            <v>1200</v>
          </cell>
          <cell r="N416">
            <v>50</v>
          </cell>
          <cell r="O416">
            <v>600</v>
          </cell>
          <cell r="P416">
            <v>-30.740727914949613</v>
          </cell>
          <cell r="Q416" t="str">
            <v>武警消防</v>
          </cell>
        </row>
        <row r="417">
          <cell r="B417" t="str">
            <v>001-0007884</v>
          </cell>
          <cell r="C417" t="str">
            <v>话筒</v>
          </cell>
          <cell r="D417" t="str">
            <v/>
          </cell>
          <cell r="E417" t="str">
            <v/>
          </cell>
          <cell r="F417" t="str">
            <v>台</v>
          </cell>
          <cell r="G417" t="str">
            <v>199604</v>
          </cell>
          <cell r="H417" t="str">
            <v>199604</v>
          </cell>
          <cell r="I417">
            <v>465</v>
          </cell>
          <cell r="J417">
            <v>268.55</v>
          </cell>
          <cell r="K417">
            <v>465</v>
          </cell>
          <cell r="L417">
            <v>268.55</v>
          </cell>
          <cell r="M417">
            <v>200</v>
          </cell>
          <cell r="N417">
            <v>15</v>
          </cell>
          <cell r="O417">
            <v>30</v>
          </cell>
          <cell r="P417">
            <v>-88.828895922547019</v>
          </cell>
          <cell r="Q417" t="str">
            <v>武警消防</v>
          </cell>
        </row>
        <row r="418">
          <cell r="B418" t="str">
            <v>001-0007885</v>
          </cell>
          <cell r="C418" t="str">
            <v>话筒</v>
          </cell>
          <cell r="D418" t="str">
            <v/>
          </cell>
          <cell r="E418" t="str">
            <v/>
          </cell>
          <cell r="F418" t="str">
            <v>台</v>
          </cell>
          <cell r="G418" t="str">
            <v>199604</v>
          </cell>
          <cell r="H418" t="str">
            <v>199604</v>
          </cell>
          <cell r="I418">
            <v>465</v>
          </cell>
          <cell r="J418">
            <v>268.55</v>
          </cell>
          <cell r="K418">
            <v>465</v>
          </cell>
          <cell r="L418">
            <v>268.55</v>
          </cell>
          <cell r="M418">
            <v>200</v>
          </cell>
          <cell r="N418">
            <v>15</v>
          </cell>
          <cell r="O418">
            <v>30</v>
          </cell>
          <cell r="P418">
            <v>-88.828895922547019</v>
          </cell>
          <cell r="Q418" t="str">
            <v>武警消防</v>
          </cell>
        </row>
        <row r="419">
          <cell r="B419" t="str">
            <v>001-0007886</v>
          </cell>
          <cell r="C419" t="str">
            <v>话筒</v>
          </cell>
          <cell r="D419" t="str">
            <v/>
          </cell>
          <cell r="E419" t="str">
            <v/>
          </cell>
          <cell r="F419" t="str">
            <v>台</v>
          </cell>
          <cell r="G419" t="str">
            <v>199604</v>
          </cell>
          <cell r="H419" t="str">
            <v>199604</v>
          </cell>
          <cell r="I419">
            <v>465</v>
          </cell>
          <cell r="J419">
            <v>268.55</v>
          </cell>
          <cell r="K419">
            <v>465</v>
          </cell>
          <cell r="L419">
            <v>268.55</v>
          </cell>
          <cell r="M419">
            <v>200</v>
          </cell>
          <cell r="N419">
            <v>15</v>
          </cell>
          <cell r="O419">
            <v>30</v>
          </cell>
          <cell r="P419">
            <v>-88.828895922547019</v>
          </cell>
          <cell r="Q419" t="str">
            <v>武警消防</v>
          </cell>
        </row>
        <row r="420">
          <cell r="B420" t="str">
            <v>001-0007887</v>
          </cell>
          <cell r="C420" t="str">
            <v>话筒</v>
          </cell>
          <cell r="D420" t="str">
            <v/>
          </cell>
          <cell r="E420" t="str">
            <v/>
          </cell>
          <cell r="F420" t="str">
            <v>台</v>
          </cell>
          <cell r="G420" t="str">
            <v>199604</v>
          </cell>
          <cell r="H420" t="str">
            <v>199604</v>
          </cell>
          <cell r="I420">
            <v>465</v>
          </cell>
          <cell r="J420">
            <v>268.55</v>
          </cell>
          <cell r="K420">
            <v>465</v>
          </cell>
          <cell r="L420">
            <v>268.55</v>
          </cell>
          <cell r="M420">
            <v>200</v>
          </cell>
          <cell r="N420">
            <v>15</v>
          </cell>
          <cell r="O420">
            <v>30</v>
          </cell>
          <cell r="P420">
            <v>-88.828895922547019</v>
          </cell>
          <cell r="Q420" t="str">
            <v>武警消防</v>
          </cell>
        </row>
        <row r="421">
          <cell r="B421" t="str">
            <v>001-0008025</v>
          </cell>
          <cell r="C421" t="str">
            <v>电动多功能绞肉机</v>
          </cell>
          <cell r="D421" t="str">
            <v/>
          </cell>
          <cell r="E421" t="str">
            <v/>
          </cell>
          <cell r="F421" t="str">
            <v>台</v>
          </cell>
          <cell r="G421" t="str">
            <v>199607</v>
          </cell>
          <cell r="H421" t="str">
            <v>199607</v>
          </cell>
          <cell r="I421">
            <v>3199.96</v>
          </cell>
          <cell r="J421">
            <v>2374.91</v>
          </cell>
          <cell r="K421">
            <v>3199.96</v>
          </cell>
          <cell r="L421">
            <v>2374.91</v>
          </cell>
          <cell r="M421">
            <v>3200</v>
          </cell>
          <cell r="N421">
            <v>40</v>
          </cell>
          <cell r="O421">
            <v>1280</v>
          </cell>
          <cell r="P421">
            <v>-46.103220753628555</v>
          </cell>
          <cell r="Q421" t="str">
            <v>武警消防</v>
          </cell>
        </row>
        <row r="422">
          <cell r="B422" t="str">
            <v>001-0008026</v>
          </cell>
          <cell r="C422" t="str">
            <v>电动多功能绞肉机</v>
          </cell>
          <cell r="D422" t="str">
            <v/>
          </cell>
          <cell r="E422" t="str">
            <v/>
          </cell>
          <cell r="F422" t="str">
            <v>台</v>
          </cell>
          <cell r="G422" t="str">
            <v>199607</v>
          </cell>
          <cell r="H422" t="str">
            <v>199607</v>
          </cell>
          <cell r="I422">
            <v>3199.96</v>
          </cell>
          <cell r="J422">
            <v>2374.91</v>
          </cell>
          <cell r="K422">
            <v>3199.96</v>
          </cell>
          <cell r="L422">
            <v>2374.91</v>
          </cell>
          <cell r="M422">
            <v>3200</v>
          </cell>
          <cell r="N422">
            <v>40</v>
          </cell>
          <cell r="O422">
            <v>1280</v>
          </cell>
          <cell r="P422">
            <v>-46.103220753628555</v>
          </cell>
          <cell r="Q422" t="str">
            <v>武警消防</v>
          </cell>
        </row>
        <row r="423">
          <cell r="B423" t="str">
            <v>001-0008109</v>
          </cell>
          <cell r="C423" t="str">
            <v>空调</v>
          </cell>
          <cell r="D423" t="str">
            <v>美的KCR-35C</v>
          </cell>
          <cell r="E423" t="str">
            <v/>
          </cell>
          <cell r="F423" t="str">
            <v>台</v>
          </cell>
          <cell r="G423" t="str">
            <v>199607</v>
          </cell>
          <cell r="H423" t="str">
            <v>199607</v>
          </cell>
          <cell r="I423">
            <v>3500</v>
          </cell>
          <cell r="J423">
            <v>2083.88</v>
          </cell>
          <cell r="K423">
            <v>3500</v>
          </cell>
          <cell r="L423">
            <v>2083.88</v>
          </cell>
          <cell r="M423">
            <v>3000</v>
          </cell>
          <cell r="N423">
            <v>15</v>
          </cell>
          <cell r="O423">
            <v>450</v>
          </cell>
          <cell r="P423">
            <v>-78.405666353148945</v>
          </cell>
          <cell r="Q423" t="str">
            <v>武警消防</v>
          </cell>
        </row>
        <row r="424">
          <cell r="B424" t="str">
            <v>001-0008117</v>
          </cell>
          <cell r="C424" t="str">
            <v>功放机</v>
          </cell>
          <cell r="D424" t="str">
            <v>东方</v>
          </cell>
          <cell r="E424" t="str">
            <v/>
          </cell>
          <cell r="F424" t="str">
            <v>台</v>
          </cell>
          <cell r="G424" t="str">
            <v>199607</v>
          </cell>
          <cell r="H424" t="str">
            <v>199607</v>
          </cell>
          <cell r="I424">
            <v>4373.33</v>
          </cell>
          <cell r="J424">
            <v>1275.54</v>
          </cell>
          <cell r="K424">
            <v>4373.33</v>
          </cell>
          <cell r="L424">
            <v>1275.54</v>
          </cell>
          <cell r="M424">
            <v>3200</v>
          </cell>
          <cell r="N424">
            <v>25</v>
          </cell>
          <cell r="O424">
            <v>800</v>
          </cell>
          <cell r="P424">
            <v>-37.281465104975148</v>
          </cell>
          <cell r="Q424" t="str">
            <v>武警消防</v>
          </cell>
        </row>
        <row r="425">
          <cell r="B425" t="str">
            <v>001-0008118</v>
          </cell>
          <cell r="C425" t="str">
            <v>兼容机</v>
          </cell>
          <cell r="D425" t="str">
            <v>三星.</v>
          </cell>
          <cell r="E425" t="str">
            <v/>
          </cell>
          <cell r="F425" t="str">
            <v>台</v>
          </cell>
          <cell r="G425" t="str">
            <v>199607</v>
          </cell>
          <cell r="H425" t="str">
            <v>199607</v>
          </cell>
          <cell r="I425">
            <v>4373.34</v>
          </cell>
          <cell r="J425">
            <v>1275.54</v>
          </cell>
          <cell r="K425">
            <v>4373.34</v>
          </cell>
          <cell r="L425">
            <v>1275.54</v>
          </cell>
          <cell r="M425">
            <v>3200</v>
          </cell>
          <cell r="N425">
            <v>25</v>
          </cell>
          <cell r="O425">
            <v>800</v>
          </cell>
          <cell r="P425">
            <v>-37.281465104975148</v>
          </cell>
          <cell r="Q425" t="str">
            <v>武警消防</v>
          </cell>
        </row>
        <row r="426">
          <cell r="B426" t="str">
            <v>001-0008119</v>
          </cell>
          <cell r="C426" t="str">
            <v>彩电</v>
          </cell>
          <cell r="D426" t="str">
            <v>康佳</v>
          </cell>
          <cell r="E426" t="str">
            <v/>
          </cell>
          <cell r="F426" t="str">
            <v>台</v>
          </cell>
          <cell r="G426" t="str">
            <v>199607</v>
          </cell>
          <cell r="H426" t="str">
            <v>199607</v>
          </cell>
          <cell r="I426">
            <v>4373.33</v>
          </cell>
          <cell r="J426">
            <v>1275.54</v>
          </cell>
          <cell r="K426">
            <v>4373.33</v>
          </cell>
          <cell r="L426">
            <v>1275.54</v>
          </cell>
          <cell r="M426">
            <v>2000</v>
          </cell>
          <cell r="N426">
            <v>40</v>
          </cell>
          <cell r="O426">
            <v>800</v>
          </cell>
          <cell r="P426">
            <v>-37.281465104975148</v>
          </cell>
          <cell r="Q426" t="str">
            <v>武警消防</v>
          </cell>
        </row>
        <row r="427">
          <cell r="B427" t="str">
            <v>001-0008638</v>
          </cell>
          <cell r="C427" t="str">
            <v>高泡发生器</v>
          </cell>
          <cell r="D427" t="str">
            <v>PFS4</v>
          </cell>
          <cell r="E427" t="str">
            <v/>
          </cell>
          <cell r="F427" t="str">
            <v>台</v>
          </cell>
          <cell r="G427" t="str">
            <v>199612</v>
          </cell>
          <cell r="H427" t="str">
            <v>199612</v>
          </cell>
          <cell r="I427">
            <v>15120</v>
          </cell>
          <cell r="J427">
            <v>9452.2800000000007</v>
          </cell>
          <cell r="K427">
            <v>15120</v>
          </cell>
          <cell r="L427">
            <v>9452.2800000000007</v>
          </cell>
          <cell r="M427">
            <v>17000</v>
          </cell>
          <cell r="N427">
            <v>60</v>
          </cell>
          <cell r="O427">
            <v>10200</v>
          </cell>
          <cell r="P427">
            <v>7.9104723939620838</v>
          </cell>
          <cell r="Q427" t="str">
            <v>武警消防</v>
          </cell>
        </row>
        <row r="428">
          <cell r="B428" t="str">
            <v>001-0008639</v>
          </cell>
          <cell r="C428" t="str">
            <v>破折工具</v>
          </cell>
          <cell r="D428" t="str">
            <v>德国“乐凯”RS1</v>
          </cell>
          <cell r="E428" t="str">
            <v/>
          </cell>
          <cell r="F428" t="str">
            <v>台</v>
          </cell>
          <cell r="G428" t="str">
            <v>199612</v>
          </cell>
          <cell r="H428" t="str">
            <v>199612</v>
          </cell>
          <cell r="I428">
            <v>138240</v>
          </cell>
          <cell r="J428">
            <v>86420.73</v>
          </cell>
          <cell r="K428">
            <v>138240</v>
          </cell>
          <cell r="L428">
            <v>86420.73</v>
          </cell>
          <cell r="M428">
            <v>130000</v>
          </cell>
          <cell r="N428">
            <v>60</v>
          </cell>
          <cell r="O428">
            <v>78000</v>
          </cell>
          <cell r="P428">
            <v>-9.7438774238542027</v>
          </cell>
          <cell r="Q428" t="str">
            <v>武警消防</v>
          </cell>
        </row>
        <row r="429">
          <cell r="B429" t="str">
            <v>001-0008640</v>
          </cell>
          <cell r="C429" t="str">
            <v>万能切割机</v>
          </cell>
          <cell r="D429" t="str">
            <v>瑞士“伙计”K650</v>
          </cell>
          <cell r="E429" t="str">
            <v/>
          </cell>
          <cell r="F429" t="str">
            <v>台</v>
          </cell>
          <cell r="G429" t="str">
            <v>199612</v>
          </cell>
          <cell r="H429" t="str">
            <v>199612</v>
          </cell>
          <cell r="I429">
            <v>16200</v>
          </cell>
          <cell r="J429">
            <v>10127.43</v>
          </cell>
          <cell r="K429">
            <v>16200</v>
          </cell>
          <cell r="L429">
            <v>10127.43</v>
          </cell>
          <cell r="M429">
            <v>16000</v>
          </cell>
          <cell r="N429">
            <v>60</v>
          </cell>
          <cell r="O429">
            <v>9600</v>
          </cell>
          <cell r="P429">
            <v>-5.2079352807178152</v>
          </cell>
          <cell r="Q429" t="str">
            <v>武警消防</v>
          </cell>
        </row>
        <row r="430">
          <cell r="B430" t="str">
            <v>001-0008651</v>
          </cell>
          <cell r="C430" t="str">
            <v>冷柜</v>
          </cell>
          <cell r="D430" t="str">
            <v>海尔   188L</v>
          </cell>
          <cell r="E430" t="str">
            <v/>
          </cell>
          <cell r="F430" t="str">
            <v>台</v>
          </cell>
          <cell r="G430" t="str">
            <v>199612</v>
          </cell>
          <cell r="H430" t="str">
            <v>199612</v>
          </cell>
          <cell r="I430">
            <v>2600</v>
          </cell>
          <cell r="J430">
            <v>1978.92</v>
          </cell>
          <cell r="K430">
            <v>2600</v>
          </cell>
          <cell r="L430">
            <v>1978.92</v>
          </cell>
          <cell r="M430">
            <v>2000</v>
          </cell>
          <cell r="N430">
            <v>40</v>
          </cell>
          <cell r="O430">
            <v>800</v>
          </cell>
          <cell r="P430">
            <v>-59.573909000869165</v>
          </cell>
          <cell r="Q430" t="str">
            <v>武警消防</v>
          </cell>
        </row>
        <row r="431">
          <cell r="B431" t="str">
            <v>001-0008652</v>
          </cell>
          <cell r="C431" t="str">
            <v>山东蒸饭车</v>
          </cell>
          <cell r="D431" t="str">
            <v>50型</v>
          </cell>
          <cell r="E431" t="str">
            <v/>
          </cell>
          <cell r="F431" t="str">
            <v>台</v>
          </cell>
          <cell r="G431" t="str">
            <v>199612</v>
          </cell>
          <cell r="H431" t="str">
            <v>199612</v>
          </cell>
          <cell r="I431">
            <v>3500</v>
          </cell>
          <cell r="J431">
            <v>2663.94</v>
          </cell>
          <cell r="K431">
            <v>3500</v>
          </cell>
          <cell r="L431">
            <v>2663.94</v>
          </cell>
          <cell r="M431">
            <v>3400</v>
          </cell>
          <cell r="N431">
            <v>40</v>
          </cell>
          <cell r="O431">
            <v>1360</v>
          </cell>
          <cell r="P431">
            <v>-48.947799124604906</v>
          </cell>
          <cell r="Q431" t="str">
            <v>武警消防</v>
          </cell>
        </row>
        <row r="432">
          <cell r="B432" t="str">
            <v>001-0008653</v>
          </cell>
          <cell r="C432" t="str">
            <v>武汉柴油灶</v>
          </cell>
          <cell r="D432" t="str">
            <v>50型</v>
          </cell>
          <cell r="E432" t="str">
            <v/>
          </cell>
          <cell r="F432" t="str">
            <v>台</v>
          </cell>
          <cell r="G432" t="str">
            <v>199612</v>
          </cell>
          <cell r="H432" t="str">
            <v>199612</v>
          </cell>
          <cell r="I432">
            <v>5800</v>
          </cell>
          <cell r="J432">
            <v>4414.53</v>
          </cell>
          <cell r="K432">
            <v>5800</v>
          </cell>
          <cell r="L432">
            <v>4414.53</v>
          </cell>
          <cell r="M432">
            <v>5300</v>
          </cell>
          <cell r="N432">
            <v>40</v>
          </cell>
          <cell r="O432">
            <v>2120</v>
          </cell>
          <cell r="P432">
            <v>-51.976767628716978</v>
          </cell>
          <cell r="Q432" t="str">
            <v>武警消防</v>
          </cell>
        </row>
        <row r="433">
          <cell r="B433" t="str">
            <v>001-0008687</v>
          </cell>
          <cell r="C433" t="str">
            <v>和面机</v>
          </cell>
          <cell r="D433" t="str">
            <v>WH 50型</v>
          </cell>
          <cell r="E433" t="str">
            <v/>
          </cell>
          <cell r="F433" t="str">
            <v>台</v>
          </cell>
          <cell r="G433" t="str">
            <v>199705</v>
          </cell>
          <cell r="H433" t="str">
            <v>199705</v>
          </cell>
          <cell r="I433">
            <v>3300</v>
          </cell>
          <cell r="J433">
            <v>2574.2800000000002</v>
          </cell>
          <cell r="K433">
            <v>3300</v>
          </cell>
          <cell r="L433">
            <v>2574.2800000000002</v>
          </cell>
          <cell r="M433">
            <v>3000</v>
          </cell>
          <cell r="N433">
            <v>45</v>
          </cell>
          <cell r="O433">
            <v>1350</v>
          </cell>
          <cell r="P433">
            <v>-47.558152182357787</v>
          </cell>
          <cell r="Q433" t="str">
            <v>武警消防</v>
          </cell>
        </row>
        <row r="434">
          <cell r="B434" t="str">
            <v>001-0008688</v>
          </cell>
          <cell r="C434" t="str">
            <v>双眼燃气灶</v>
          </cell>
          <cell r="D434" t="str">
            <v>CLC-2-100</v>
          </cell>
          <cell r="E434" t="str">
            <v/>
          </cell>
          <cell r="F434" t="str">
            <v>台</v>
          </cell>
          <cell r="G434" t="str">
            <v>199705</v>
          </cell>
          <cell r="H434" t="str">
            <v>199705</v>
          </cell>
          <cell r="I434">
            <v>6800</v>
          </cell>
          <cell r="J434">
            <v>5304.58</v>
          </cell>
          <cell r="K434">
            <v>6800</v>
          </cell>
          <cell r="L434">
            <v>5304.58</v>
          </cell>
          <cell r="M434">
            <v>6200</v>
          </cell>
          <cell r="N434">
            <v>45</v>
          </cell>
          <cell r="O434">
            <v>2790</v>
          </cell>
          <cell r="P434">
            <v>-47.403941499609772</v>
          </cell>
          <cell r="Q434" t="str">
            <v>武警消防</v>
          </cell>
        </row>
        <row r="435">
          <cell r="B435" t="str">
            <v>001-0008689</v>
          </cell>
          <cell r="C435" t="str">
            <v>豆浆分离机</v>
          </cell>
          <cell r="D435" t="str">
            <v>150型</v>
          </cell>
          <cell r="E435" t="str">
            <v/>
          </cell>
          <cell r="F435" t="str">
            <v>台</v>
          </cell>
          <cell r="G435" t="str">
            <v>199705</v>
          </cell>
          <cell r="H435" t="str">
            <v>199705</v>
          </cell>
          <cell r="I435">
            <v>2000</v>
          </cell>
          <cell r="J435">
            <v>1560.18</v>
          </cell>
          <cell r="K435">
            <v>2000</v>
          </cell>
          <cell r="L435">
            <v>1560.18</v>
          </cell>
          <cell r="M435">
            <v>2000</v>
          </cell>
          <cell r="N435">
            <v>45</v>
          </cell>
          <cell r="O435">
            <v>900</v>
          </cell>
          <cell r="P435">
            <v>-42.314348344421795</v>
          </cell>
          <cell r="Q435" t="str">
            <v>武警消防</v>
          </cell>
        </row>
        <row r="436">
          <cell r="B436" t="str">
            <v>001-0008690</v>
          </cell>
          <cell r="C436" t="str">
            <v>全自动开水器</v>
          </cell>
          <cell r="D436" t="str">
            <v>ZDK12-1050</v>
          </cell>
          <cell r="E436" t="str">
            <v/>
          </cell>
          <cell r="F436" t="str">
            <v>台</v>
          </cell>
          <cell r="G436" t="str">
            <v>199705</v>
          </cell>
          <cell r="H436" t="str">
            <v>199705</v>
          </cell>
          <cell r="I436">
            <v>3500</v>
          </cell>
          <cell r="J436">
            <v>2730.29</v>
          </cell>
          <cell r="K436">
            <v>3500</v>
          </cell>
          <cell r="L436">
            <v>2730.29</v>
          </cell>
          <cell r="M436">
            <v>3500</v>
          </cell>
          <cell r="N436">
            <v>45</v>
          </cell>
          <cell r="O436">
            <v>1575</v>
          </cell>
          <cell r="P436">
            <v>-42.313820143647746</v>
          </cell>
          <cell r="Q436" t="str">
            <v>武警消防</v>
          </cell>
        </row>
        <row r="437">
          <cell r="B437" t="str">
            <v>001-0008964</v>
          </cell>
          <cell r="C437" t="str">
            <v>不锈钢压面机</v>
          </cell>
          <cell r="D437" t="str">
            <v>50KG</v>
          </cell>
          <cell r="E437" t="str">
            <v/>
          </cell>
          <cell r="F437" t="str">
            <v>台</v>
          </cell>
          <cell r="G437" t="str">
            <v>199712</v>
          </cell>
          <cell r="H437" t="str">
            <v>199712</v>
          </cell>
          <cell r="I437">
            <v>3432</v>
          </cell>
          <cell r="J437">
            <v>2768.34</v>
          </cell>
          <cell r="K437">
            <v>3432</v>
          </cell>
          <cell r="L437">
            <v>2768.34</v>
          </cell>
          <cell r="M437">
            <v>3400</v>
          </cell>
          <cell r="N437">
            <v>45</v>
          </cell>
          <cell r="O437">
            <v>1530</v>
          </cell>
          <cell r="P437">
            <v>-44.732222198140406</v>
          </cell>
          <cell r="Q437" t="str">
            <v>武警消防</v>
          </cell>
        </row>
        <row r="438">
          <cell r="B438" t="str">
            <v>001-0008965</v>
          </cell>
          <cell r="C438" t="str">
            <v>冷柜</v>
          </cell>
          <cell r="D438" t="str">
            <v>星星D16126</v>
          </cell>
          <cell r="E438" t="str">
            <v/>
          </cell>
          <cell r="F438" t="str">
            <v>台</v>
          </cell>
          <cell r="G438" t="str">
            <v>199712</v>
          </cell>
          <cell r="H438" t="str">
            <v>199712</v>
          </cell>
          <cell r="I438">
            <v>18000</v>
          </cell>
          <cell r="J438">
            <v>14519.25</v>
          </cell>
          <cell r="K438">
            <v>18000</v>
          </cell>
          <cell r="L438">
            <v>14519.25</v>
          </cell>
          <cell r="M438">
            <v>18000</v>
          </cell>
          <cell r="N438">
            <v>45</v>
          </cell>
          <cell r="O438">
            <v>8100</v>
          </cell>
          <cell r="P438">
            <v>-44.211994421199442</v>
          </cell>
          <cell r="Q438" t="str">
            <v>武警消防</v>
          </cell>
        </row>
        <row r="439">
          <cell r="B439" t="str">
            <v>001-0008966</v>
          </cell>
          <cell r="C439" t="str">
            <v>蒸饭车</v>
          </cell>
          <cell r="D439" t="str">
            <v>50KG</v>
          </cell>
          <cell r="E439" t="str">
            <v/>
          </cell>
          <cell r="F439" t="str">
            <v>台</v>
          </cell>
          <cell r="G439" t="str">
            <v>199712</v>
          </cell>
          <cell r="H439" t="str">
            <v>199712</v>
          </cell>
          <cell r="I439">
            <v>4800</v>
          </cell>
          <cell r="J439">
            <v>3871.8</v>
          </cell>
          <cell r="K439">
            <v>4800</v>
          </cell>
          <cell r="L439">
            <v>3871.8</v>
          </cell>
          <cell r="M439">
            <v>4800</v>
          </cell>
          <cell r="N439">
            <v>45</v>
          </cell>
          <cell r="O439">
            <v>2160</v>
          </cell>
          <cell r="P439">
            <v>-44.211994421199449</v>
          </cell>
          <cell r="Q439" t="str">
            <v>武警消防</v>
          </cell>
        </row>
        <row r="440">
          <cell r="B440" t="str">
            <v>001-0009714</v>
          </cell>
          <cell r="C440" t="str">
            <v>消防充气机</v>
          </cell>
          <cell r="D440" t="str">
            <v>AE2</v>
          </cell>
          <cell r="E440" t="str">
            <v/>
          </cell>
          <cell r="F440" t="str">
            <v>台</v>
          </cell>
          <cell r="G440" t="str">
            <v>199902</v>
          </cell>
          <cell r="H440" t="str">
            <v>199902</v>
          </cell>
          <cell r="I440">
            <v>61000</v>
          </cell>
          <cell r="J440">
            <v>47570.85</v>
          </cell>
          <cell r="K440">
            <v>61000</v>
          </cell>
          <cell r="L440">
            <v>47570.85</v>
          </cell>
          <cell r="M440">
            <v>58000</v>
          </cell>
          <cell r="N440">
            <v>80</v>
          </cell>
          <cell r="O440">
            <v>46400</v>
          </cell>
          <cell r="P440">
            <v>-2.4612761806862786</v>
          </cell>
          <cell r="Q440" t="str">
            <v>武警消防</v>
          </cell>
        </row>
        <row r="441">
          <cell r="B441" t="str">
            <v>001-0010077</v>
          </cell>
          <cell r="C441" t="str">
            <v>消防车</v>
          </cell>
          <cell r="D441" t="str">
            <v>SXF5190GXFPM70P</v>
          </cell>
          <cell r="E441" t="str">
            <v/>
          </cell>
          <cell r="F441" t="str">
            <v>台</v>
          </cell>
          <cell r="G441" t="str">
            <v>199907</v>
          </cell>
          <cell r="H441" t="str">
            <v>199907</v>
          </cell>
          <cell r="I441">
            <v>464280</v>
          </cell>
          <cell r="J441">
            <v>364243.15</v>
          </cell>
          <cell r="K441">
            <v>464280</v>
          </cell>
          <cell r="L441">
            <v>364243.15</v>
          </cell>
          <cell r="M441">
            <v>460000</v>
          </cell>
          <cell r="N441">
            <v>80</v>
          </cell>
          <cell r="O441">
            <v>368000</v>
          </cell>
          <cell r="P441">
            <v>1.0314126703549473</v>
          </cell>
          <cell r="Q441" t="str">
            <v>武警消防</v>
          </cell>
        </row>
        <row r="442">
          <cell r="B442" t="str">
            <v>001-0010079</v>
          </cell>
          <cell r="C442" t="str">
            <v>开水器</v>
          </cell>
          <cell r="D442" t="str">
            <v>粤进牌6KV</v>
          </cell>
          <cell r="E442" t="str">
            <v/>
          </cell>
          <cell r="F442" t="str">
            <v>台</v>
          </cell>
          <cell r="G442" t="str">
            <v>199907</v>
          </cell>
          <cell r="H442" t="str">
            <v>199907</v>
          </cell>
          <cell r="I442">
            <v>2200</v>
          </cell>
          <cell r="J442">
            <v>1781.12</v>
          </cell>
          <cell r="K442">
            <v>2200</v>
          </cell>
          <cell r="L442">
            <v>1781.12</v>
          </cell>
          <cell r="M442">
            <v>2000</v>
          </cell>
          <cell r="N442">
            <v>80</v>
          </cell>
          <cell r="O442">
            <v>1600</v>
          </cell>
          <cell r="P442">
            <v>-10.168882500898306</v>
          </cell>
          <cell r="Q442" t="str">
            <v>武警消防</v>
          </cell>
        </row>
        <row r="443">
          <cell r="B443" t="str">
            <v>001-0010127</v>
          </cell>
          <cell r="C443" t="str">
            <v>空调</v>
          </cell>
          <cell r="D443" t="str">
            <v>美的牌柜式5匹</v>
          </cell>
          <cell r="E443" t="str">
            <v/>
          </cell>
          <cell r="F443" t="str">
            <v>台</v>
          </cell>
          <cell r="G443" t="str">
            <v>199909</v>
          </cell>
          <cell r="H443" t="str">
            <v>199909</v>
          </cell>
          <cell r="I443">
            <v>11400</v>
          </cell>
          <cell r="J443">
            <v>9365.1</v>
          </cell>
          <cell r="K443">
            <v>11400</v>
          </cell>
          <cell r="L443">
            <v>9365.1</v>
          </cell>
          <cell r="M443">
            <v>8000</v>
          </cell>
          <cell r="N443">
            <v>65</v>
          </cell>
          <cell r="O443">
            <v>5200</v>
          </cell>
          <cell r="P443">
            <v>-44.474698615070849</v>
          </cell>
          <cell r="Q443" t="str">
            <v>武警消防</v>
          </cell>
        </row>
        <row r="444">
          <cell r="B444" t="str">
            <v>001-0010134</v>
          </cell>
          <cell r="C444" t="str">
            <v>空调</v>
          </cell>
          <cell r="D444" t="str">
            <v>华宝KFR-33GW</v>
          </cell>
          <cell r="E444" t="str">
            <v/>
          </cell>
          <cell r="F444" t="str">
            <v>台</v>
          </cell>
          <cell r="G444" t="str">
            <v>199909</v>
          </cell>
          <cell r="H444" t="str">
            <v>199909</v>
          </cell>
          <cell r="I444">
            <v>3783</v>
          </cell>
          <cell r="J444">
            <v>3107.73</v>
          </cell>
          <cell r="K444">
            <v>3783</v>
          </cell>
          <cell r="L444">
            <v>3107.73</v>
          </cell>
          <cell r="M444">
            <v>3000</v>
          </cell>
          <cell r="N444">
            <v>50</v>
          </cell>
          <cell r="O444">
            <v>1500</v>
          </cell>
          <cell r="P444">
            <v>-51.733258680773432</v>
          </cell>
          <cell r="Q444" t="str">
            <v>武警消防</v>
          </cell>
        </row>
        <row r="445">
          <cell r="B445" t="str">
            <v>001-0010135</v>
          </cell>
          <cell r="C445" t="str">
            <v>空调</v>
          </cell>
          <cell r="D445" t="str">
            <v>华宝KFR-71LW</v>
          </cell>
          <cell r="E445" t="str">
            <v/>
          </cell>
          <cell r="F445" t="str">
            <v>台</v>
          </cell>
          <cell r="G445" t="str">
            <v>199909</v>
          </cell>
          <cell r="H445" t="str">
            <v>199909</v>
          </cell>
          <cell r="I445">
            <v>6717</v>
          </cell>
          <cell r="J445">
            <v>5518.01</v>
          </cell>
          <cell r="K445">
            <v>6717</v>
          </cell>
          <cell r="L445">
            <v>5518.01</v>
          </cell>
          <cell r="M445">
            <v>6500</v>
          </cell>
          <cell r="N445">
            <v>60</v>
          </cell>
          <cell r="O445">
            <v>3900</v>
          </cell>
          <cell r="P445">
            <v>-29.322346280633781</v>
          </cell>
          <cell r="Q445" t="str">
            <v>武警消防</v>
          </cell>
        </row>
        <row r="446">
          <cell r="B446" t="str">
            <v>001-0011133</v>
          </cell>
          <cell r="C446" t="str">
            <v>不锈钢食品柜</v>
          </cell>
          <cell r="D446" t="str">
            <v/>
          </cell>
          <cell r="E446" t="str">
            <v/>
          </cell>
          <cell r="F446" t="str">
            <v>台</v>
          </cell>
          <cell r="G446" t="str">
            <v>199912</v>
          </cell>
          <cell r="H446" t="str">
            <v>199912</v>
          </cell>
          <cell r="I446">
            <v>3400</v>
          </cell>
          <cell r="J446">
            <v>3051.93</v>
          </cell>
          <cell r="K446">
            <v>3400</v>
          </cell>
          <cell r="L446">
            <v>3051.93</v>
          </cell>
          <cell r="M446">
            <v>3200</v>
          </cell>
          <cell r="N446">
            <v>80</v>
          </cell>
          <cell r="O446">
            <v>2560</v>
          </cell>
          <cell r="P446">
            <v>-16.11865278692499</v>
          </cell>
          <cell r="Q446" t="str">
            <v>武警消防</v>
          </cell>
        </row>
        <row r="447">
          <cell r="B447" t="str">
            <v>001-0011134</v>
          </cell>
          <cell r="C447" t="str">
            <v>不锈钢食品柜</v>
          </cell>
          <cell r="D447" t="str">
            <v/>
          </cell>
          <cell r="E447" t="str">
            <v/>
          </cell>
          <cell r="F447" t="str">
            <v>台</v>
          </cell>
          <cell r="G447" t="str">
            <v>199912</v>
          </cell>
          <cell r="H447" t="str">
            <v>199912</v>
          </cell>
          <cell r="I447">
            <v>3400</v>
          </cell>
          <cell r="J447">
            <v>3051.93</v>
          </cell>
          <cell r="K447">
            <v>3400</v>
          </cell>
          <cell r="L447">
            <v>3051.93</v>
          </cell>
          <cell r="M447">
            <v>3200</v>
          </cell>
          <cell r="N447">
            <v>80</v>
          </cell>
          <cell r="O447">
            <v>2560</v>
          </cell>
          <cell r="P447">
            <v>-16.11865278692499</v>
          </cell>
          <cell r="Q447" t="str">
            <v>武警消防</v>
          </cell>
        </row>
        <row r="448">
          <cell r="B448" t="str">
            <v>001-0011135</v>
          </cell>
          <cell r="C448" t="str">
            <v>不锈钢米面柜</v>
          </cell>
          <cell r="D448" t="str">
            <v/>
          </cell>
          <cell r="E448" t="str">
            <v/>
          </cell>
          <cell r="F448" t="str">
            <v>台</v>
          </cell>
          <cell r="G448" t="str">
            <v>199912</v>
          </cell>
          <cell r="H448" t="str">
            <v>199912</v>
          </cell>
          <cell r="I448">
            <v>5600</v>
          </cell>
          <cell r="J448">
            <v>5026.71</v>
          </cell>
          <cell r="K448">
            <v>5600</v>
          </cell>
          <cell r="L448">
            <v>5026.71</v>
          </cell>
          <cell r="M448">
            <v>5300</v>
          </cell>
          <cell r="N448">
            <v>80</v>
          </cell>
          <cell r="O448">
            <v>4240</v>
          </cell>
          <cell r="P448">
            <v>-15.650594524052512</v>
          </cell>
          <cell r="Q448" t="str">
            <v>武警消防</v>
          </cell>
        </row>
        <row r="449">
          <cell r="B449" t="str">
            <v>001-0011513</v>
          </cell>
          <cell r="C449" t="str">
            <v>计算机</v>
          </cell>
          <cell r="D449" t="str">
            <v>HP8188A</v>
          </cell>
          <cell r="E449" t="str">
            <v/>
          </cell>
          <cell r="F449" t="str">
            <v>台</v>
          </cell>
          <cell r="G449" t="str">
            <v>200009</v>
          </cell>
          <cell r="H449" t="str">
            <v>200009</v>
          </cell>
          <cell r="I449">
            <v>9050</v>
          </cell>
          <cell r="J449">
            <v>7692.49</v>
          </cell>
          <cell r="K449">
            <v>9050</v>
          </cell>
          <cell r="L449">
            <v>7692.49</v>
          </cell>
          <cell r="M449">
            <v>8000</v>
          </cell>
          <cell r="N449">
            <v>75</v>
          </cell>
          <cell r="O449">
            <v>6000</v>
          </cell>
          <cell r="P449">
            <v>-22.001848556189216</v>
          </cell>
          <cell r="Q449" t="str">
            <v>武警消防</v>
          </cell>
        </row>
        <row r="450">
          <cell r="B450" t="str">
            <v>001-0011533</v>
          </cell>
          <cell r="C450" t="str">
            <v>激光打印机</v>
          </cell>
          <cell r="D450" t="str">
            <v>联想6J6C+(Ⅱ)A3</v>
          </cell>
          <cell r="E450" t="str">
            <v/>
          </cell>
          <cell r="F450" t="str">
            <v>台</v>
          </cell>
          <cell r="G450" t="str">
            <v>200009</v>
          </cell>
          <cell r="H450" t="str">
            <v>200009</v>
          </cell>
          <cell r="I450">
            <v>8650</v>
          </cell>
          <cell r="J450">
            <v>7028.14</v>
          </cell>
          <cell r="K450">
            <v>8650</v>
          </cell>
          <cell r="L450">
            <v>7028.14</v>
          </cell>
          <cell r="M450">
            <v>6500</v>
          </cell>
          <cell r="N450">
            <v>80</v>
          </cell>
          <cell r="O450">
            <v>5200</v>
          </cell>
          <cell r="P450">
            <v>-26.011718605491641</v>
          </cell>
          <cell r="Q450" t="str">
            <v>武警消防</v>
          </cell>
        </row>
        <row r="451">
          <cell r="B451" t="str">
            <v>001-0011534</v>
          </cell>
          <cell r="C451" t="str">
            <v>柜式美的空调</v>
          </cell>
          <cell r="D451" t="str">
            <v>KFR-120</v>
          </cell>
          <cell r="E451" t="str">
            <v/>
          </cell>
          <cell r="F451" t="str">
            <v>台</v>
          </cell>
          <cell r="G451" t="str">
            <v>200009</v>
          </cell>
          <cell r="H451" t="str">
            <v>200009</v>
          </cell>
          <cell r="I451">
            <v>11000</v>
          </cell>
          <cell r="J451">
            <v>9821.9</v>
          </cell>
          <cell r="K451">
            <v>11000</v>
          </cell>
          <cell r="L451">
            <v>9821.9</v>
          </cell>
          <cell r="M451">
            <v>9000</v>
          </cell>
          <cell r="N451">
            <v>90</v>
          </cell>
          <cell r="O451">
            <v>8100</v>
          </cell>
          <cell r="P451">
            <v>-17.531231228173773</v>
          </cell>
          <cell r="Q451" t="str">
            <v>武警消防</v>
          </cell>
        </row>
        <row r="452">
          <cell r="B452" t="str">
            <v>001-0017527</v>
          </cell>
          <cell r="C452" t="str">
            <v>单双杠</v>
          </cell>
          <cell r="D452" t="str">
            <v/>
          </cell>
          <cell r="E452" t="str">
            <v/>
          </cell>
          <cell r="F452" t="str">
            <v>套</v>
          </cell>
          <cell r="G452" t="str">
            <v>199211</v>
          </cell>
          <cell r="H452" t="str">
            <v>199211</v>
          </cell>
          <cell r="I452">
            <v>2843.78</v>
          </cell>
          <cell r="J452">
            <v>948.68</v>
          </cell>
          <cell r="K452">
            <v>2843.78</v>
          </cell>
          <cell r="L452">
            <v>948.68</v>
          </cell>
          <cell r="M452">
            <v>3400</v>
          </cell>
          <cell r="N452">
            <v>15</v>
          </cell>
          <cell r="O452">
            <v>510</v>
          </cell>
          <cell r="P452">
            <v>-46.241092886958718</v>
          </cell>
          <cell r="Q452" t="str">
            <v>武警消防</v>
          </cell>
        </row>
        <row r="453">
          <cell r="B453" t="str">
            <v>001-0017528</v>
          </cell>
          <cell r="C453" t="str">
            <v>独木桥、障碍板</v>
          </cell>
          <cell r="D453" t="str">
            <v/>
          </cell>
          <cell r="E453" t="str">
            <v/>
          </cell>
          <cell r="F453" t="str">
            <v>台</v>
          </cell>
          <cell r="G453" t="str">
            <v>199211</v>
          </cell>
          <cell r="H453" t="str">
            <v>199211</v>
          </cell>
          <cell r="I453">
            <v>4265.6899999999996</v>
          </cell>
          <cell r="J453">
            <v>1423.04</v>
          </cell>
          <cell r="K453">
            <v>4265.6899999999996</v>
          </cell>
          <cell r="L453">
            <v>1423.04</v>
          </cell>
          <cell r="M453">
            <v>5000</v>
          </cell>
          <cell r="N453">
            <v>15</v>
          </cell>
          <cell r="O453">
            <v>750</v>
          </cell>
          <cell r="P453">
            <v>-47.295929840341799</v>
          </cell>
          <cell r="Q453" t="str">
            <v>武警消防</v>
          </cell>
        </row>
        <row r="454">
          <cell r="B454" t="str">
            <v>001-0017844</v>
          </cell>
          <cell r="C454" t="str">
            <v>不锈钢碗柜</v>
          </cell>
          <cell r="D454" t="str">
            <v/>
          </cell>
          <cell r="E454" t="str">
            <v/>
          </cell>
          <cell r="F454" t="str">
            <v>台</v>
          </cell>
          <cell r="G454" t="str">
            <v>200103</v>
          </cell>
          <cell r="H454" t="str">
            <v>200103</v>
          </cell>
          <cell r="I454">
            <v>6500</v>
          </cell>
          <cell r="J454">
            <v>6228.89</v>
          </cell>
          <cell r="K454">
            <v>6500</v>
          </cell>
          <cell r="L454">
            <v>6228.89</v>
          </cell>
          <cell r="M454">
            <v>6500</v>
          </cell>
          <cell r="N454">
            <v>90</v>
          </cell>
          <cell r="O454">
            <v>5850</v>
          </cell>
          <cell r="P454">
            <v>-6.0827852153433479</v>
          </cell>
          <cell r="Q454" t="str">
            <v>武警消防</v>
          </cell>
        </row>
        <row r="455">
          <cell r="B455" t="str">
            <v>001-0017845</v>
          </cell>
          <cell r="C455" t="str">
            <v>不锈钢碗柜</v>
          </cell>
          <cell r="D455" t="str">
            <v/>
          </cell>
          <cell r="E455" t="str">
            <v/>
          </cell>
          <cell r="F455" t="str">
            <v>台</v>
          </cell>
          <cell r="G455" t="str">
            <v>200103</v>
          </cell>
          <cell r="H455" t="str">
            <v>200103</v>
          </cell>
          <cell r="I455">
            <v>6500</v>
          </cell>
          <cell r="J455">
            <v>6228.89</v>
          </cell>
          <cell r="K455">
            <v>6500</v>
          </cell>
          <cell r="L455">
            <v>6228.89</v>
          </cell>
          <cell r="M455">
            <v>6500</v>
          </cell>
          <cell r="N455">
            <v>90</v>
          </cell>
          <cell r="O455">
            <v>5850</v>
          </cell>
          <cell r="P455">
            <v>-6.0827852153433479</v>
          </cell>
          <cell r="Q455" t="str">
            <v>武警消防</v>
          </cell>
        </row>
        <row r="456">
          <cell r="B456" t="str">
            <v>001-0017846</v>
          </cell>
          <cell r="C456" t="str">
            <v>不锈钢碗柜</v>
          </cell>
          <cell r="D456" t="str">
            <v/>
          </cell>
          <cell r="E456" t="str">
            <v/>
          </cell>
          <cell r="F456" t="str">
            <v>台</v>
          </cell>
          <cell r="G456" t="str">
            <v>200103</v>
          </cell>
          <cell r="H456" t="str">
            <v>200103</v>
          </cell>
          <cell r="I456">
            <v>6500</v>
          </cell>
          <cell r="J456">
            <v>6228.89</v>
          </cell>
          <cell r="K456">
            <v>6500</v>
          </cell>
          <cell r="L456">
            <v>6228.89</v>
          </cell>
          <cell r="M456">
            <v>6500</v>
          </cell>
          <cell r="N456">
            <v>90</v>
          </cell>
          <cell r="O456">
            <v>5850</v>
          </cell>
          <cell r="P456">
            <v>-6.0827852153433479</v>
          </cell>
          <cell r="Q456" t="str">
            <v>武警消防</v>
          </cell>
        </row>
        <row r="457">
          <cell r="B457" t="str">
            <v>001-0017847</v>
          </cell>
          <cell r="C457" t="str">
            <v>康成消毒柜</v>
          </cell>
          <cell r="D457" t="str">
            <v>380L</v>
          </cell>
          <cell r="E457" t="str">
            <v/>
          </cell>
          <cell r="F457" t="str">
            <v>台</v>
          </cell>
          <cell r="G457" t="str">
            <v>200103</v>
          </cell>
          <cell r="H457" t="str">
            <v>200103</v>
          </cell>
          <cell r="I457">
            <v>5600</v>
          </cell>
          <cell r="J457">
            <v>5366.44</v>
          </cell>
          <cell r="K457">
            <v>5600</v>
          </cell>
          <cell r="L457">
            <v>5366.44</v>
          </cell>
          <cell r="M457">
            <v>5000</v>
          </cell>
          <cell r="N457">
            <v>90</v>
          </cell>
          <cell r="O457">
            <v>4500</v>
          </cell>
          <cell r="P457">
            <v>-16.145526643361325</v>
          </cell>
          <cell r="Q457" t="str">
            <v>武警消防</v>
          </cell>
        </row>
        <row r="458">
          <cell r="B458" t="str">
            <v>001-0017848</v>
          </cell>
          <cell r="C458" t="str">
            <v>调料车</v>
          </cell>
          <cell r="D458" t="str">
            <v/>
          </cell>
          <cell r="E458" t="str">
            <v/>
          </cell>
          <cell r="F458" t="str">
            <v>台</v>
          </cell>
          <cell r="G458" t="str">
            <v>200103</v>
          </cell>
          <cell r="H458" t="str">
            <v>200103</v>
          </cell>
          <cell r="I458">
            <v>3400</v>
          </cell>
          <cell r="J458">
            <v>3258.19</v>
          </cell>
          <cell r="K458">
            <v>3400</v>
          </cell>
          <cell r="L458">
            <v>3258.19</v>
          </cell>
          <cell r="M458">
            <v>3000</v>
          </cell>
          <cell r="N458">
            <v>90</v>
          </cell>
          <cell r="O458">
            <v>2700</v>
          </cell>
          <cell r="P458">
            <v>-17.131904523677257</v>
          </cell>
          <cell r="Q458" t="str">
            <v>武警消防</v>
          </cell>
        </row>
        <row r="459">
          <cell r="B459" t="str">
            <v>001-0017849</v>
          </cell>
          <cell r="C459" t="str">
            <v>不锈钢茶具柜</v>
          </cell>
          <cell r="D459" t="str">
            <v>星星牌冷藏柜</v>
          </cell>
          <cell r="E459" t="str">
            <v/>
          </cell>
          <cell r="F459" t="str">
            <v>台</v>
          </cell>
          <cell r="G459" t="str">
            <v>200103</v>
          </cell>
          <cell r="H459" t="str">
            <v>200103</v>
          </cell>
          <cell r="I459">
            <v>5700</v>
          </cell>
          <cell r="J459">
            <v>5462.27</v>
          </cell>
          <cell r="K459">
            <v>5700</v>
          </cell>
          <cell r="L459">
            <v>5462.27</v>
          </cell>
          <cell r="M459">
            <v>5000</v>
          </cell>
          <cell r="N459">
            <v>90</v>
          </cell>
          <cell r="O459">
            <v>4500</v>
          </cell>
          <cell r="P459">
            <v>-17.616668527919717</v>
          </cell>
          <cell r="Q459" t="str">
            <v>武警消防</v>
          </cell>
        </row>
        <row r="460">
          <cell r="B460" t="str">
            <v>001-0018004</v>
          </cell>
          <cell r="C460" t="str">
            <v>空调</v>
          </cell>
          <cell r="D460" t="str">
            <v>海尔KFRD-71LW/E（F）</v>
          </cell>
          <cell r="E460" t="str">
            <v/>
          </cell>
          <cell r="F460" t="str">
            <v>台</v>
          </cell>
          <cell r="G460" t="str">
            <v>200107</v>
          </cell>
          <cell r="H460" t="str">
            <v>200107</v>
          </cell>
          <cell r="I460">
            <v>8195</v>
          </cell>
          <cell r="J460">
            <v>8195</v>
          </cell>
          <cell r="K460">
            <v>8195</v>
          </cell>
          <cell r="L460">
            <v>8195</v>
          </cell>
          <cell r="M460">
            <v>6500</v>
          </cell>
          <cell r="N460">
            <v>90</v>
          </cell>
          <cell r="O460">
            <v>5850</v>
          </cell>
          <cell r="P460">
            <v>-28.615009151921907</v>
          </cell>
          <cell r="Q460" t="str">
            <v>武警消防</v>
          </cell>
        </row>
        <row r="461">
          <cell r="B461" t="str">
            <v>001-0019031</v>
          </cell>
          <cell r="C461" t="str">
            <v>空调</v>
          </cell>
          <cell r="D461" t="str">
            <v/>
          </cell>
          <cell r="E461" t="str">
            <v/>
          </cell>
          <cell r="F461" t="str">
            <v>台</v>
          </cell>
          <cell r="G461" t="str">
            <v>200111</v>
          </cell>
          <cell r="H461" t="str">
            <v>200111</v>
          </cell>
          <cell r="I461">
            <v>461.75</v>
          </cell>
          <cell r="J461">
            <v>461.75</v>
          </cell>
          <cell r="K461">
            <v>461.75</v>
          </cell>
          <cell r="L461">
            <v>461.75</v>
          </cell>
          <cell r="M461">
            <v>460</v>
          </cell>
          <cell r="N461">
            <v>90</v>
          </cell>
          <cell r="O461">
            <v>414</v>
          </cell>
          <cell r="P461">
            <v>-10.341093665403358</v>
          </cell>
          <cell r="Q461" t="str">
            <v>武警消防</v>
          </cell>
        </row>
        <row r="462">
          <cell r="B462" t="str">
            <v>001-0019289</v>
          </cell>
          <cell r="C462" t="str">
            <v>脉冲水枪</v>
          </cell>
          <cell r="D462" t="str">
            <v>QWM1</v>
          </cell>
          <cell r="E462" t="str">
            <v/>
          </cell>
          <cell r="F462" t="str">
            <v>套</v>
          </cell>
          <cell r="G462" t="str">
            <v>200111</v>
          </cell>
          <cell r="H462" t="str">
            <v>200111</v>
          </cell>
          <cell r="I462">
            <v>23520</v>
          </cell>
          <cell r="J462">
            <v>23520</v>
          </cell>
          <cell r="K462">
            <v>23520</v>
          </cell>
          <cell r="L462">
            <v>23520</v>
          </cell>
          <cell r="M462">
            <v>23000</v>
          </cell>
          <cell r="N462">
            <v>95</v>
          </cell>
          <cell r="O462">
            <v>21850</v>
          </cell>
          <cell r="P462">
            <v>-7.1003401360544212</v>
          </cell>
          <cell r="Q462" t="str">
            <v>武警消防</v>
          </cell>
        </row>
        <row r="463">
          <cell r="B463" t="str">
            <v>001-0019290</v>
          </cell>
          <cell r="C463" t="str">
            <v>脉冲水枪</v>
          </cell>
          <cell r="D463" t="str">
            <v>QWM1</v>
          </cell>
          <cell r="E463" t="str">
            <v/>
          </cell>
          <cell r="F463" t="str">
            <v>套</v>
          </cell>
          <cell r="G463" t="str">
            <v>200111</v>
          </cell>
          <cell r="H463" t="str">
            <v>200111</v>
          </cell>
          <cell r="I463">
            <v>23520</v>
          </cell>
          <cell r="J463">
            <v>23520</v>
          </cell>
          <cell r="K463">
            <v>23520</v>
          </cell>
          <cell r="L463">
            <v>23520</v>
          </cell>
          <cell r="M463">
            <v>23000</v>
          </cell>
          <cell r="N463">
            <v>95</v>
          </cell>
          <cell r="O463">
            <v>21850</v>
          </cell>
          <cell r="P463">
            <v>-7.1003401360544212</v>
          </cell>
          <cell r="Q463" t="str">
            <v>武警消防</v>
          </cell>
        </row>
        <row r="464">
          <cell r="B464" t="str">
            <v>001-0019291</v>
          </cell>
          <cell r="C464" t="str">
            <v>脉冲水枪</v>
          </cell>
          <cell r="D464" t="str">
            <v>QWM1</v>
          </cell>
          <cell r="E464" t="str">
            <v/>
          </cell>
          <cell r="F464" t="str">
            <v>套</v>
          </cell>
          <cell r="G464" t="str">
            <v>200111</v>
          </cell>
          <cell r="H464" t="str">
            <v>200111</v>
          </cell>
          <cell r="I464">
            <v>23520</v>
          </cell>
          <cell r="J464">
            <v>23520</v>
          </cell>
          <cell r="K464">
            <v>23520</v>
          </cell>
          <cell r="L464">
            <v>23520</v>
          </cell>
          <cell r="M464">
            <v>23000</v>
          </cell>
          <cell r="N464">
            <v>95</v>
          </cell>
          <cell r="O464">
            <v>21850</v>
          </cell>
          <cell r="P464">
            <v>-7.1003401360544212</v>
          </cell>
          <cell r="Q464" t="str">
            <v>武警消防</v>
          </cell>
        </row>
        <row r="465">
          <cell r="B465" t="str">
            <v>001-0019292</v>
          </cell>
          <cell r="C465" t="str">
            <v>救生充气垫</v>
          </cell>
          <cell r="D465" t="str">
            <v>XJQD-30</v>
          </cell>
          <cell r="E465" t="str">
            <v/>
          </cell>
          <cell r="F465" t="str">
            <v>套</v>
          </cell>
          <cell r="G465" t="str">
            <v>200111</v>
          </cell>
          <cell r="H465" t="str">
            <v>200111</v>
          </cell>
          <cell r="I465">
            <v>50960</v>
          </cell>
          <cell r="J465">
            <v>50960</v>
          </cell>
          <cell r="K465">
            <v>50960</v>
          </cell>
          <cell r="L465">
            <v>50960</v>
          </cell>
          <cell r="M465">
            <v>50000</v>
          </cell>
          <cell r="N465">
            <v>95</v>
          </cell>
          <cell r="O465">
            <v>47500</v>
          </cell>
          <cell r="P465">
            <v>-6.7896389324960751</v>
          </cell>
          <cell r="Q465" t="str">
            <v>武警消防</v>
          </cell>
        </row>
        <row r="466">
          <cell r="B466" t="str">
            <v>001-0019293</v>
          </cell>
          <cell r="C466" t="str">
            <v>液压撬门器</v>
          </cell>
          <cell r="D466" t="str">
            <v>QMQ70-210A  SDB63AS</v>
          </cell>
          <cell r="E466" t="str">
            <v/>
          </cell>
          <cell r="F466" t="str">
            <v>套</v>
          </cell>
          <cell r="G466" t="str">
            <v>200111</v>
          </cell>
          <cell r="H466" t="str">
            <v>200111</v>
          </cell>
          <cell r="I466">
            <v>11760</v>
          </cell>
          <cell r="J466">
            <v>11760</v>
          </cell>
          <cell r="K466">
            <v>11760</v>
          </cell>
          <cell r="L466">
            <v>11760</v>
          </cell>
          <cell r="M466">
            <v>11700</v>
          </cell>
          <cell r="N466">
            <v>95</v>
          </cell>
          <cell r="O466">
            <v>11115</v>
          </cell>
          <cell r="P466">
            <v>-5.4846938775510203</v>
          </cell>
          <cell r="Q466" t="str">
            <v>武警消防</v>
          </cell>
        </row>
        <row r="467">
          <cell r="B467" t="str">
            <v>001-0019294</v>
          </cell>
          <cell r="C467" t="str">
            <v>红外线导向绳</v>
          </cell>
          <cell r="D467" t="str">
            <v>DDX-1  100m</v>
          </cell>
          <cell r="E467" t="str">
            <v/>
          </cell>
          <cell r="F467" t="str">
            <v>根</v>
          </cell>
          <cell r="G467" t="str">
            <v>200111</v>
          </cell>
          <cell r="H467" t="str">
            <v>200111</v>
          </cell>
          <cell r="I467">
            <v>3430</v>
          </cell>
          <cell r="J467">
            <v>3430</v>
          </cell>
          <cell r="K467">
            <v>3430</v>
          </cell>
          <cell r="L467">
            <v>3430</v>
          </cell>
          <cell r="M467">
            <v>3400</v>
          </cell>
          <cell r="N467">
            <v>95</v>
          </cell>
          <cell r="O467">
            <v>3230</v>
          </cell>
          <cell r="P467">
            <v>-5.8309037900874632</v>
          </cell>
          <cell r="Q467" t="str">
            <v>武警消防</v>
          </cell>
        </row>
        <row r="468">
          <cell r="B468" t="str">
            <v>001-0019295</v>
          </cell>
          <cell r="C468" t="str">
            <v>红外线导向绳</v>
          </cell>
          <cell r="D468" t="str">
            <v>DDX-1  100m</v>
          </cell>
          <cell r="E468" t="str">
            <v/>
          </cell>
          <cell r="F468" t="str">
            <v>根</v>
          </cell>
          <cell r="G468" t="str">
            <v>200111</v>
          </cell>
          <cell r="H468" t="str">
            <v>200111</v>
          </cell>
          <cell r="I468">
            <v>3430</v>
          </cell>
          <cell r="J468">
            <v>3430</v>
          </cell>
          <cell r="K468">
            <v>3430</v>
          </cell>
          <cell r="L468">
            <v>3430</v>
          </cell>
          <cell r="M468">
            <v>3400</v>
          </cell>
          <cell r="N468">
            <v>95</v>
          </cell>
          <cell r="O468">
            <v>3230</v>
          </cell>
          <cell r="P468">
            <v>-5.8309037900874632</v>
          </cell>
          <cell r="Q468" t="str">
            <v>武警消防</v>
          </cell>
        </row>
        <row r="469">
          <cell r="B469" t="str">
            <v>001-0019321</v>
          </cell>
          <cell r="C469" t="str">
            <v>彩电</v>
          </cell>
          <cell r="D469" t="str">
            <v>TCL3480</v>
          </cell>
          <cell r="E469" t="str">
            <v/>
          </cell>
          <cell r="F469" t="str">
            <v>台</v>
          </cell>
          <cell r="G469" t="str">
            <v>200111</v>
          </cell>
          <cell r="H469" t="str">
            <v>200111</v>
          </cell>
          <cell r="I469">
            <v>9000</v>
          </cell>
          <cell r="J469">
            <v>8718.75</v>
          </cell>
          <cell r="K469">
            <v>9000</v>
          </cell>
          <cell r="L469">
            <v>8718.75</v>
          </cell>
          <cell r="M469">
            <v>4500</v>
          </cell>
          <cell r="N469">
            <v>95</v>
          </cell>
          <cell r="O469">
            <v>4275</v>
          </cell>
          <cell r="P469">
            <v>-50.967741935483865</v>
          </cell>
          <cell r="Q469" t="str">
            <v>武警消防</v>
          </cell>
        </row>
        <row r="470">
          <cell r="B470" t="str">
            <v>001-0019967</v>
          </cell>
          <cell r="C470" t="str">
            <v>彩电</v>
          </cell>
          <cell r="D470" t="str">
            <v>飞力浦34</v>
          </cell>
          <cell r="E470" t="str">
            <v/>
          </cell>
          <cell r="F470" t="str">
            <v>台</v>
          </cell>
          <cell r="G470" t="str">
            <v>200112</v>
          </cell>
          <cell r="H470" t="str">
            <v>200112</v>
          </cell>
          <cell r="I470">
            <v>6500</v>
          </cell>
          <cell r="J470">
            <v>6364.58</v>
          </cell>
          <cell r="K470">
            <v>6500</v>
          </cell>
          <cell r="L470">
            <v>6364.58</v>
          </cell>
          <cell r="M470">
            <v>6500</v>
          </cell>
          <cell r="N470">
            <v>95</v>
          </cell>
          <cell r="O470">
            <v>6175</v>
          </cell>
          <cell r="P470">
            <v>-2.9786725911214869</v>
          </cell>
          <cell r="Q470" t="str">
            <v>武警消防</v>
          </cell>
        </row>
        <row r="471">
          <cell r="B471" t="str">
            <v>001-0019968</v>
          </cell>
          <cell r="C471" t="str">
            <v>彩电</v>
          </cell>
          <cell r="D471" t="str">
            <v>飞力浦34</v>
          </cell>
          <cell r="E471" t="str">
            <v/>
          </cell>
          <cell r="F471" t="str">
            <v>台</v>
          </cell>
          <cell r="G471" t="str">
            <v>200112</v>
          </cell>
          <cell r="H471" t="str">
            <v>200112</v>
          </cell>
          <cell r="I471">
            <v>6500</v>
          </cell>
          <cell r="J471">
            <v>6364.58</v>
          </cell>
          <cell r="K471">
            <v>6500</v>
          </cell>
          <cell r="L471">
            <v>6364.58</v>
          </cell>
          <cell r="M471">
            <v>6500</v>
          </cell>
          <cell r="N471">
            <v>95</v>
          </cell>
          <cell r="O471">
            <v>6175</v>
          </cell>
          <cell r="P471">
            <v>-2.9786725911214869</v>
          </cell>
          <cell r="Q471" t="str">
            <v>武警消防</v>
          </cell>
        </row>
        <row r="472">
          <cell r="B472" t="str">
            <v>001-0020049</v>
          </cell>
          <cell r="C472" t="str">
            <v>空调</v>
          </cell>
          <cell r="D472" t="str">
            <v>美的KFR-32220Y</v>
          </cell>
          <cell r="E472" t="str">
            <v/>
          </cell>
          <cell r="F472" t="str">
            <v>台</v>
          </cell>
          <cell r="G472" t="str">
            <v>200112</v>
          </cell>
          <cell r="H472" t="str">
            <v>200112</v>
          </cell>
          <cell r="I472">
            <v>2850</v>
          </cell>
          <cell r="J472">
            <v>2850</v>
          </cell>
          <cell r="K472">
            <v>2850</v>
          </cell>
          <cell r="L472">
            <v>2850</v>
          </cell>
          <cell r="M472">
            <v>2800</v>
          </cell>
          <cell r="N472">
            <v>95</v>
          </cell>
          <cell r="O472">
            <v>2660</v>
          </cell>
          <cell r="P472">
            <v>-6.666666666666667</v>
          </cell>
          <cell r="Q472" t="str">
            <v>武警消防</v>
          </cell>
        </row>
        <row r="473">
          <cell r="B473" t="str">
            <v>001-0020050</v>
          </cell>
          <cell r="C473" t="str">
            <v>空调</v>
          </cell>
          <cell r="D473" t="str">
            <v>美的KFR-32220Y</v>
          </cell>
          <cell r="E473" t="str">
            <v/>
          </cell>
          <cell r="F473" t="str">
            <v>台</v>
          </cell>
          <cell r="G473" t="str">
            <v>200112</v>
          </cell>
          <cell r="H473" t="str">
            <v>200112</v>
          </cell>
          <cell r="I473">
            <v>2850</v>
          </cell>
          <cell r="J473">
            <v>2850</v>
          </cell>
          <cell r="K473">
            <v>2850</v>
          </cell>
          <cell r="L473">
            <v>2850</v>
          </cell>
          <cell r="M473">
            <v>2800</v>
          </cell>
          <cell r="N473">
            <v>95</v>
          </cell>
          <cell r="O473">
            <v>2660</v>
          </cell>
          <cell r="P473">
            <v>-6.666666666666667</v>
          </cell>
          <cell r="Q473" t="str">
            <v>武警消防</v>
          </cell>
        </row>
        <row r="474">
          <cell r="B474" t="str">
            <v>001-0020777</v>
          </cell>
          <cell r="C474" t="str">
            <v>蒸饺车</v>
          </cell>
          <cell r="D474" t="str">
            <v>150型</v>
          </cell>
          <cell r="E474" t="str">
            <v/>
          </cell>
          <cell r="F474" t="str">
            <v>台</v>
          </cell>
          <cell r="G474" t="str">
            <v>200110</v>
          </cell>
          <cell r="H474" t="str">
            <v>200110</v>
          </cell>
          <cell r="I474">
            <v>7540</v>
          </cell>
          <cell r="J474">
            <v>7425.64</v>
          </cell>
          <cell r="K474">
            <v>7540</v>
          </cell>
          <cell r="L474">
            <v>7425.64</v>
          </cell>
          <cell r="M474">
            <v>7500</v>
          </cell>
          <cell r="N474">
            <v>95</v>
          </cell>
          <cell r="O474">
            <v>7125</v>
          </cell>
          <cell r="P474">
            <v>-4.0486745923583731</v>
          </cell>
          <cell r="Q474" t="str">
            <v>武警消防</v>
          </cell>
        </row>
        <row r="475">
          <cell r="B475" t="str">
            <v>001-0020778</v>
          </cell>
          <cell r="C475" t="str">
            <v>柴油灶</v>
          </cell>
          <cell r="D475" t="str">
            <v>无烟汽化</v>
          </cell>
          <cell r="E475" t="str">
            <v/>
          </cell>
          <cell r="F475" t="str">
            <v>台</v>
          </cell>
          <cell r="G475" t="str">
            <v>200110</v>
          </cell>
          <cell r="H475" t="str">
            <v>200110</v>
          </cell>
          <cell r="I475">
            <v>2600</v>
          </cell>
          <cell r="J475">
            <v>2560.56</v>
          </cell>
          <cell r="K475">
            <v>2600</v>
          </cell>
          <cell r="L475">
            <v>2560.56</v>
          </cell>
          <cell r="M475">
            <v>2600</v>
          </cell>
          <cell r="N475">
            <v>95</v>
          </cell>
          <cell r="O475">
            <v>2470</v>
          </cell>
          <cell r="P475">
            <v>-3.5367263411128795</v>
          </cell>
          <cell r="Q475" t="str">
            <v>武警消防</v>
          </cell>
        </row>
        <row r="476">
          <cell r="B476" t="str">
            <v>001-0020779</v>
          </cell>
          <cell r="C476" t="str">
            <v>蒸饺机</v>
          </cell>
          <cell r="D476" t="str">
            <v>50型</v>
          </cell>
          <cell r="E476" t="str">
            <v/>
          </cell>
          <cell r="F476" t="str">
            <v>台</v>
          </cell>
          <cell r="G476" t="str">
            <v>200110</v>
          </cell>
          <cell r="H476" t="str">
            <v>200110</v>
          </cell>
          <cell r="I476">
            <v>2328</v>
          </cell>
          <cell r="J476">
            <v>2292.69</v>
          </cell>
          <cell r="K476">
            <v>2328</v>
          </cell>
          <cell r="L476">
            <v>2292.69</v>
          </cell>
          <cell r="M476">
            <v>2300</v>
          </cell>
          <cell r="N476">
            <v>95</v>
          </cell>
          <cell r="O476">
            <v>2185</v>
          </cell>
          <cell r="P476">
            <v>-4.6971025302156004</v>
          </cell>
          <cell r="Q476" t="str">
            <v>武警消防</v>
          </cell>
        </row>
        <row r="477">
          <cell r="B477" t="str">
            <v>001-0008666</v>
          </cell>
          <cell r="C477" t="str">
            <v>计算机</v>
          </cell>
          <cell r="D477" t="str">
            <v>HPLV4  5/100</v>
          </cell>
          <cell r="F477" t="str">
            <v>台</v>
          </cell>
          <cell r="G477" t="str">
            <v>199703</v>
          </cell>
          <cell r="H477" t="str">
            <v>199703</v>
          </cell>
          <cell r="I477">
            <v>17100</v>
          </cell>
          <cell r="J477">
            <v>9162.4699999999993</v>
          </cell>
          <cell r="K477">
            <v>17100</v>
          </cell>
          <cell r="L477">
            <v>9162.4699999999993</v>
          </cell>
          <cell r="M477">
            <v>4000</v>
          </cell>
          <cell r="N477">
            <v>20</v>
          </cell>
          <cell r="O477">
            <v>800</v>
          </cell>
          <cell r="P477">
            <v>-91.268729938542776</v>
          </cell>
          <cell r="Q477" t="str">
            <v>物资处</v>
          </cell>
        </row>
        <row r="478">
          <cell r="B478" t="str">
            <v>001-0008667</v>
          </cell>
          <cell r="C478" t="str">
            <v>计算机</v>
          </cell>
          <cell r="D478" t="str">
            <v>HPLV4  5/100</v>
          </cell>
          <cell r="F478" t="str">
            <v>台</v>
          </cell>
          <cell r="G478" t="str">
            <v>199703</v>
          </cell>
          <cell r="H478" t="str">
            <v>199703</v>
          </cell>
          <cell r="I478">
            <v>17100</v>
          </cell>
          <cell r="J478">
            <v>9162.4699999999993</v>
          </cell>
          <cell r="K478">
            <v>17100</v>
          </cell>
          <cell r="L478">
            <v>9162.4699999999993</v>
          </cell>
          <cell r="M478">
            <v>4000</v>
          </cell>
          <cell r="N478">
            <v>20</v>
          </cell>
          <cell r="O478">
            <v>800</v>
          </cell>
          <cell r="P478">
            <v>-91.268729938542776</v>
          </cell>
          <cell r="Q478" t="str">
            <v>物资处</v>
          </cell>
        </row>
        <row r="479">
          <cell r="B479" t="str">
            <v>001-0008668</v>
          </cell>
          <cell r="C479" t="str">
            <v>计算机</v>
          </cell>
          <cell r="D479" t="str">
            <v>HPLV4  5/100</v>
          </cell>
          <cell r="F479" t="str">
            <v>台</v>
          </cell>
          <cell r="G479" t="str">
            <v>199703</v>
          </cell>
          <cell r="H479" t="str">
            <v>199703</v>
          </cell>
          <cell r="I479">
            <v>17100</v>
          </cell>
          <cell r="J479">
            <v>8550</v>
          </cell>
          <cell r="K479">
            <v>17100</v>
          </cell>
          <cell r="L479">
            <v>8550</v>
          </cell>
          <cell r="M479">
            <v>4000</v>
          </cell>
          <cell r="N479">
            <v>20</v>
          </cell>
          <cell r="O479">
            <v>800</v>
          </cell>
          <cell r="P479">
            <v>-90.643274853801174</v>
          </cell>
          <cell r="Q479" t="str">
            <v>物资处</v>
          </cell>
        </row>
        <row r="480">
          <cell r="B480" t="str">
            <v>001-0008669</v>
          </cell>
          <cell r="C480" t="str">
            <v>打印机</v>
          </cell>
          <cell r="D480" t="str">
            <v>LQ1600KⅡ</v>
          </cell>
          <cell r="F480" t="str">
            <v>台</v>
          </cell>
          <cell r="G480" t="str">
            <v>199703</v>
          </cell>
          <cell r="H480" t="str">
            <v>199703</v>
          </cell>
          <cell r="I480">
            <v>3950</v>
          </cell>
          <cell r="J480">
            <v>2116.4699999999998</v>
          </cell>
          <cell r="K480">
            <v>3950</v>
          </cell>
          <cell r="L480">
            <v>2116.4699999999998</v>
          </cell>
          <cell r="M480">
            <v>3200</v>
          </cell>
          <cell r="N480">
            <v>20</v>
          </cell>
          <cell r="O480">
            <v>640</v>
          </cell>
          <cell r="P480">
            <v>-69.76096991688992</v>
          </cell>
          <cell r="Q480" t="str">
            <v>物资处</v>
          </cell>
        </row>
        <row r="481">
          <cell r="B481" t="str">
            <v>001-0008670</v>
          </cell>
          <cell r="C481" t="str">
            <v>打印机</v>
          </cell>
          <cell r="D481" t="str">
            <v>LQ1600KⅡ</v>
          </cell>
          <cell r="F481" t="str">
            <v>台</v>
          </cell>
          <cell r="G481" t="str">
            <v>199703</v>
          </cell>
          <cell r="H481" t="str">
            <v>199703</v>
          </cell>
          <cell r="I481">
            <v>3950</v>
          </cell>
          <cell r="J481">
            <v>1974.99</v>
          </cell>
          <cell r="K481">
            <v>3950</v>
          </cell>
          <cell r="L481">
            <v>1974.99</v>
          </cell>
          <cell r="M481">
            <v>3200</v>
          </cell>
          <cell r="N481">
            <v>20</v>
          </cell>
          <cell r="O481">
            <v>640</v>
          </cell>
          <cell r="P481">
            <v>-67.594772631760165</v>
          </cell>
          <cell r="Q481" t="str">
            <v>物资处</v>
          </cell>
        </row>
        <row r="482">
          <cell r="B482" t="str">
            <v>001-0008671</v>
          </cell>
          <cell r="C482" t="str">
            <v>打印机</v>
          </cell>
          <cell r="D482" t="str">
            <v>LQ1600KⅡ</v>
          </cell>
          <cell r="F482" t="str">
            <v>台</v>
          </cell>
          <cell r="G482" t="str">
            <v>199703</v>
          </cell>
          <cell r="H482" t="str">
            <v>199703</v>
          </cell>
          <cell r="I482">
            <v>3950</v>
          </cell>
          <cell r="J482">
            <v>2116.4699999999998</v>
          </cell>
          <cell r="K482">
            <v>3950</v>
          </cell>
          <cell r="L482">
            <v>2116.4699999999998</v>
          </cell>
          <cell r="M482">
            <v>3200</v>
          </cell>
          <cell r="N482">
            <v>20</v>
          </cell>
          <cell r="O482">
            <v>640</v>
          </cell>
          <cell r="P482">
            <v>-69.76096991688992</v>
          </cell>
          <cell r="Q482" t="str">
            <v>物资处</v>
          </cell>
        </row>
        <row r="483">
          <cell r="B483" t="str">
            <v>001-0008944</v>
          </cell>
          <cell r="C483" t="str">
            <v>打印机</v>
          </cell>
          <cell r="D483" t="str">
            <v>LQ-1600</v>
          </cell>
          <cell r="F483" t="str">
            <v>台</v>
          </cell>
          <cell r="G483" t="str">
            <v>199712</v>
          </cell>
          <cell r="H483" t="str">
            <v>199712</v>
          </cell>
          <cell r="I483">
            <v>3950</v>
          </cell>
          <cell r="J483">
            <v>2412.7199999999998</v>
          </cell>
          <cell r="K483">
            <v>3950</v>
          </cell>
          <cell r="L483">
            <v>2412.7199999999998</v>
          </cell>
          <cell r="M483">
            <v>3200</v>
          </cell>
          <cell r="N483">
            <v>20</v>
          </cell>
          <cell r="O483">
            <v>640</v>
          </cell>
          <cell r="P483">
            <v>-73.473921549122977</v>
          </cell>
          <cell r="Q483" t="str">
            <v>物资处</v>
          </cell>
        </row>
        <row r="484">
          <cell r="B484" t="str">
            <v>001-0008945</v>
          </cell>
          <cell r="C484" t="str">
            <v>打印机</v>
          </cell>
          <cell r="D484" t="str">
            <v>LQ-1600</v>
          </cell>
          <cell r="F484" t="str">
            <v>台</v>
          </cell>
          <cell r="G484" t="str">
            <v>199712</v>
          </cell>
          <cell r="H484" t="str">
            <v>199712</v>
          </cell>
          <cell r="I484">
            <v>3950</v>
          </cell>
          <cell r="J484">
            <v>2412.7199999999998</v>
          </cell>
          <cell r="K484">
            <v>3950</v>
          </cell>
          <cell r="L484">
            <v>2412.7199999999998</v>
          </cell>
          <cell r="M484">
            <v>3200</v>
          </cell>
          <cell r="N484">
            <v>20</v>
          </cell>
          <cell r="O484">
            <v>640</v>
          </cell>
          <cell r="P484">
            <v>-73.473921549122977</v>
          </cell>
          <cell r="Q484" t="str">
            <v>物资处</v>
          </cell>
        </row>
        <row r="485">
          <cell r="B485" t="str">
            <v>001-0008946</v>
          </cell>
          <cell r="C485" t="str">
            <v>计算机</v>
          </cell>
          <cell r="D485" t="str">
            <v>HP-VL4  586/100</v>
          </cell>
          <cell r="E485" t="str">
            <v/>
          </cell>
          <cell r="F485" t="str">
            <v>台</v>
          </cell>
          <cell r="G485" t="str">
            <v>199712</v>
          </cell>
          <cell r="H485" t="str">
            <v>199712</v>
          </cell>
          <cell r="I485">
            <v>17500</v>
          </cell>
          <cell r="J485">
            <v>10062.51</v>
          </cell>
          <cell r="K485">
            <v>17500</v>
          </cell>
          <cell r="L485">
            <v>10062.51</v>
          </cell>
          <cell r="M485">
            <v>4000</v>
          </cell>
          <cell r="N485">
            <v>20</v>
          </cell>
          <cell r="O485">
            <v>800</v>
          </cell>
          <cell r="P485">
            <v>-92.049697341915675</v>
          </cell>
          <cell r="Q485" t="str">
            <v>物资处</v>
          </cell>
        </row>
        <row r="486">
          <cell r="B486" t="str">
            <v>001-0008947</v>
          </cell>
          <cell r="C486" t="str">
            <v>计算机</v>
          </cell>
          <cell r="D486" t="str">
            <v>HP-VL4  586/100</v>
          </cell>
          <cell r="E486" t="str">
            <v/>
          </cell>
          <cell r="F486" t="str">
            <v>台</v>
          </cell>
          <cell r="G486" t="str">
            <v>199712</v>
          </cell>
          <cell r="H486" t="str">
            <v>199712</v>
          </cell>
          <cell r="I486">
            <v>17500</v>
          </cell>
          <cell r="J486">
            <v>10062.51</v>
          </cell>
          <cell r="K486">
            <v>17500</v>
          </cell>
          <cell r="L486">
            <v>10062.51</v>
          </cell>
          <cell r="M486">
            <v>4000</v>
          </cell>
          <cell r="N486">
            <v>20</v>
          </cell>
          <cell r="O486">
            <v>800</v>
          </cell>
          <cell r="P486">
            <v>-92.049697341915675</v>
          </cell>
          <cell r="Q486" t="str">
            <v>物资处</v>
          </cell>
        </row>
        <row r="487">
          <cell r="B487" t="str">
            <v>001-0008987</v>
          </cell>
          <cell r="C487" t="str">
            <v>防爆液位计</v>
          </cell>
          <cell r="D487" t="str">
            <v>VTB型</v>
          </cell>
          <cell r="E487" t="str">
            <v/>
          </cell>
          <cell r="F487" t="str">
            <v>台</v>
          </cell>
          <cell r="G487" t="str">
            <v>199802</v>
          </cell>
          <cell r="H487" t="str">
            <v>199802</v>
          </cell>
          <cell r="I487">
            <v>64680</v>
          </cell>
          <cell r="J487">
            <v>42679.63</v>
          </cell>
          <cell r="K487">
            <v>64680</v>
          </cell>
          <cell r="L487">
            <v>42679.63</v>
          </cell>
          <cell r="M487">
            <v>64000</v>
          </cell>
          <cell r="N487">
            <v>70</v>
          </cell>
          <cell r="O487">
            <v>44800</v>
          </cell>
          <cell r="P487">
            <v>4.9681077366415849</v>
          </cell>
          <cell r="Q487" t="str">
            <v>物资处</v>
          </cell>
        </row>
        <row r="488">
          <cell r="B488" t="str">
            <v>001-0009046</v>
          </cell>
          <cell r="C488" t="str">
            <v>计算机</v>
          </cell>
          <cell r="D488" t="str">
            <v>HPVE7266</v>
          </cell>
          <cell r="E488" t="str">
            <v/>
          </cell>
          <cell r="F488" t="str">
            <v>套</v>
          </cell>
          <cell r="G488" t="str">
            <v>199807</v>
          </cell>
          <cell r="H488" t="str">
            <v>199807</v>
          </cell>
          <cell r="I488">
            <v>12600</v>
          </cell>
          <cell r="J488">
            <v>7980</v>
          </cell>
          <cell r="K488">
            <v>12600</v>
          </cell>
          <cell r="L488">
            <v>7980</v>
          </cell>
          <cell r="M488">
            <v>8500</v>
          </cell>
          <cell r="N488">
            <v>40</v>
          </cell>
          <cell r="O488">
            <v>3400</v>
          </cell>
          <cell r="P488">
            <v>-57.393483709273184</v>
          </cell>
          <cell r="Q488" t="str">
            <v>物资处</v>
          </cell>
        </row>
        <row r="489">
          <cell r="B489" t="str">
            <v>001-0009049</v>
          </cell>
          <cell r="C489" t="str">
            <v>碎纸机</v>
          </cell>
          <cell r="D489" t="str">
            <v>908</v>
          </cell>
          <cell r="E489" t="str">
            <v/>
          </cell>
          <cell r="F489" t="str">
            <v>台</v>
          </cell>
          <cell r="G489" t="str">
            <v>199807</v>
          </cell>
          <cell r="H489" t="str">
            <v>199807</v>
          </cell>
          <cell r="I489">
            <v>2900</v>
          </cell>
          <cell r="J489">
            <v>2147.87</v>
          </cell>
          <cell r="K489">
            <v>2900</v>
          </cell>
          <cell r="L489">
            <v>2147.87</v>
          </cell>
          <cell r="M489">
            <v>2400</v>
          </cell>
          <cell r="N489">
            <v>65</v>
          </cell>
          <cell r="O489">
            <v>1560</v>
          </cell>
          <cell r="P489">
            <v>-27.369905999897568</v>
          </cell>
          <cell r="Q489" t="str">
            <v>物资处</v>
          </cell>
        </row>
        <row r="490">
          <cell r="B490" t="str">
            <v>001-0010128</v>
          </cell>
          <cell r="C490" t="str">
            <v>电子称显示仪</v>
          </cell>
          <cell r="D490" t="str">
            <v>XR3190-A1</v>
          </cell>
          <cell r="E490" t="str">
            <v/>
          </cell>
          <cell r="F490" t="str">
            <v>台</v>
          </cell>
          <cell r="G490" t="str">
            <v>199909</v>
          </cell>
          <cell r="H490" t="str">
            <v>199909</v>
          </cell>
          <cell r="I490">
            <v>7400</v>
          </cell>
          <cell r="J490">
            <v>6097.22</v>
          </cell>
          <cell r="K490">
            <v>7400</v>
          </cell>
          <cell r="L490">
            <v>6097.22</v>
          </cell>
          <cell r="M490">
            <v>7000</v>
          </cell>
          <cell r="N490">
            <v>80</v>
          </cell>
          <cell r="O490">
            <v>5600</v>
          </cell>
          <cell r="P490">
            <v>-8.154864019996003</v>
          </cell>
          <cell r="Q490" t="str">
            <v>物资处</v>
          </cell>
        </row>
        <row r="491">
          <cell r="B491" t="str">
            <v>001-0010267</v>
          </cell>
          <cell r="C491" t="str">
            <v>服务器</v>
          </cell>
          <cell r="D491" t="str">
            <v>HP  E60</v>
          </cell>
          <cell r="E491" t="str">
            <v/>
          </cell>
          <cell r="F491" t="str">
            <v>台</v>
          </cell>
          <cell r="G491" t="str">
            <v>199911</v>
          </cell>
          <cell r="H491" t="str">
            <v>199911</v>
          </cell>
          <cell r="I491">
            <v>19200</v>
          </cell>
          <cell r="J491">
            <v>15407.68</v>
          </cell>
          <cell r="K491">
            <v>19200</v>
          </cell>
          <cell r="L491">
            <v>15407.68</v>
          </cell>
          <cell r="M491">
            <v>18000</v>
          </cell>
          <cell r="N491">
            <v>75</v>
          </cell>
          <cell r="O491">
            <v>13500</v>
          </cell>
          <cell r="P491">
            <v>-12.381357868283871</v>
          </cell>
          <cell r="Q491" t="str">
            <v>物资处</v>
          </cell>
        </row>
        <row r="492">
          <cell r="B492" t="str">
            <v>001-0011514</v>
          </cell>
          <cell r="C492" t="str">
            <v>计算机</v>
          </cell>
          <cell r="D492" t="str">
            <v>HP8188A</v>
          </cell>
          <cell r="E492" t="str">
            <v/>
          </cell>
          <cell r="F492" t="str">
            <v>台</v>
          </cell>
          <cell r="G492" t="str">
            <v>200009</v>
          </cell>
          <cell r="H492" t="str">
            <v>200009</v>
          </cell>
          <cell r="I492">
            <v>9050</v>
          </cell>
          <cell r="J492">
            <v>8016.64</v>
          </cell>
          <cell r="K492">
            <v>9050</v>
          </cell>
          <cell r="L492">
            <v>8016.64</v>
          </cell>
          <cell r="M492">
            <v>8000</v>
          </cell>
          <cell r="N492">
            <v>70</v>
          </cell>
          <cell r="O492">
            <v>5600</v>
          </cell>
          <cell r="P492">
            <v>-30.145297780616321</v>
          </cell>
          <cell r="Q492" t="str">
            <v>物资处</v>
          </cell>
        </row>
        <row r="493">
          <cell r="B493" t="str">
            <v>001-0011515</v>
          </cell>
          <cell r="C493" t="str">
            <v>计算机</v>
          </cell>
          <cell r="D493" t="str">
            <v>HP8188A</v>
          </cell>
          <cell r="E493" t="str">
            <v/>
          </cell>
          <cell r="F493" t="str">
            <v>台</v>
          </cell>
          <cell r="G493" t="str">
            <v>200009</v>
          </cell>
          <cell r="H493" t="str">
            <v>200009</v>
          </cell>
          <cell r="I493">
            <v>9050</v>
          </cell>
          <cell r="J493">
            <v>7692.49</v>
          </cell>
          <cell r="K493">
            <v>9050</v>
          </cell>
          <cell r="L493">
            <v>7692.49</v>
          </cell>
          <cell r="M493">
            <v>8000</v>
          </cell>
          <cell r="N493">
            <v>70</v>
          </cell>
          <cell r="O493">
            <v>5600</v>
          </cell>
          <cell r="P493">
            <v>-27.201725319109936</v>
          </cell>
          <cell r="Q493" t="str">
            <v>物资处</v>
          </cell>
        </row>
        <row r="494">
          <cell r="B494" t="str">
            <v>001-0011516</v>
          </cell>
          <cell r="C494" t="str">
            <v>计算机</v>
          </cell>
          <cell r="D494" t="str">
            <v>HP8188A</v>
          </cell>
          <cell r="E494" t="str">
            <v/>
          </cell>
          <cell r="F494" t="str">
            <v>台</v>
          </cell>
          <cell r="G494" t="str">
            <v>200009</v>
          </cell>
          <cell r="H494" t="str">
            <v>200009</v>
          </cell>
          <cell r="I494">
            <v>9050</v>
          </cell>
          <cell r="J494">
            <v>8016.64</v>
          </cell>
          <cell r="K494">
            <v>9050</v>
          </cell>
          <cell r="L494">
            <v>8016.64</v>
          </cell>
          <cell r="M494">
            <v>8000</v>
          </cell>
          <cell r="N494">
            <v>70</v>
          </cell>
          <cell r="O494">
            <v>5600</v>
          </cell>
          <cell r="P494">
            <v>-30.145297780616321</v>
          </cell>
          <cell r="Q494" t="str">
            <v>物资处</v>
          </cell>
        </row>
        <row r="495">
          <cell r="B495" t="str">
            <v>001-0011517</v>
          </cell>
          <cell r="C495" t="str">
            <v>计算机</v>
          </cell>
          <cell r="D495" t="str">
            <v>HP8188A</v>
          </cell>
          <cell r="E495" t="str">
            <v/>
          </cell>
          <cell r="F495" t="str">
            <v>台</v>
          </cell>
          <cell r="G495" t="str">
            <v>200009</v>
          </cell>
          <cell r="H495" t="str">
            <v>200009</v>
          </cell>
          <cell r="I495">
            <v>9050</v>
          </cell>
          <cell r="J495">
            <v>7692.49</v>
          </cell>
          <cell r="K495">
            <v>9050</v>
          </cell>
          <cell r="L495">
            <v>7692.49</v>
          </cell>
          <cell r="M495">
            <v>8000</v>
          </cell>
          <cell r="N495">
            <v>70</v>
          </cell>
          <cell r="O495">
            <v>5600</v>
          </cell>
          <cell r="P495">
            <v>-27.201725319109936</v>
          </cell>
          <cell r="Q495" t="str">
            <v>物资处</v>
          </cell>
        </row>
        <row r="496">
          <cell r="B496" t="str">
            <v>001-0011518</v>
          </cell>
          <cell r="C496" t="str">
            <v>计算机</v>
          </cell>
          <cell r="D496" t="str">
            <v>HP8188A</v>
          </cell>
          <cell r="E496" t="str">
            <v/>
          </cell>
          <cell r="F496" t="str">
            <v>台</v>
          </cell>
          <cell r="G496" t="str">
            <v>200009</v>
          </cell>
          <cell r="H496" t="str">
            <v>200009</v>
          </cell>
          <cell r="I496">
            <v>9050</v>
          </cell>
          <cell r="J496">
            <v>7692.49</v>
          </cell>
          <cell r="K496">
            <v>9050</v>
          </cell>
          <cell r="L496">
            <v>7692.49</v>
          </cell>
          <cell r="M496">
            <v>8000</v>
          </cell>
          <cell r="N496">
            <v>70</v>
          </cell>
          <cell r="O496">
            <v>5600</v>
          </cell>
          <cell r="P496">
            <v>-27.201725319109936</v>
          </cell>
          <cell r="Q496" t="str">
            <v>物资处</v>
          </cell>
        </row>
        <row r="497">
          <cell r="B497" t="str">
            <v>001-0011519</v>
          </cell>
          <cell r="C497" t="str">
            <v>计算机</v>
          </cell>
          <cell r="D497" t="str">
            <v>HP8188A</v>
          </cell>
          <cell r="E497" t="str">
            <v/>
          </cell>
          <cell r="F497" t="str">
            <v>台</v>
          </cell>
          <cell r="G497" t="str">
            <v>200009</v>
          </cell>
          <cell r="H497" t="str">
            <v>200009</v>
          </cell>
          <cell r="I497">
            <v>9050</v>
          </cell>
          <cell r="J497">
            <v>8016.64</v>
          </cell>
          <cell r="K497">
            <v>9050</v>
          </cell>
          <cell r="L497">
            <v>8016.64</v>
          </cell>
          <cell r="M497">
            <v>8000</v>
          </cell>
          <cell r="N497">
            <v>70</v>
          </cell>
          <cell r="O497">
            <v>5600</v>
          </cell>
          <cell r="P497">
            <v>-30.145297780616321</v>
          </cell>
          <cell r="Q497" t="str">
            <v>物资处</v>
          </cell>
        </row>
        <row r="498">
          <cell r="B498" t="str">
            <v>001-0011771</v>
          </cell>
          <cell r="C498" t="str">
            <v>计算机</v>
          </cell>
          <cell r="D498" t="str">
            <v>HP2229A</v>
          </cell>
          <cell r="E498" t="str">
            <v/>
          </cell>
          <cell r="F498" t="str">
            <v>台</v>
          </cell>
          <cell r="G498" t="str">
            <v>200012</v>
          </cell>
          <cell r="H498" t="str">
            <v>200012</v>
          </cell>
          <cell r="I498">
            <v>9500</v>
          </cell>
          <cell r="J498">
            <v>8652.76</v>
          </cell>
          <cell r="K498">
            <v>9500</v>
          </cell>
          <cell r="L498">
            <v>8652.76</v>
          </cell>
          <cell r="M498">
            <v>8000</v>
          </cell>
          <cell r="N498">
            <v>70</v>
          </cell>
          <cell r="O498">
            <v>5600</v>
          </cell>
          <cell r="P498">
            <v>-35.280765905907479</v>
          </cell>
          <cell r="Q498" t="str">
            <v>物资处</v>
          </cell>
        </row>
        <row r="499">
          <cell r="B499" t="str">
            <v>001-0018085</v>
          </cell>
          <cell r="C499" t="str">
            <v>激光打印机</v>
          </cell>
          <cell r="D499" t="str">
            <v>联想</v>
          </cell>
          <cell r="E499" t="str">
            <v/>
          </cell>
          <cell r="F499" t="str">
            <v>台</v>
          </cell>
          <cell r="G499" t="str">
            <v>200108</v>
          </cell>
          <cell r="H499" t="str">
            <v>200108</v>
          </cell>
          <cell r="I499">
            <v>8650</v>
          </cell>
          <cell r="J499">
            <v>8217.51</v>
          </cell>
          <cell r="K499">
            <v>8650</v>
          </cell>
          <cell r="L499">
            <v>8217.51</v>
          </cell>
          <cell r="M499">
            <v>6500</v>
          </cell>
          <cell r="N499">
            <v>90</v>
          </cell>
          <cell r="O499">
            <v>5850</v>
          </cell>
          <cell r="P499">
            <v>-28.810552101549014</v>
          </cell>
          <cell r="Q499" t="str">
            <v>物资处</v>
          </cell>
        </row>
        <row r="500">
          <cell r="B500" t="str">
            <v>001-0019322</v>
          </cell>
          <cell r="C500" t="str">
            <v>激光打印机</v>
          </cell>
          <cell r="D500" t="str">
            <v>HP6L</v>
          </cell>
          <cell r="E500" t="str">
            <v/>
          </cell>
          <cell r="F500" t="str">
            <v>台</v>
          </cell>
          <cell r="G500" t="str">
            <v>200111</v>
          </cell>
          <cell r="H500" t="str">
            <v>200111</v>
          </cell>
          <cell r="I500">
            <v>3090</v>
          </cell>
          <cell r="J500">
            <v>3036.48</v>
          </cell>
          <cell r="K500">
            <v>3090</v>
          </cell>
          <cell r="L500">
            <v>3036.48</v>
          </cell>
          <cell r="M500">
            <v>2800</v>
          </cell>
          <cell r="N500">
            <v>95</v>
          </cell>
          <cell r="O500">
            <v>2660</v>
          </cell>
          <cell r="P500">
            <v>-12.398566761513331</v>
          </cell>
          <cell r="Q500" t="str">
            <v>物资处</v>
          </cell>
        </row>
        <row r="501">
          <cell r="B501" t="str">
            <v>001-0019323</v>
          </cell>
          <cell r="C501" t="str">
            <v>激光打印机</v>
          </cell>
          <cell r="D501" t="str">
            <v>HP6L</v>
          </cell>
          <cell r="E501" t="str">
            <v/>
          </cell>
          <cell r="F501" t="str">
            <v>台</v>
          </cell>
          <cell r="G501" t="str">
            <v>200111</v>
          </cell>
          <cell r="H501" t="str">
            <v>200111</v>
          </cell>
          <cell r="I501">
            <v>3090</v>
          </cell>
          <cell r="J501">
            <v>2993.43</v>
          </cell>
          <cell r="K501">
            <v>3090</v>
          </cell>
          <cell r="L501">
            <v>2993.43</v>
          </cell>
          <cell r="M501">
            <v>2800</v>
          </cell>
          <cell r="N501">
            <v>95</v>
          </cell>
          <cell r="O501">
            <v>2660</v>
          </cell>
          <cell r="P501">
            <v>-11.138727145782592</v>
          </cell>
          <cell r="Q501" t="str">
            <v>物资处</v>
          </cell>
        </row>
        <row r="502">
          <cell r="B502" t="str">
            <v>001-0008677</v>
          </cell>
          <cell r="C502" t="str">
            <v>网络交换机</v>
          </cell>
          <cell r="D502" t="str">
            <v>DECHUB  900</v>
          </cell>
          <cell r="F502" t="str">
            <v>台</v>
          </cell>
          <cell r="G502" t="str">
            <v>199704</v>
          </cell>
          <cell r="H502" t="str">
            <v>199704</v>
          </cell>
          <cell r="I502">
            <v>453185</v>
          </cell>
          <cell r="J502">
            <v>230369.05</v>
          </cell>
          <cell r="K502">
            <v>453185</v>
          </cell>
          <cell r="L502">
            <v>230369.05</v>
          </cell>
          <cell r="M502">
            <v>450000</v>
          </cell>
          <cell r="N502">
            <v>55</v>
          </cell>
          <cell r="O502">
            <v>247500</v>
          </cell>
          <cell r="P502">
            <v>7.4363070907311606</v>
          </cell>
          <cell r="Q502" t="str">
            <v>信息中心</v>
          </cell>
        </row>
        <row r="503">
          <cell r="B503" t="str">
            <v>001-0009104</v>
          </cell>
          <cell r="C503" t="str">
            <v>NetServer</v>
          </cell>
          <cell r="D503" t="str">
            <v/>
          </cell>
          <cell r="F503" t="str">
            <v>套</v>
          </cell>
          <cell r="G503" t="str">
            <v>199811</v>
          </cell>
          <cell r="H503" t="str">
            <v>199811</v>
          </cell>
          <cell r="I503">
            <v>41500</v>
          </cell>
          <cell r="J503">
            <v>27666.68</v>
          </cell>
          <cell r="K503">
            <v>41500</v>
          </cell>
          <cell r="L503">
            <v>27666.68</v>
          </cell>
          <cell r="M503">
            <v>40000</v>
          </cell>
          <cell r="N503">
            <v>55</v>
          </cell>
          <cell r="O503">
            <v>22000</v>
          </cell>
          <cell r="P503">
            <v>-20.481966032787454</v>
          </cell>
          <cell r="Q503" t="str">
            <v>信息中心</v>
          </cell>
        </row>
        <row r="504">
          <cell r="B504" t="str">
            <v>001-0009105</v>
          </cell>
          <cell r="C504" t="str">
            <v>Modem Pool</v>
          </cell>
          <cell r="D504" t="str">
            <v>MP8/V.34</v>
          </cell>
          <cell r="F504" t="str">
            <v>套</v>
          </cell>
          <cell r="G504" t="str">
            <v>199811</v>
          </cell>
          <cell r="H504" t="str">
            <v>199811</v>
          </cell>
          <cell r="I504">
            <v>16000</v>
          </cell>
          <cell r="J504">
            <v>10666.68</v>
          </cell>
          <cell r="K504">
            <v>16000</v>
          </cell>
          <cell r="L504">
            <v>10666.68</v>
          </cell>
          <cell r="M504">
            <v>16000</v>
          </cell>
          <cell r="N504">
            <v>55</v>
          </cell>
          <cell r="O504">
            <v>8800</v>
          </cell>
          <cell r="P504">
            <v>-17.500103124871096</v>
          </cell>
          <cell r="Q504" t="str">
            <v>信息中心</v>
          </cell>
        </row>
        <row r="505">
          <cell r="B505" t="str">
            <v>001-0009866</v>
          </cell>
          <cell r="C505" t="str">
            <v>计算机</v>
          </cell>
          <cell r="D505" t="str">
            <v>HPVE7 1266</v>
          </cell>
          <cell r="F505" t="str">
            <v>台</v>
          </cell>
          <cell r="G505" t="str">
            <v>199903</v>
          </cell>
          <cell r="H505" t="str">
            <v>199903</v>
          </cell>
          <cell r="I505">
            <v>12600</v>
          </cell>
          <cell r="J505">
            <v>8820</v>
          </cell>
          <cell r="K505">
            <v>12600</v>
          </cell>
          <cell r="L505">
            <v>8820</v>
          </cell>
          <cell r="M505">
            <v>8500</v>
          </cell>
          <cell r="N505">
            <v>40</v>
          </cell>
          <cell r="O505">
            <v>3400</v>
          </cell>
          <cell r="P505">
            <v>-61.451247165532884</v>
          </cell>
          <cell r="Q505" t="str">
            <v>信息中心</v>
          </cell>
        </row>
        <row r="506">
          <cell r="B506" t="str">
            <v>001-0009867</v>
          </cell>
          <cell r="C506" t="str">
            <v>打印机</v>
          </cell>
          <cell r="D506" t="str">
            <v>HP-6L</v>
          </cell>
          <cell r="F506" t="str">
            <v>台</v>
          </cell>
          <cell r="G506" t="str">
            <v>199903</v>
          </cell>
          <cell r="H506" t="str">
            <v>199903</v>
          </cell>
          <cell r="I506">
            <v>3300</v>
          </cell>
          <cell r="J506">
            <v>2310</v>
          </cell>
          <cell r="K506">
            <v>3300</v>
          </cell>
          <cell r="L506">
            <v>2310</v>
          </cell>
          <cell r="M506">
            <v>2800</v>
          </cell>
          <cell r="N506">
            <v>40</v>
          </cell>
          <cell r="O506">
            <v>1120</v>
          </cell>
          <cell r="P506">
            <v>-51.515151515151516</v>
          </cell>
          <cell r="Q506" t="str">
            <v>信息中心</v>
          </cell>
        </row>
        <row r="507">
          <cell r="B507" t="str">
            <v>001-0009967</v>
          </cell>
          <cell r="C507" t="str">
            <v>UPS电源</v>
          </cell>
          <cell r="D507" t="str">
            <v>N 5000S</v>
          </cell>
          <cell r="F507" t="str">
            <v>台</v>
          </cell>
          <cell r="G507" t="str">
            <v>199905</v>
          </cell>
          <cell r="H507" t="str">
            <v>199905</v>
          </cell>
          <cell r="I507">
            <v>52000</v>
          </cell>
          <cell r="J507">
            <v>39727.120000000003</v>
          </cell>
          <cell r="K507">
            <v>52000</v>
          </cell>
          <cell r="L507">
            <v>39727.120000000003</v>
          </cell>
          <cell r="M507">
            <v>50000</v>
          </cell>
          <cell r="N507">
            <v>80</v>
          </cell>
          <cell r="O507">
            <v>40000</v>
          </cell>
          <cell r="P507">
            <v>0.68688593585439206</v>
          </cell>
          <cell r="Q507" t="str">
            <v>信息中心</v>
          </cell>
        </row>
        <row r="508">
          <cell r="B508" t="str">
            <v>001-0010178</v>
          </cell>
          <cell r="C508" t="str">
            <v>光盘刻录机</v>
          </cell>
          <cell r="D508" t="str">
            <v>HP</v>
          </cell>
          <cell r="F508" t="str">
            <v>台</v>
          </cell>
          <cell r="G508" t="str">
            <v>199909</v>
          </cell>
          <cell r="H508" t="str">
            <v>199909</v>
          </cell>
          <cell r="I508">
            <v>3500</v>
          </cell>
          <cell r="J508">
            <v>2624.99</v>
          </cell>
          <cell r="K508">
            <v>3500</v>
          </cell>
          <cell r="L508">
            <v>2624.99</v>
          </cell>
          <cell r="M508">
            <v>3000</v>
          </cell>
          <cell r="N508">
            <v>70</v>
          </cell>
          <cell r="O508">
            <v>2100</v>
          </cell>
          <cell r="P508">
            <v>-19.99969523693423</v>
          </cell>
          <cell r="Q508" t="str">
            <v>信息中心</v>
          </cell>
        </row>
        <row r="509">
          <cell r="B509" t="str">
            <v>001-0010528</v>
          </cell>
          <cell r="C509" t="str">
            <v>投影仪</v>
          </cell>
          <cell r="D509" t="str">
            <v>sharp</v>
          </cell>
          <cell r="F509" t="str">
            <v>台</v>
          </cell>
          <cell r="G509" t="str">
            <v>199912</v>
          </cell>
          <cell r="H509" t="str">
            <v>199912</v>
          </cell>
          <cell r="I509">
            <v>63500</v>
          </cell>
          <cell r="J509">
            <v>49212.49</v>
          </cell>
          <cell r="K509">
            <v>63500</v>
          </cell>
          <cell r="L509">
            <v>49212.49</v>
          </cell>
          <cell r="M509">
            <v>61000</v>
          </cell>
          <cell r="N509">
            <v>70</v>
          </cell>
          <cell r="O509">
            <v>42700</v>
          </cell>
          <cell r="P509">
            <v>-13.233408835846344</v>
          </cell>
          <cell r="Q509" t="str">
            <v>信息中心</v>
          </cell>
        </row>
        <row r="510">
          <cell r="B510" t="str">
            <v>001-0010529</v>
          </cell>
          <cell r="C510" t="str">
            <v>投影仪</v>
          </cell>
          <cell r="D510" t="str">
            <v>3M白光 3000流明</v>
          </cell>
          <cell r="F510" t="str">
            <v>台</v>
          </cell>
          <cell r="G510" t="str">
            <v>199912</v>
          </cell>
          <cell r="H510" t="str">
            <v>199912</v>
          </cell>
          <cell r="I510">
            <v>27000</v>
          </cell>
          <cell r="J510">
            <v>20925</v>
          </cell>
          <cell r="K510">
            <v>27000</v>
          </cell>
          <cell r="L510">
            <v>20925</v>
          </cell>
          <cell r="M510">
            <v>25000</v>
          </cell>
          <cell r="N510">
            <v>70</v>
          </cell>
          <cell r="O510">
            <v>17500</v>
          </cell>
          <cell r="P510">
            <v>-16.367980884109919</v>
          </cell>
          <cell r="Q510" t="str">
            <v>信息中心</v>
          </cell>
        </row>
        <row r="511">
          <cell r="B511" t="str">
            <v>001-0010531</v>
          </cell>
          <cell r="C511" t="str">
            <v>扫描仪</v>
          </cell>
          <cell r="D511" t="str">
            <v>HP4P</v>
          </cell>
          <cell r="F511" t="str">
            <v>台</v>
          </cell>
          <cell r="G511" t="str">
            <v>199912</v>
          </cell>
          <cell r="H511" t="str">
            <v>199912</v>
          </cell>
          <cell r="I511">
            <v>7500</v>
          </cell>
          <cell r="J511">
            <v>5812.5</v>
          </cell>
          <cell r="K511">
            <v>7500</v>
          </cell>
          <cell r="L511">
            <v>5812.5</v>
          </cell>
          <cell r="M511">
            <v>5500</v>
          </cell>
          <cell r="N511">
            <v>60</v>
          </cell>
          <cell r="O511">
            <v>3300</v>
          </cell>
          <cell r="P511">
            <v>-43.225806451612904</v>
          </cell>
          <cell r="Q511" t="str">
            <v>信息中心</v>
          </cell>
        </row>
        <row r="512">
          <cell r="B512" t="str">
            <v>001-0010533</v>
          </cell>
          <cell r="C512" t="str">
            <v>厂办、计划、财务管理系统</v>
          </cell>
          <cell r="D512" t="str">
            <v/>
          </cell>
          <cell r="F512" t="str">
            <v>台</v>
          </cell>
          <cell r="G512" t="str">
            <v>199912</v>
          </cell>
          <cell r="H512" t="str">
            <v>199912</v>
          </cell>
          <cell r="I512">
            <v>941380</v>
          </cell>
          <cell r="J512">
            <v>729569.51</v>
          </cell>
          <cell r="K512">
            <v>941380</v>
          </cell>
          <cell r="L512">
            <v>729569.51</v>
          </cell>
          <cell r="M512">
            <v>900000</v>
          </cell>
          <cell r="N512">
            <v>80</v>
          </cell>
          <cell r="O512">
            <v>720000</v>
          </cell>
          <cell r="P512">
            <v>-1.3116652860122964</v>
          </cell>
          <cell r="Q512" t="str">
            <v>信息中心</v>
          </cell>
        </row>
        <row r="513">
          <cell r="B513" t="str">
            <v>001-0010534</v>
          </cell>
          <cell r="C513" t="str">
            <v>服务器</v>
          </cell>
          <cell r="D513" t="str">
            <v>AST Manhattan V5090</v>
          </cell>
          <cell r="F513" t="str">
            <v>台</v>
          </cell>
          <cell r="G513" t="str">
            <v>199912</v>
          </cell>
          <cell r="H513" t="str">
            <v>199912</v>
          </cell>
          <cell r="I513">
            <v>90000</v>
          </cell>
          <cell r="J513">
            <v>69750</v>
          </cell>
          <cell r="K513">
            <v>90000</v>
          </cell>
          <cell r="L513">
            <v>69750</v>
          </cell>
          <cell r="M513">
            <v>81000</v>
          </cell>
          <cell r="N513">
            <v>75</v>
          </cell>
          <cell r="O513">
            <v>60750</v>
          </cell>
          <cell r="P513">
            <v>-12.903225806451612</v>
          </cell>
          <cell r="Q513" t="str">
            <v>信息中心</v>
          </cell>
        </row>
        <row r="514">
          <cell r="B514" t="str">
            <v>001-0010549</v>
          </cell>
          <cell r="C514" t="str">
            <v>集线器</v>
          </cell>
          <cell r="D514" t="str">
            <v>HUB-16（粗缆口）</v>
          </cell>
          <cell r="F514" t="str">
            <v>台</v>
          </cell>
          <cell r="G514" t="str">
            <v>199912</v>
          </cell>
          <cell r="H514" t="str">
            <v>199912</v>
          </cell>
          <cell r="I514">
            <v>4500</v>
          </cell>
          <cell r="J514">
            <v>3487.5</v>
          </cell>
          <cell r="K514">
            <v>4500</v>
          </cell>
          <cell r="L514">
            <v>3487.5</v>
          </cell>
          <cell r="M514">
            <v>4500</v>
          </cell>
          <cell r="N514">
            <v>75</v>
          </cell>
          <cell r="O514">
            <v>3375</v>
          </cell>
          <cell r="P514">
            <v>-3.225806451612903</v>
          </cell>
          <cell r="Q514" t="str">
            <v>信息中心</v>
          </cell>
        </row>
        <row r="515">
          <cell r="B515" t="str">
            <v>001-0010550</v>
          </cell>
          <cell r="C515" t="str">
            <v>集线器</v>
          </cell>
          <cell r="D515" t="str">
            <v>HUB-16（粗缆口）</v>
          </cell>
          <cell r="F515" t="str">
            <v>台</v>
          </cell>
          <cell r="G515" t="str">
            <v>199912</v>
          </cell>
          <cell r="H515" t="str">
            <v>199912</v>
          </cell>
          <cell r="I515">
            <v>4500</v>
          </cell>
          <cell r="J515">
            <v>3487.5</v>
          </cell>
          <cell r="K515">
            <v>4500</v>
          </cell>
          <cell r="L515">
            <v>3487.5</v>
          </cell>
          <cell r="M515">
            <v>4500</v>
          </cell>
          <cell r="N515">
            <v>75</v>
          </cell>
          <cell r="O515">
            <v>3375</v>
          </cell>
          <cell r="P515">
            <v>-3.225806451612903</v>
          </cell>
          <cell r="Q515" t="str">
            <v>信息中心</v>
          </cell>
        </row>
        <row r="516">
          <cell r="B516" t="str">
            <v>001-0010551</v>
          </cell>
          <cell r="C516" t="str">
            <v>集线器</v>
          </cell>
          <cell r="D516" t="str">
            <v>HUB-16（粗缆口）</v>
          </cell>
          <cell r="F516" t="str">
            <v>台</v>
          </cell>
          <cell r="G516" t="str">
            <v>199912</v>
          </cell>
          <cell r="H516" t="str">
            <v>199912</v>
          </cell>
          <cell r="I516">
            <v>4500</v>
          </cell>
          <cell r="J516">
            <v>3487.5</v>
          </cell>
          <cell r="K516">
            <v>4500</v>
          </cell>
          <cell r="L516">
            <v>3487.5</v>
          </cell>
          <cell r="M516">
            <v>4500</v>
          </cell>
          <cell r="N516">
            <v>75</v>
          </cell>
          <cell r="O516">
            <v>3375</v>
          </cell>
          <cell r="P516">
            <v>-3.225806451612903</v>
          </cell>
          <cell r="Q516" t="str">
            <v>信息中心</v>
          </cell>
        </row>
        <row r="517">
          <cell r="B517" t="str">
            <v>001-0010552</v>
          </cell>
          <cell r="C517" t="str">
            <v>物资管理子系统</v>
          </cell>
          <cell r="D517" t="str">
            <v/>
          </cell>
          <cell r="F517" t="str">
            <v>台</v>
          </cell>
          <cell r="G517" t="str">
            <v>199912</v>
          </cell>
          <cell r="H517" t="str">
            <v>199912</v>
          </cell>
          <cell r="I517">
            <v>348827</v>
          </cell>
          <cell r="J517">
            <v>270340.93</v>
          </cell>
          <cell r="K517">
            <v>348827</v>
          </cell>
          <cell r="L517">
            <v>270340.93</v>
          </cell>
          <cell r="M517">
            <v>340000</v>
          </cell>
          <cell r="N517">
            <v>80</v>
          </cell>
          <cell r="O517">
            <v>272000</v>
          </cell>
          <cell r="P517">
            <v>0.61369545484659205</v>
          </cell>
          <cell r="Q517" t="str">
            <v>信息中心</v>
          </cell>
        </row>
        <row r="518">
          <cell r="B518" t="str">
            <v>001-0010555</v>
          </cell>
          <cell r="C518" t="str">
            <v>中继器</v>
          </cell>
          <cell r="D518" t="str">
            <v>D-Link</v>
          </cell>
          <cell r="F518" t="str">
            <v>台</v>
          </cell>
          <cell r="G518" t="str">
            <v>199912</v>
          </cell>
          <cell r="H518" t="str">
            <v>199912</v>
          </cell>
          <cell r="I518">
            <v>3000</v>
          </cell>
          <cell r="J518">
            <v>2325</v>
          </cell>
          <cell r="K518">
            <v>3000</v>
          </cell>
          <cell r="L518">
            <v>2325</v>
          </cell>
          <cell r="M518">
            <v>2700</v>
          </cell>
          <cell r="N518">
            <v>80</v>
          </cell>
          <cell r="O518">
            <v>2160</v>
          </cell>
          <cell r="P518">
            <v>-7.096774193548387</v>
          </cell>
          <cell r="Q518" t="str">
            <v>信息中心</v>
          </cell>
        </row>
        <row r="519">
          <cell r="B519" t="str">
            <v>001-0010584</v>
          </cell>
          <cell r="C519" t="str">
            <v>可擦写光盘机</v>
          </cell>
          <cell r="D519" t="str">
            <v>1.5G  PANASONIC 7300外置式</v>
          </cell>
          <cell r="F519" t="str">
            <v>台</v>
          </cell>
          <cell r="G519" t="str">
            <v>199912</v>
          </cell>
          <cell r="H519" t="str">
            <v>199912</v>
          </cell>
          <cell r="I519">
            <v>47500</v>
          </cell>
          <cell r="J519">
            <v>36812.51</v>
          </cell>
          <cell r="K519">
            <v>47500</v>
          </cell>
          <cell r="L519">
            <v>36812.51</v>
          </cell>
          <cell r="M519">
            <v>40000</v>
          </cell>
          <cell r="N519">
            <v>80</v>
          </cell>
          <cell r="O519">
            <v>32000</v>
          </cell>
          <cell r="P519">
            <v>-13.073028706817333</v>
          </cell>
          <cell r="Q519" t="str">
            <v>信息中心</v>
          </cell>
        </row>
        <row r="520">
          <cell r="B520" t="str">
            <v>001-0010586</v>
          </cell>
          <cell r="C520" t="str">
            <v>电力工程图纸处理与管理系统</v>
          </cell>
          <cell r="D520" t="str">
            <v/>
          </cell>
          <cell r="F520" t="str">
            <v>台</v>
          </cell>
          <cell r="G520" t="str">
            <v>199912</v>
          </cell>
          <cell r="H520" t="str">
            <v>199912</v>
          </cell>
          <cell r="I520">
            <v>141000</v>
          </cell>
          <cell r="J520">
            <v>109275</v>
          </cell>
          <cell r="K520">
            <v>141000</v>
          </cell>
          <cell r="L520">
            <v>109275</v>
          </cell>
          <cell r="M520">
            <v>140000</v>
          </cell>
          <cell r="N520">
            <v>80</v>
          </cell>
          <cell r="O520">
            <v>112000</v>
          </cell>
          <cell r="P520">
            <v>2.493708533516358</v>
          </cell>
          <cell r="Q520" t="str">
            <v>信息中心</v>
          </cell>
        </row>
        <row r="521">
          <cell r="B521" t="str">
            <v>001-0010603</v>
          </cell>
          <cell r="C521" t="str">
            <v>生产实时数据采集子系统</v>
          </cell>
          <cell r="D521" t="str">
            <v/>
          </cell>
          <cell r="F521" t="str">
            <v>台</v>
          </cell>
          <cell r="G521" t="str">
            <v>199912</v>
          </cell>
          <cell r="H521" t="str">
            <v>199912</v>
          </cell>
          <cell r="I521">
            <v>86300</v>
          </cell>
          <cell r="J521">
            <v>66882.490000000005</v>
          </cell>
          <cell r="K521">
            <v>86300</v>
          </cell>
          <cell r="L521">
            <v>66882.490000000005</v>
          </cell>
          <cell r="M521">
            <v>86000</v>
          </cell>
          <cell r="N521">
            <v>80</v>
          </cell>
          <cell r="O521">
            <v>68800</v>
          </cell>
          <cell r="P521">
            <v>2.8669835707372653</v>
          </cell>
          <cell r="Q521" t="str">
            <v>信息中心</v>
          </cell>
        </row>
        <row r="522">
          <cell r="B522" t="str">
            <v>001-0010619</v>
          </cell>
          <cell r="C522" t="str">
            <v>葛电MIS系统可行性研究和系统总</v>
          </cell>
          <cell r="D522" t="str">
            <v/>
          </cell>
          <cell r="F522" t="str">
            <v>台</v>
          </cell>
          <cell r="G522" t="str">
            <v>199912</v>
          </cell>
          <cell r="H522" t="str">
            <v>199912</v>
          </cell>
          <cell r="I522">
            <v>40000</v>
          </cell>
          <cell r="J522">
            <v>31000.01</v>
          </cell>
          <cell r="K522">
            <v>40000</v>
          </cell>
          <cell r="L522">
            <v>31000.01</v>
          </cell>
          <cell r="M522">
            <v>0</v>
          </cell>
          <cell r="O522">
            <v>0</v>
          </cell>
          <cell r="P522">
            <v>-100</v>
          </cell>
          <cell r="Q522" t="str">
            <v>系统中考虑</v>
          </cell>
        </row>
        <row r="523">
          <cell r="B523" t="str">
            <v>001-0010646</v>
          </cell>
          <cell r="C523" t="str">
            <v>服务器</v>
          </cell>
          <cell r="D523" t="str">
            <v>3S/501</v>
          </cell>
          <cell r="F523" t="str">
            <v>台</v>
          </cell>
          <cell r="G523" t="str">
            <v>199912</v>
          </cell>
          <cell r="H523" t="str">
            <v>199912</v>
          </cell>
          <cell r="I523">
            <v>82830</v>
          </cell>
          <cell r="J523">
            <v>64193.25</v>
          </cell>
          <cell r="K523">
            <v>82830</v>
          </cell>
          <cell r="L523">
            <v>64193.25</v>
          </cell>
          <cell r="M523">
            <v>62000</v>
          </cell>
          <cell r="N523">
            <v>75</v>
          </cell>
          <cell r="O523">
            <v>46500</v>
          </cell>
          <cell r="P523">
            <v>-27.562477363274173</v>
          </cell>
          <cell r="Q523" t="str">
            <v>信息中心</v>
          </cell>
        </row>
        <row r="524">
          <cell r="B524" t="str">
            <v>001-0010651</v>
          </cell>
          <cell r="C524" t="str">
            <v>UPS电源</v>
          </cell>
          <cell r="D524" t="str">
            <v>1KVA</v>
          </cell>
          <cell r="F524" t="str">
            <v>台</v>
          </cell>
          <cell r="G524" t="str">
            <v>199912</v>
          </cell>
          <cell r="H524" t="str">
            <v>199912</v>
          </cell>
          <cell r="I524">
            <v>7800</v>
          </cell>
          <cell r="J524">
            <v>6045</v>
          </cell>
          <cell r="K524">
            <v>7800</v>
          </cell>
          <cell r="L524">
            <v>6045</v>
          </cell>
          <cell r="M524">
            <v>7600</v>
          </cell>
          <cell r="N524">
            <v>80</v>
          </cell>
          <cell r="O524">
            <v>6080</v>
          </cell>
          <cell r="P524">
            <v>0.57899090157154676</v>
          </cell>
          <cell r="Q524" t="str">
            <v>信息中心</v>
          </cell>
        </row>
        <row r="525">
          <cell r="B525" t="str">
            <v>001-0010652</v>
          </cell>
          <cell r="C525" t="str">
            <v>收发器</v>
          </cell>
          <cell r="D525" t="str">
            <v>3C108</v>
          </cell>
          <cell r="F525" t="str">
            <v>台</v>
          </cell>
          <cell r="G525" t="str">
            <v>199912</v>
          </cell>
          <cell r="H525" t="str">
            <v>199912</v>
          </cell>
          <cell r="I525">
            <v>2200</v>
          </cell>
          <cell r="J525">
            <v>1705.01</v>
          </cell>
          <cell r="K525">
            <v>2200</v>
          </cell>
          <cell r="L525">
            <v>1705.01</v>
          </cell>
          <cell r="M525">
            <v>2000</v>
          </cell>
          <cell r="N525">
            <v>80</v>
          </cell>
          <cell r="O525">
            <v>1600</v>
          </cell>
          <cell r="P525">
            <v>-6.1589081588964287</v>
          </cell>
          <cell r="Q525" t="str">
            <v>信息中心</v>
          </cell>
        </row>
        <row r="526">
          <cell r="B526" t="str">
            <v>001-0010653</v>
          </cell>
          <cell r="C526" t="str">
            <v>细缆模块</v>
          </cell>
          <cell r="D526" t="str">
            <v>3C582</v>
          </cell>
          <cell r="F526" t="str">
            <v>台</v>
          </cell>
          <cell r="G526" t="str">
            <v>199912</v>
          </cell>
          <cell r="H526" t="str">
            <v>199912</v>
          </cell>
          <cell r="I526">
            <v>2200</v>
          </cell>
          <cell r="J526">
            <v>1705.01</v>
          </cell>
          <cell r="K526">
            <v>2200</v>
          </cell>
          <cell r="L526">
            <v>1705.01</v>
          </cell>
          <cell r="M526">
            <v>2000</v>
          </cell>
          <cell r="N526">
            <v>80</v>
          </cell>
          <cell r="O526">
            <v>1600</v>
          </cell>
          <cell r="P526">
            <v>-6.1589081588964287</v>
          </cell>
          <cell r="Q526" t="str">
            <v>信息中心</v>
          </cell>
        </row>
        <row r="527">
          <cell r="B527" t="str">
            <v>001-0010654</v>
          </cell>
          <cell r="C527" t="str">
            <v>粗缆模块</v>
          </cell>
          <cell r="D527" t="str">
            <v>3C581</v>
          </cell>
          <cell r="F527" t="str">
            <v>台</v>
          </cell>
          <cell r="G527" t="str">
            <v>199912</v>
          </cell>
          <cell r="H527" t="str">
            <v>199912</v>
          </cell>
          <cell r="I527">
            <v>2000</v>
          </cell>
          <cell r="J527">
            <v>1549.99</v>
          </cell>
          <cell r="K527">
            <v>2000</v>
          </cell>
          <cell r="L527">
            <v>1549.99</v>
          </cell>
          <cell r="M527">
            <v>1800</v>
          </cell>
          <cell r="N527">
            <v>80</v>
          </cell>
          <cell r="O527">
            <v>1440</v>
          </cell>
          <cell r="P527">
            <v>-7.096174814031059</v>
          </cell>
          <cell r="Q527" t="str">
            <v>信息中心</v>
          </cell>
        </row>
        <row r="528">
          <cell r="B528" t="str">
            <v>001-0010667</v>
          </cell>
          <cell r="C528" t="str">
            <v>系统网络安装调试费</v>
          </cell>
          <cell r="D528" t="str">
            <v/>
          </cell>
          <cell r="F528" t="str">
            <v>台</v>
          </cell>
          <cell r="G528" t="str">
            <v>199912</v>
          </cell>
          <cell r="H528" t="str">
            <v>199912</v>
          </cell>
          <cell r="I528">
            <v>188846.23</v>
          </cell>
          <cell r="J528">
            <v>146355.82999999999</v>
          </cell>
          <cell r="K528">
            <v>188846.23</v>
          </cell>
          <cell r="L528">
            <v>146355.82999999999</v>
          </cell>
          <cell r="M528">
            <v>0</v>
          </cell>
          <cell r="O528">
            <v>0</v>
          </cell>
          <cell r="P528">
            <v>-100</v>
          </cell>
          <cell r="Q528" t="str">
            <v>系统中考虑</v>
          </cell>
        </row>
        <row r="529">
          <cell r="B529" t="str">
            <v>001-0010668</v>
          </cell>
          <cell r="C529" t="str">
            <v>主机</v>
          </cell>
          <cell r="D529" t="str">
            <v>alpha  4000</v>
          </cell>
          <cell r="F529" t="str">
            <v>台</v>
          </cell>
          <cell r="G529" t="str">
            <v>199912</v>
          </cell>
          <cell r="H529" t="str">
            <v>199912</v>
          </cell>
          <cell r="I529">
            <v>420000</v>
          </cell>
          <cell r="J529">
            <v>325500</v>
          </cell>
          <cell r="K529">
            <v>420000</v>
          </cell>
          <cell r="L529">
            <v>325500</v>
          </cell>
          <cell r="M529">
            <v>400000</v>
          </cell>
          <cell r="N529">
            <v>80</v>
          </cell>
          <cell r="O529">
            <v>320000</v>
          </cell>
          <cell r="P529">
            <v>-1.6897081413210446</v>
          </cell>
          <cell r="Q529" t="str">
            <v>信息中心</v>
          </cell>
        </row>
        <row r="530">
          <cell r="B530" t="str">
            <v>001-0010669</v>
          </cell>
          <cell r="C530" t="str">
            <v>主机</v>
          </cell>
          <cell r="D530" t="str">
            <v>alpha  4000</v>
          </cell>
          <cell r="F530" t="str">
            <v>台</v>
          </cell>
          <cell r="G530" t="str">
            <v>199912</v>
          </cell>
          <cell r="H530" t="str">
            <v>199912</v>
          </cell>
          <cell r="I530">
            <v>420000</v>
          </cell>
          <cell r="J530">
            <v>325500</v>
          </cell>
          <cell r="K530">
            <v>420000</v>
          </cell>
          <cell r="L530">
            <v>325500</v>
          </cell>
          <cell r="M530">
            <v>400000</v>
          </cell>
          <cell r="N530">
            <v>80</v>
          </cell>
          <cell r="O530">
            <v>320000</v>
          </cell>
          <cell r="P530">
            <v>-1.6897081413210446</v>
          </cell>
          <cell r="Q530" t="str">
            <v>信息中心</v>
          </cell>
        </row>
        <row r="531">
          <cell r="B531" t="str">
            <v>001-0010670</v>
          </cell>
          <cell r="C531" t="str">
            <v>计算机</v>
          </cell>
          <cell r="D531" t="str">
            <v>笔记本东芝 310CDT</v>
          </cell>
          <cell r="F531" t="str">
            <v>台</v>
          </cell>
          <cell r="G531" t="str">
            <v>199912</v>
          </cell>
          <cell r="H531" t="str">
            <v>199912</v>
          </cell>
          <cell r="I531">
            <v>18000</v>
          </cell>
          <cell r="J531">
            <v>13950</v>
          </cell>
          <cell r="K531">
            <v>18000</v>
          </cell>
          <cell r="L531">
            <v>13950</v>
          </cell>
          <cell r="M531">
            <v>15000</v>
          </cell>
          <cell r="N531">
            <v>80</v>
          </cell>
          <cell r="O531">
            <v>12000</v>
          </cell>
          <cell r="P531">
            <v>-13.978494623655912</v>
          </cell>
          <cell r="Q531" t="str">
            <v>信息中心</v>
          </cell>
        </row>
        <row r="532">
          <cell r="B532" t="str">
            <v>001-0010671</v>
          </cell>
          <cell r="C532" t="str">
            <v>计算机</v>
          </cell>
          <cell r="D532" t="str">
            <v>笔记本东芝 310CDT</v>
          </cell>
          <cell r="F532" t="str">
            <v>台</v>
          </cell>
          <cell r="G532" t="str">
            <v>199912</v>
          </cell>
          <cell r="H532" t="str">
            <v>199912</v>
          </cell>
          <cell r="I532">
            <v>18000</v>
          </cell>
          <cell r="J532">
            <v>13950</v>
          </cell>
          <cell r="K532">
            <v>18000</v>
          </cell>
          <cell r="L532">
            <v>13950</v>
          </cell>
          <cell r="M532">
            <v>15000</v>
          </cell>
          <cell r="N532">
            <v>80</v>
          </cell>
          <cell r="O532">
            <v>12000</v>
          </cell>
          <cell r="P532">
            <v>-13.978494623655912</v>
          </cell>
          <cell r="Q532" t="str">
            <v>信息中心</v>
          </cell>
        </row>
        <row r="533">
          <cell r="B533" t="str">
            <v>001-0010755</v>
          </cell>
          <cell r="C533" t="str">
            <v>路由器</v>
          </cell>
          <cell r="D533" t="str">
            <v>CLSCC  2509</v>
          </cell>
          <cell r="F533" t="str">
            <v>台</v>
          </cell>
          <cell r="G533" t="str">
            <v>199912</v>
          </cell>
          <cell r="H533" t="str">
            <v>199912</v>
          </cell>
          <cell r="I533">
            <v>24000</v>
          </cell>
          <cell r="J533">
            <v>19501.8</v>
          </cell>
          <cell r="K533">
            <v>24000</v>
          </cell>
          <cell r="L533">
            <v>19501.8</v>
          </cell>
          <cell r="M533">
            <v>22000</v>
          </cell>
          <cell r="N533">
            <v>80</v>
          </cell>
          <cell r="O533">
            <v>17600</v>
          </cell>
          <cell r="P533">
            <v>-9.7519203355587649</v>
          </cell>
          <cell r="Q533" t="str">
            <v>信息中心</v>
          </cell>
        </row>
        <row r="534">
          <cell r="B534" t="str">
            <v>001-0010756</v>
          </cell>
          <cell r="C534" t="str">
            <v>路由器</v>
          </cell>
          <cell r="D534" t="str">
            <v>CLSCC  2509</v>
          </cell>
          <cell r="F534" t="str">
            <v>台</v>
          </cell>
          <cell r="G534" t="str">
            <v>199912</v>
          </cell>
          <cell r="H534" t="str">
            <v>199912</v>
          </cell>
          <cell r="I534">
            <v>24000</v>
          </cell>
          <cell r="J534">
            <v>19501.8</v>
          </cell>
          <cell r="K534">
            <v>24000</v>
          </cell>
          <cell r="L534">
            <v>19501.8</v>
          </cell>
          <cell r="M534">
            <v>22000</v>
          </cell>
          <cell r="N534">
            <v>80</v>
          </cell>
          <cell r="O534">
            <v>17600</v>
          </cell>
          <cell r="P534">
            <v>-9.7519203355587649</v>
          </cell>
          <cell r="Q534" t="str">
            <v>信息中心</v>
          </cell>
        </row>
        <row r="535">
          <cell r="B535" t="str">
            <v>001-0010777</v>
          </cell>
          <cell r="C535" t="str">
            <v>RJ45/AUI 转换器</v>
          </cell>
          <cell r="D535" t="str">
            <v>3C16210</v>
          </cell>
          <cell r="F535" t="str">
            <v>台</v>
          </cell>
          <cell r="G535" t="str">
            <v>199912</v>
          </cell>
          <cell r="H535" t="str">
            <v>199912</v>
          </cell>
          <cell r="I535">
            <v>4900</v>
          </cell>
          <cell r="J535">
            <v>3981.63</v>
          </cell>
          <cell r="K535">
            <v>4900</v>
          </cell>
          <cell r="L535">
            <v>3981.63</v>
          </cell>
          <cell r="M535">
            <v>4900</v>
          </cell>
          <cell r="N535">
            <v>80</v>
          </cell>
          <cell r="O535">
            <v>3920</v>
          </cell>
          <cell r="P535">
            <v>-1.5478585403465441</v>
          </cell>
          <cell r="Q535" t="str">
            <v>信息中心</v>
          </cell>
        </row>
        <row r="536">
          <cell r="B536" t="str">
            <v>001-0010778</v>
          </cell>
          <cell r="C536" t="str">
            <v>检修与水工分厂管理网</v>
          </cell>
          <cell r="D536" t="str">
            <v/>
          </cell>
          <cell r="F536" t="str">
            <v>台</v>
          </cell>
          <cell r="G536" t="str">
            <v>199912</v>
          </cell>
          <cell r="H536" t="str">
            <v>199912</v>
          </cell>
          <cell r="I536">
            <v>955140</v>
          </cell>
          <cell r="J536">
            <v>776122.9</v>
          </cell>
          <cell r="K536">
            <v>955140</v>
          </cell>
          <cell r="L536">
            <v>776122.9</v>
          </cell>
          <cell r="M536">
            <v>90500</v>
          </cell>
          <cell r="N536">
            <v>80</v>
          </cell>
          <cell r="O536">
            <v>72400</v>
          </cell>
          <cell r="P536">
            <v>-90.671580493244036</v>
          </cell>
          <cell r="Q536" t="str">
            <v>信息中心</v>
          </cell>
        </row>
        <row r="537">
          <cell r="B537" t="str">
            <v>001-0010783</v>
          </cell>
          <cell r="C537" t="str">
            <v>UPS电源</v>
          </cell>
          <cell r="D537" t="str">
            <v>梅兰日兰MGEX20在线式</v>
          </cell>
          <cell r="F537" t="str">
            <v>台</v>
          </cell>
          <cell r="G537" t="str">
            <v>199912</v>
          </cell>
          <cell r="H537" t="str">
            <v>199912</v>
          </cell>
          <cell r="I537">
            <v>31890</v>
          </cell>
          <cell r="J537">
            <v>28302.36</v>
          </cell>
          <cell r="K537">
            <v>31890</v>
          </cell>
          <cell r="L537">
            <v>28302.36</v>
          </cell>
          <cell r="M537">
            <v>30000</v>
          </cell>
          <cell r="N537">
            <v>80</v>
          </cell>
          <cell r="O537">
            <v>24000</v>
          </cell>
          <cell r="P537">
            <v>-15.201417832293846</v>
          </cell>
          <cell r="Q537" t="str">
            <v>信息中心</v>
          </cell>
        </row>
        <row r="538">
          <cell r="B538" t="str">
            <v>001-0011529</v>
          </cell>
          <cell r="C538" t="str">
            <v>激光打印机</v>
          </cell>
          <cell r="D538" t="str">
            <v>联想LJ6C+(Ⅱ)A3</v>
          </cell>
          <cell r="F538" t="str">
            <v>台</v>
          </cell>
          <cell r="G538" t="str">
            <v>200009</v>
          </cell>
          <cell r="H538" t="str">
            <v>200009</v>
          </cell>
          <cell r="I538">
            <v>8650</v>
          </cell>
          <cell r="J538">
            <v>7028.14</v>
          </cell>
          <cell r="K538">
            <v>8650</v>
          </cell>
          <cell r="L538">
            <v>7028.14</v>
          </cell>
          <cell r="M538">
            <v>6500</v>
          </cell>
          <cell r="N538">
            <v>80</v>
          </cell>
          <cell r="O538">
            <v>5200</v>
          </cell>
          <cell r="P538">
            <v>-26.011718605491641</v>
          </cell>
          <cell r="Q538" t="str">
            <v>信息中心</v>
          </cell>
        </row>
        <row r="539">
          <cell r="B539" t="str">
            <v>001-0011530</v>
          </cell>
          <cell r="C539" t="str">
            <v>激光打印机</v>
          </cell>
          <cell r="D539" t="str">
            <v>联想LJ6C+(Ⅱ)A3</v>
          </cell>
          <cell r="F539" t="str">
            <v>台</v>
          </cell>
          <cell r="G539" t="str">
            <v>200009</v>
          </cell>
          <cell r="H539" t="str">
            <v>200009</v>
          </cell>
          <cell r="I539">
            <v>8650</v>
          </cell>
          <cell r="J539">
            <v>7028.14</v>
          </cell>
          <cell r="K539">
            <v>8650</v>
          </cell>
          <cell r="L539">
            <v>7028.14</v>
          </cell>
          <cell r="M539">
            <v>6500</v>
          </cell>
          <cell r="N539">
            <v>80</v>
          </cell>
          <cell r="O539">
            <v>5200</v>
          </cell>
          <cell r="P539">
            <v>-26.011718605491641</v>
          </cell>
          <cell r="Q539" t="str">
            <v>信息中心</v>
          </cell>
        </row>
        <row r="540">
          <cell r="B540" t="str">
            <v>001-0011531</v>
          </cell>
          <cell r="C540" t="str">
            <v>激光打印机</v>
          </cell>
          <cell r="D540" t="str">
            <v>联想LJ6C+(Ⅱ)A3</v>
          </cell>
          <cell r="F540" t="str">
            <v>台</v>
          </cell>
          <cell r="G540" t="str">
            <v>200009</v>
          </cell>
          <cell r="H540" t="str">
            <v>200009</v>
          </cell>
          <cell r="I540">
            <v>8650</v>
          </cell>
          <cell r="J540">
            <v>7028.14</v>
          </cell>
          <cell r="K540">
            <v>8650</v>
          </cell>
          <cell r="L540">
            <v>7028.14</v>
          </cell>
          <cell r="M540">
            <v>6500</v>
          </cell>
          <cell r="N540">
            <v>80</v>
          </cell>
          <cell r="O540">
            <v>5200</v>
          </cell>
          <cell r="P540">
            <v>-26.011718605491641</v>
          </cell>
          <cell r="Q540" t="str">
            <v>信息中心</v>
          </cell>
        </row>
        <row r="541">
          <cell r="B541" t="str">
            <v>001-0011536</v>
          </cell>
          <cell r="C541" t="str">
            <v>海尔空调</v>
          </cell>
          <cell r="D541" t="str">
            <v>KFRD-71LWF</v>
          </cell>
          <cell r="F541" t="str">
            <v>台</v>
          </cell>
          <cell r="G541" t="str">
            <v>200009</v>
          </cell>
          <cell r="H541" t="str">
            <v>200009</v>
          </cell>
          <cell r="I541">
            <v>8450</v>
          </cell>
          <cell r="J541">
            <v>7545</v>
          </cell>
          <cell r="K541">
            <v>8450</v>
          </cell>
          <cell r="L541">
            <v>7545</v>
          </cell>
          <cell r="M541">
            <v>6500</v>
          </cell>
          <cell r="N541">
            <v>80</v>
          </cell>
          <cell r="O541">
            <v>5200</v>
          </cell>
          <cell r="P541">
            <v>-31.080185553346588</v>
          </cell>
          <cell r="Q541" t="str">
            <v>信息中心</v>
          </cell>
        </row>
        <row r="542">
          <cell r="B542" t="str">
            <v>001-0011692</v>
          </cell>
          <cell r="C542" t="str">
            <v>打印机</v>
          </cell>
          <cell r="D542" t="str">
            <v>HP6LP10</v>
          </cell>
          <cell r="F542" t="str">
            <v>台</v>
          </cell>
          <cell r="G542" t="str">
            <v>200012</v>
          </cell>
          <cell r="H542" t="str">
            <v>200012</v>
          </cell>
          <cell r="I542">
            <v>3150</v>
          </cell>
          <cell r="J542">
            <v>2657.82</v>
          </cell>
          <cell r="K542">
            <v>3150</v>
          </cell>
          <cell r="L542">
            <v>2657.82</v>
          </cell>
          <cell r="M542">
            <v>2800</v>
          </cell>
          <cell r="N542">
            <v>80</v>
          </cell>
          <cell r="O542">
            <v>2240</v>
          </cell>
          <cell r="P542">
            <v>-15.720402435078379</v>
          </cell>
          <cell r="Q542" t="str">
            <v>信息中心</v>
          </cell>
        </row>
        <row r="543">
          <cell r="B543" t="str">
            <v>001-0011693</v>
          </cell>
          <cell r="C543" t="str">
            <v>打印机</v>
          </cell>
          <cell r="D543" t="str">
            <v>HP6LP10</v>
          </cell>
          <cell r="F543" t="str">
            <v>台</v>
          </cell>
          <cell r="G543" t="str">
            <v>200012</v>
          </cell>
          <cell r="H543" t="str">
            <v>200012</v>
          </cell>
          <cell r="I543">
            <v>3150</v>
          </cell>
          <cell r="J543">
            <v>2657.82</v>
          </cell>
          <cell r="K543">
            <v>3150</v>
          </cell>
          <cell r="L543">
            <v>2657.82</v>
          </cell>
          <cell r="M543">
            <v>2800</v>
          </cell>
          <cell r="N543">
            <v>80</v>
          </cell>
          <cell r="O543">
            <v>2240</v>
          </cell>
          <cell r="P543">
            <v>-15.720402435078379</v>
          </cell>
          <cell r="Q543" t="str">
            <v>信息中心</v>
          </cell>
        </row>
        <row r="544">
          <cell r="B544" t="str">
            <v>001-0011694</v>
          </cell>
          <cell r="C544" t="str">
            <v>打印机</v>
          </cell>
          <cell r="D544" t="str">
            <v>HP6LP10</v>
          </cell>
          <cell r="F544" t="str">
            <v>台</v>
          </cell>
          <cell r="G544" t="str">
            <v>200012</v>
          </cell>
          <cell r="H544" t="str">
            <v>200012</v>
          </cell>
          <cell r="I544">
            <v>3150</v>
          </cell>
          <cell r="J544">
            <v>2657.82</v>
          </cell>
          <cell r="K544">
            <v>3150</v>
          </cell>
          <cell r="L544">
            <v>2657.82</v>
          </cell>
          <cell r="M544">
            <v>2800</v>
          </cell>
          <cell r="N544">
            <v>80</v>
          </cell>
          <cell r="O544">
            <v>2240</v>
          </cell>
          <cell r="P544">
            <v>-15.720402435078379</v>
          </cell>
          <cell r="Q544" t="str">
            <v>信息中心</v>
          </cell>
        </row>
        <row r="545">
          <cell r="B545" t="str">
            <v>001-0011695</v>
          </cell>
          <cell r="C545" t="str">
            <v>打印机</v>
          </cell>
          <cell r="D545" t="str">
            <v>HP6LP10</v>
          </cell>
          <cell r="F545" t="str">
            <v>台</v>
          </cell>
          <cell r="G545" t="str">
            <v>200012</v>
          </cell>
          <cell r="H545" t="str">
            <v>200012</v>
          </cell>
          <cell r="I545">
            <v>3150</v>
          </cell>
          <cell r="J545">
            <v>2657.82</v>
          </cell>
          <cell r="K545">
            <v>3150</v>
          </cell>
          <cell r="L545">
            <v>2657.82</v>
          </cell>
          <cell r="M545">
            <v>2800</v>
          </cell>
          <cell r="N545">
            <v>80</v>
          </cell>
          <cell r="O545">
            <v>2240</v>
          </cell>
          <cell r="P545">
            <v>-15.720402435078379</v>
          </cell>
          <cell r="Q545" t="str">
            <v>信息中心</v>
          </cell>
        </row>
        <row r="546">
          <cell r="B546" t="str">
            <v>001-0011696</v>
          </cell>
          <cell r="C546" t="str">
            <v>打印机</v>
          </cell>
          <cell r="D546" t="str">
            <v>HP6LP10</v>
          </cell>
          <cell r="F546" t="str">
            <v>台</v>
          </cell>
          <cell r="G546" t="str">
            <v>200012</v>
          </cell>
          <cell r="H546" t="str">
            <v>200012</v>
          </cell>
          <cell r="I546">
            <v>3150</v>
          </cell>
          <cell r="J546">
            <v>2657.82</v>
          </cell>
          <cell r="K546">
            <v>3150</v>
          </cell>
          <cell r="L546">
            <v>2657.82</v>
          </cell>
          <cell r="M546">
            <v>2800</v>
          </cell>
          <cell r="N546">
            <v>80</v>
          </cell>
          <cell r="O546">
            <v>2240</v>
          </cell>
          <cell r="P546">
            <v>-15.720402435078379</v>
          </cell>
          <cell r="Q546" t="str">
            <v>信息中心</v>
          </cell>
        </row>
        <row r="547">
          <cell r="B547" t="str">
            <v>001-0011697</v>
          </cell>
          <cell r="C547" t="str">
            <v>打印机</v>
          </cell>
          <cell r="D547" t="str">
            <v>HP6LP10</v>
          </cell>
          <cell r="F547" t="str">
            <v>台</v>
          </cell>
          <cell r="G547" t="str">
            <v>200012</v>
          </cell>
          <cell r="H547" t="str">
            <v>200012</v>
          </cell>
          <cell r="I547">
            <v>3150</v>
          </cell>
          <cell r="J547">
            <v>2657.82</v>
          </cell>
          <cell r="K547">
            <v>3150</v>
          </cell>
          <cell r="L547">
            <v>2657.82</v>
          </cell>
          <cell r="M547">
            <v>2800</v>
          </cell>
          <cell r="N547">
            <v>80</v>
          </cell>
          <cell r="O547">
            <v>2240</v>
          </cell>
          <cell r="P547">
            <v>-15.720402435078379</v>
          </cell>
          <cell r="Q547" t="str">
            <v>信息中心</v>
          </cell>
        </row>
        <row r="548">
          <cell r="B548" t="str">
            <v>001-0011698</v>
          </cell>
          <cell r="C548" t="str">
            <v>打印机</v>
          </cell>
          <cell r="D548" t="str">
            <v>HP6LP10</v>
          </cell>
          <cell r="F548" t="str">
            <v>台</v>
          </cell>
          <cell r="G548" t="str">
            <v>200012</v>
          </cell>
          <cell r="H548" t="str">
            <v>200012</v>
          </cell>
          <cell r="I548">
            <v>3150</v>
          </cell>
          <cell r="J548">
            <v>2657.82</v>
          </cell>
          <cell r="K548">
            <v>3150</v>
          </cell>
          <cell r="L548">
            <v>2657.82</v>
          </cell>
          <cell r="M548">
            <v>2800</v>
          </cell>
          <cell r="N548">
            <v>80</v>
          </cell>
          <cell r="O548">
            <v>2240</v>
          </cell>
          <cell r="P548">
            <v>-15.720402435078379</v>
          </cell>
          <cell r="Q548" t="str">
            <v>信息中心</v>
          </cell>
        </row>
        <row r="549">
          <cell r="B549" t="str">
            <v>001-0011749</v>
          </cell>
          <cell r="C549" t="str">
            <v>笔记本电脑</v>
          </cell>
          <cell r="D549" t="str">
            <v>DELL</v>
          </cell>
          <cell r="F549" t="str">
            <v>台</v>
          </cell>
          <cell r="G549" t="str">
            <v>200012</v>
          </cell>
          <cell r="H549" t="str">
            <v>200012</v>
          </cell>
          <cell r="I549">
            <v>23000</v>
          </cell>
          <cell r="J549">
            <v>20124.990000000002</v>
          </cell>
          <cell r="K549">
            <v>23000</v>
          </cell>
          <cell r="L549">
            <v>20124.990000000002</v>
          </cell>
          <cell r="M549">
            <v>20000</v>
          </cell>
          <cell r="N549">
            <v>80</v>
          </cell>
          <cell r="O549">
            <v>16000</v>
          </cell>
          <cell r="P549">
            <v>-20.496854905269522</v>
          </cell>
          <cell r="Q549" t="str">
            <v>信息中心</v>
          </cell>
        </row>
        <row r="550">
          <cell r="B550" t="str">
            <v>001-0011750</v>
          </cell>
          <cell r="C550" t="str">
            <v>计算机</v>
          </cell>
          <cell r="D550" t="str">
            <v>DELL</v>
          </cell>
          <cell r="F550" t="str">
            <v>台</v>
          </cell>
          <cell r="G550" t="str">
            <v>200012</v>
          </cell>
          <cell r="H550" t="str">
            <v>200012</v>
          </cell>
          <cell r="I550">
            <v>11800</v>
          </cell>
          <cell r="J550">
            <v>10325.01</v>
          </cell>
          <cell r="K550">
            <v>11800</v>
          </cell>
          <cell r="L550">
            <v>10325.01</v>
          </cell>
          <cell r="M550">
            <v>10000</v>
          </cell>
          <cell r="N550">
            <v>80</v>
          </cell>
          <cell r="O550">
            <v>8000</v>
          </cell>
          <cell r="P550">
            <v>-22.518234849167218</v>
          </cell>
          <cell r="Q550" t="str">
            <v>信息中心</v>
          </cell>
        </row>
        <row r="551">
          <cell r="B551" t="str">
            <v>001-0011751</v>
          </cell>
          <cell r="C551" t="str">
            <v>计算机</v>
          </cell>
          <cell r="D551" t="str">
            <v>DELL</v>
          </cell>
          <cell r="F551" t="str">
            <v>台</v>
          </cell>
          <cell r="G551" t="str">
            <v>200012</v>
          </cell>
          <cell r="H551" t="str">
            <v>200012</v>
          </cell>
          <cell r="I551">
            <v>11800</v>
          </cell>
          <cell r="J551">
            <v>10325.01</v>
          </cell>
          <cell r="K551">
            <v>11800</v>
          </cell>
          <cell r="L551">
            <v>10325.01</v>
          </cell>
          <cell r="M551">
            <v>10000</v>
          </cell>
          <cell r="N551">
            <v>80</v>
          </cell>
          <cell r="O551">
            <v>8000</v>
          </cell>
          <cell r="P551">
            <v>-22.518234849167218</v>
          </cell>
          <cell r="Q551" t="str">
            <v>信息中心</v>
          </cell>
        </row>
        <row r="552">
          <cell r="B552" t="str">
            <v>001-0011752</v>
          </cell>
          <cell r="C552" t="str">
            <v>计算机</v>
          </cell>
          <cell r="D552" t="str">
            <v>DELL</v>
          </cell>
          <cell r="F552" t="str">
            <v>台</v>
          </cell>
          <cell r="G552" t="str">
            <v>200012</v>
          </cell>
          <cell r="H552" t="str">
            <v>200012</v>
          </cell>
          <cell r="I552">
            <v>12800</v>
          </cell>
          <cell r="J552">
            <v>11199.99</v>
          </cell>
          <cell r="K552">
            <v>12800</v>
          </cell>
          <cell r="L552">
            <v>11199.99</v>
          </cell>
          <cell r="M552">
            <v>10000</v>
          </cell>
          <cell r="N552">
            <v>80</v>
          </cell>
          <cell r="O552">
            <v>8000</v>
          </cell>
          <cell r="P552">
            <v>-28.571364795861427</v>
          </cell>
          <cell r="Q552" t="str">
            <v>信息中心</v>
          </cell>
        </row>
        <row r="553">
          <cell r="B553" t="str">
            <v>001-0011982</v>
          </cell>
          <cell r="C553" t="str">
            <v>主干路交换机</v>
          </cell>
          <cell r="D553" t="str">
            <v>HPSWITCH2000</v>
          </cell>
          <cell r="F553" t="str">
            <v>台</v>
          </cell>
          <cell r="G553" t="str">
            <v>200012</v>
          </cell>
          <cell r="H553" t="str">
            <v>200012</v>
          </cell>
          <cell r="I553">
            <v>133800</v>
          </cell>
          <cell r="J553">
            <v>126190.11</v>
          </cell>
          <cell r="K553">
            <v>133800</v>
          </cell>
          <cell r="L553">
            <v>126190.11</v>
          </cell>
          <cell r="M553">
            <v>130000</v>
          </cell>
          <cell r="N553">
            <v>90</v>
          </cell>
          <cell r="O553">
            <v>117000</v>
          </cell>
          <cell r="P553">
            <v>-7.2827498129607786</v>
          </cell>
          <cell r="Q553" t="str">
            <v>信息中心</v>
          </cell>
        </row>
        <row r="554">
          <cell r="B554" t="str">
            <v>001-0011983</v>
          </cell>
          <cell r="C554" t="str">
            <v>子网交换机</v>
          </cell>
          <cell r="D554" t="str">
            <v>HPSWITCH800T</v>
          </cell>
          <cell r="F554" t="str">
            <v>台</v>
          </cell>
          <cell r="G554" t="str">
            <v>200012</v>
          </cell>
          <cell r="H554" t="str">
            <v>200012</v>
          </cell>
          <cell r="I554">
            <v>101600</v>
          </cell>
          <cell r="J554">
            <v>95821.51</v>
          </cell>
          <cell r="K554">
            <v>101600</v>
          </cell>
          <cell r="L554">
            <v>95821.51</v>
          </cell>
          <cell r="M554">
            <v>100000</v>
          </cell>
          <cell r="N554">
            <v>90</v>
          </cell>
          <cell r="O554">
            <v>90000</v>
          </cell>
          <cell r="P554">
            <v>-6.075368672441078</v>
          </cell>
          <cell r="Q554" t="str">
            <v>信息中心</v>
          </cell>
        </row>
        <row r="555">
          <cell r="B555" t="str">
            <v>001-0011984</v>
          </cell>
          <cell r="C555" t="str">
            <v>数据库服务器</v>
          </cell>
          <cell r="D555" t="str">
            <v/>
          </cell>
          <cell r="F555" t="str">
            <v>台</v>
          </cell>
          <cell r="G555" t="str">
            <v>200012</v>
          </cell>
          <cell r="H555" t="str">
            <v>200012</v>
          </cell>
          <cell r="I555">
            <v>63450</v>
          </cell>
          <cell r="J555">
            <v>55518.75</v>
          </cell>
          <cell r="K555">
            <v>63450</v>
          </cell>
          <cell r="L555">
            <v>55518.75</v>
          </cell>
          <cell r="M555">
            <v>57000</v>
          </cell>
          <cell r="N555">
            <v>90</v>
          </cell>
          <cell r="O555">
            <v>51300</v>
          </cell>
          <cell r="P555">
            <v>-7.598784194528875</v>
          </cell>
          <cell r="Q555" t="str">
            <v>信息中心</v>
          </cell>
        </row>
        <row r="556">
          <cell r="B556" t="str">
            <v>001-0011985</v>
          </cell>
          <cell r="C556" t="str">
            <v>工控通讯机</v>
          </cell>
          <cell r="D556" t="str">
            <v>带61×70×160机柜</v>
          </cell>
          <cell r="F556" t="str">
            <v>台</v>
          </cell>
          <cell r="G556" t="str">
            <v>200012</v>
          </cell>
          <cell r="H556" t="str">
            <v>200012</v>
          </cell>
          <cell r="I556">
            <v>25650</v>
          </cell>
          <cell r="J556">
            <v>24046.86</v>
          </cell>
          <cell r="K556">
            <v>25650</v>
          </cell>
          <cell r="L556">
            <v>24046.86</v>
          </cell>
          <cell r="M556">
            <v>25000</v>
          </cell>
          <cell r="N556">
            <v>90</v>
          </cell>
          <cell r="O556">
            <v>22500</v>
          </cell>
          <cell r="P556">
            <v>-6.432690172438317</v>
          </cell>
          <cell r="Q556" t="str">
            <v>信息中心</v>
          </cell>
        </row>
        <row r="557">
          <cell r="B557" t="str">
            <v>001-0011986</v>
          </cell>
          <cell r="C557" t="str">
            <v>工控通讯机</v>
          </cell>
          <cell r="D557" t="str">
            <v>带61×70×160机柜</v>
          </cell>
          <cell r="F557" t="str">
            <v>台</v>
          </cell>
          <cell r="G557" t="str">
            <v>200012</v>
          </cell>
          <cell r="H557" t="str">
            <v>200012</v>
          </cell>
          <cell r="I557">
            <v>25650</v>
          </cell>
          <cell r="J557">
            <v>24046.86</v>
          </cell>
          <cell r="K557">
            <v>25650</v>
          </cell>
          <cell r="L557">
            <v>24046.86</v>
          </cell>
          <cell r="M557">
            <v>25000</v>
          </cell>
          <cell r="N557">
            <v>90</v>
          </cell>
          <cell r="O557">
            <v>22500</v>
          </cell>
          <cell r="P557">
            <v>-6.432690172438317</v>
          </cell>
          <cell r="Q557" t="str">
            <v>信息中心</v>
          </cell>
        </row>
        <row r="558">
          <cell r="B558" t="str">
            <v>001-0011987</v>
          </cell>
          <cell r="C558" t="str">
            <v>光缆</v>
          </cell>
          <cell r="D558" t="str">
            <v>4芯</v>
          </cell>
          <cell r="F558" t="str">
            <v/>
          </cell>
          <cell r="G558" t="str">
            <v>200012</v>
          </cell>
          <cell r="H558" t="str">
            <v>200012</v>
          </cell>
          <cell r="I558">
            <v>24850</v>
          </cell>
          <cell r="J558">
            <v>23480.15</v>
          </cell>
          <cell r="K558">
            <v>24850</v>
          </cell>
          <cell r="L558">
            <v>23480.15</v>
          </cell>
          <cell r="M558">
            <v>24800</v>
          </cell>
          <cell r="N558">
            <v>90</v>
          </cell>
          <cell r="O558">
            <v>22320</v>
          </cell>
          <cell r="P558">
            <v>-4.9409820635728536</v>
          </cell>
          <cell r="Q558" t="str">
            <v>信息中心</v>
          </cell>
        </row>
        <row r="559">
          <cell r="B559" t="str">
            <v>001-0018019</v>
          </cell>
          <cell r="C559" t="str">
            <v>网络测试仪</v>
          </cell>
          <cell r="D559" t="str">
            <v>FLUKE DSP4000</v>
          </cell>
          <cell r="F559" t="str">
            <v>套</v>
          </cell>
          <cell r="G559" t="str">
            <v>200107</v>
          </cell>
          <cell r="H559" t="str">
            <v>200107</v>
          </cell>
          <cell r="I559">
            <v>54500</v>
          </cell>
          <cell r="J559">
            <v>51851.76</v>
          </cell>
          <cell r="K559">
            <v>54500</v>
          </cell>
          <cell r="L559">
            <v>51851.76</v>
          </cell>
          <cell r="M559">
            <v>54000</v>
          </cell>
          <cell r="N559">
            <v>95</v>
          </cell>
          <cell r="O559">
            <v>51300</v>
          </cell>
          <cell r="P559">
            <v>-1.064110456424241</v>
          </cell>
          <cell r="Q559" t="str">
            <v>信息中心</v>
          </cell>
        </row>
        <row r="560">
          <cell r="B560" t="str">
            <v>001-0018020</v>
          </cell>
          <cell r="C560" t="str">
            <v>网络万用仪</v>
          </cell>
          <cell r="D560" t="str">
            <v>FULKE NT-IL</v>
          </cell>
          <cell r="F560" t="str">
            <v>个</v>
          </cell>
          <cell r="G560" t="str">
            <v>200107</v>
          </cell>
          <cell r="H560" t="str">
            <v>200107</v>
          </cell>
          <cell r="I560">
            <v>18300</v>
          </cell>
          <cell r="J560">
            <v>17410.78</v>
          </cell>
          <cell r="K560">
            <v>18300</v>
          </cell>
          <cell r="L560">
            <v>17410.78</v>
          </cell>
          <cell r="M560">
            <v>18000</v>
          </cell>
          <cell r="N560">
            <v>95</v>
          </cell>
          <cell r="O560">
            <v>17100</v>
          </cell>
          <cell r="P560">
            <v>-1.784986083334571</v>
          </cell>
          <cell r="Q560" t="str">
            <v>信息中心</v>
          </cell>
        </row>
        <row r="561">
          <cell r="B561" t="str">
            <v>001-0018061</v>
          </cell>
          <cell r="C561" t="str">
            <v>设备运行与管理子系统</v>
          </cell>
          <cell r="D561" t="str">
            <v>软件开发</v>
          </cell>
          <cell r="F561" t="str">
            <v>套</v>
          </cell>
          <cell r="G561" t="str">
            <v>200108</v>
          </cell>
          <cell r="H561" t="str">
            <v>200108</v>
          </cell>
          <cell r="I561">
            <v>628400</v>
          </cell>
          <cell r="J561">
            <v>602227.15</v>
          </cell>
          <cell r="K561">
            <v>628400</v>
          </cell>
          <cell r="L561">
            <v>602227.15</v>
          </cell>
          <cell r="M561">
            <v>620000</v>
          </cell>
          <cell r="N561">
            <v>95</v>
          </cell>
          <cell r="O561">
            <v>589000</v>
          </cell>
          <cell r="P561">
            <v>-2.1963722492418389</v>
          </cell>
          <cell r="Q561" t="str">
            <v>信息中心</v>
          </cell>
        </row>
        <row r="562">
          <cell r="B562" t="str">
            <v>001-0018088</v>
          </cell>
          <cell r="C562" t="str">
            <v>光纤测试套件</v>
          </cell>
          <cell r="D562" t="str">
            <v>FLUKDSP-FTK</v>
          </cell>
          <cell r="F562" t="str">
            <v>台</v>
          </cell>
          <cell r="G562" t="str">
            <v>200108</v>
          </cell>
          <cell r="H562" t="str">
            <v>200108</v>
          </cell>
          <cell r="I562">
            <v>10000</v>
          </cell>
          <cell r="J562">
            <v>10000</v>
          </cell>
          <cell r="K562">
            <v>10000</v>
          </cell>
          <cell r="L562">
            <v>10000</v>
          </cell>
          <cell r="M562">
            <v>10000</v>
          </cell>
          <cell r="N562">
            <v>95</v>
          </cell>
          <cell r="O562">
            <v>9500</v>
          </cell>
          <cell r="P562">
            <v>-5</v>
          </cell>
          <cell r="Q562" t="str">
            <v>信息中心</v>
          </cell>
        </row>
        <row r="563">
          <cell r="B563" t="str">
            <v>001-0019246</v>
          </cell>
          <cell r="C563" t="str">
            <v>空调</v>
          </cell>
          <cell r="D563" t="str">
            <v>海尔KFrd-71LWSF</v>
          </cell>
          <cell r="F563" t="str">
            <v>台</v>
          </cell>
          <cell r="G563" t="str">
            <v>200111</v>
          </cell>
          <cell r="H563" t="str">
            <v>200111</v>
          </cell>
          <cell r="I563">
            <v>8480</v>
          </cell>
          <cell r="J563">
            <v>8480</v>
          </cell>
          <cell r="K563">
            <v>8480</v>
          </cell>
          <cell r="L563">
            <v>8480</v>
          </cell>
          <cell r="M563">
            <v>6500</v>
          </cell>
          <cell r="N563">
            <v>95</v>
          </cell>
          <cell r="O563">
            <v>6175</v>
          </cell>
          <cell r="P563">
            <v>-27.181603773584907</v>
          </cell>
          <cell r="Q563" t="str">
            <v>信息中心</v>
          </cell>
        </row>
        <row r="564">
          <cell r="B564" t="str">
            <v>001-0019257</v>
          </cell>
          <cell r="C564" t="str">
            <v>软件</v>
          </cell>
          <cell r="D564" t="str">
            <v>Formail</v>
          </cell>
          <cell r="F564" t="str">
            <v>套</v>
          </cell>
          <cell r="G564" t="str">
            <v>200111</v>
          </cell>
          <cell r="H564" t="str">
            <v>200111</v>
          </cell>
          <cell r="I564">
            <v>22000</v>
          </cell>
          <cell r="J564">
            <v>21450.01</v>
          </cell>
          <cell r="K564">
            <v>22000</v>
          </cell>
          <cell r="L564">
            <v>21450.01</v>
          </cell>
          <cell r="M564">
            <v>22000</v>
          </cell>
          <cell r="N564">
            <v>95</v>
          </cell>
          <cell r="O564">
            <v>20900</v>
          </cell>
          <cell r="P564">
            <v>-2.5641479887421892</v>
          </cell>
          <cell r="Q564" t="str">
            <v>信息中心</v>
          </cell>
        </row>
        <row r="565">
          <cell r="B565" t="str">
            <v>001-0019274</v>
          </cell>
          <cell r="C565" t="str">
            <v>计算机</v>
          </cell>
          <cell r="D565" t="str">
            <v>DELL</v>
          </cell>
          <cell r="F565" t="str">
            <v>台</v>
          </cell>
          <cell r="G565" t="str">
            <v>200111</v>
          </cell>
          <cell r="H565" t="str">
            <v>200111</v>
          </cell>
          <cell r="I565">
            <v>11337</v>
          </cell>
          <cell r="J565">
            <v>11053.56</v>
          </cell>
          <cell r="K565">
            <v>11337</v>
          </cell>
          <cell r="L565">
            <v>11053.56</v>
          </cell>
          <cell r="M565">
            <v>11000</v>
          </cell>
          <cell r="N565">
            <v>95</v>
          </cell>
          <cell r="O565">
            <v>10450</v>
          </cell>
          <cell r="P565">
            <v>-5.4603222853089823</v>
          </cell>
          <cell r="Q565" t="str">
            <v>信息中心</v>
          </cell>
        </row>
        <row r="566">
          <cell r="B566" t="str">
            <v>001-0019275</v>
          </cell>
          <cell r="C566" t="str">
            <v>计算机</v>
          </cell>
          <cell r="D566" t="str">
            <v>DELL</v>
          </cell>
          <cell r="F566" t="str">
            <v>台</v>
          </cell>
          <cell r="G566" t="str">
            <v>200111</v>
          </cell>
          <cell r="H566" t="str">
            <v>200111</v>
          </cell>
          <cell r="I566">
            <v>11337</v>
          </cell>
          <cell r="J566">
            <v>11053.56</v>
          </cell>
          <cell r="K566">
            <v>11337</v>
          </cell>
          <cell r="L566">
            <v>11053.56</v>
          </cell>
          <cell r="M566">
            <v>11000</v>
          </cell>
          <cell r="N566">
            <v>95</v>
          </cell>
          <cell r="O566">
            <v>10450</v>
          </cell>
          <cell r="P566">
            <v>-5.4603222853089823</v>
          </cell>
          <cell r="Q566" t="str">
            <v>信息中心</v>
          </cell>
        </row>
        <row r="567">
          <cell r="B567" t="str">
            <v>001-0019276</v>
          </cell>
          <cell r="C567" t="str">
            <v>计算机</v>
          </cell>
          <cell r="D567" t="str">
            <v>DELL</v>
          </cell>
          <cell r="F567" t="str">
            <v>台</v>
          </cell>
          <cell r="G567" t="str">
            <v>200111</v>
          </cell>
          <cell r="H567" t="str">
            <v>200111</v>
          </cell>
          <cell r="I567">
            <v>11337</v>
          </cell>
          <cell r="J567">
            <v>11053.56</v>
          </cell>
          <cell r="K567">
            <v>11337</v>
          </cell>
          <cell r="L567">
            <v>11053.56</v>
          </cell>
          <cell r="M567">
            <v>11000</v>
          </cell>
          <cell r="N567">
            <v>95</v>
          </cell>
          <cell r="O567">
            <v>10450</v>
          </cell>
          <cell r="P567">
            <v>-5.4603222853089823</v>
          </cell>
          <cell r="Q567" t="str">
            <v>信息中心</v>
          </cell>
        </row>
        <row r="568">
          <cell r="B568" t="str">
            <v>001-0019518</v>
          </cell>
          <cell r="C568" t="str">
            <v>路由器</v>
          </cell>
          <cell r="D568" t="str">
            <v/>
          </cell>
          <cell r="F568" t="str">
            <v>只</v>
          </cell>
          <cell r="G568" t="str">
            <v>200112</v>
          </cell>
          <cell r="H568" t="str">
            <v>200112</v>
          </cell>
          <cell r="I568">
            <v>57978</v>
          </cell>
          <cell r="J568">
            <v>57494.84</v>
          </cell>
          <cell r="K568">
            <v>57978</v>
          </cell>
          <cell r="L568">
            <v>57494.84</v>
          </cell>
          <cell r="M568">
            <v>58000</v>
          </cell>
          <cell r="N568">
            <v>95</v>
          </cell>
          <cell r="O568">
            <v>55100</v>
          </cell>
          <cell r="P568">
            <v>-4.165312921994385</v>
          </cell>
          <cell r="Q568" t="str">
            <v>信息中心</v>
          </cell>
        </row>
        <row r="569">
          <cell r="B569" t="str">
            <v>001-0019536</v>
          </cell>
          <cell r="C569" t="str">
            <v>交换机</v>
          </cell>
          <cell r="D569" t="str">
            <v>3C16981</v>
          </cell>
          <cell r="F569" t="str">
            <v>台</v>
          </cell>
          <cell r="G569" t="str">
            <v>200112</v>
          </cell>
          <cell r="H569" t="str">
            <v>200112</v>
          </cell>
          <cell r="I569">
            <v>12000</v>
          </cell>
          <cell r="J569">
            <v>12000</v>
          </cell>
          <cell r="K569">
            <v>12000</v>
          </cell>
          <cell r="L569">
            <v>12000</v>
          </cell>
          <cell r="M569">
            <v>12000</v>
          </cell>
          <cell r="N569">
            <v>95</v>
          </cell>
          <cell r="O569">
            <v>11400</v>
          </cell>
          <cell r="P569">
            <v>-5</v>
          </cell>
          <cell r="Q569" t="str">
            <v>信息中心</v>
          </cell>
        </row>
        <row r="570">
          <cell r="B570" t="str">
            <v>001-0019537</v>
          </cell>
          <cell r="C570" t="str">
            <v>交换机</v>
          </cell>
          <cell r="D570" t="str">
            <v>3C16981</v>
          </cell>
          <cell r="F570" t="str">
            <v>台</v>
          </cell>
          <cell r="G570" t="str">
            <v>200112</v>
          </cell>
          <cell r="H570" t="str">
            <v>200112</v>
          </cell>
          <cell r="I570">
            <v>12000</v>
          </cell>
          <cell r="J570">
            <v>12000</v>
          </cell>
          <cell r="K570">
            <v>12000</v>
          </cell>
          <cell r="L570">
            <v>12000</v>
          </cell>
          <cell r="M570">
            <v>12000</v>
          </cell>
          <cell r="N570">
            <v>95</v>
          </cell>
          <cell r="O570">
            <v>11400</v>
          </cell>
          <cell r="P570">
            <v>-5</v>
          </cell>
          <cell r="Q570" t="str">
            <v>信息中心</v>
          </cell>
        </row>
        <row r="571">
          <cell r="B571" t="str">
            <v>001-0019538</v>
          </cell>
          <cell r="C571" t="str">
            <v>交换机</v>
          </cell>
          <cell r="D571" t="str">
            <v>3C16981</v>
          </cell>
          <cell r="F571" t="str">
            <v>台</v>
          </cell>
          <cell r="G571" t="str">
            <v>200112</v>
          </cell>
          <cell r="H571" t="str">
            <v>200112</v>
          </cell>
          <cell r="I571">
            <v>12000</v>
          </cell>
          <cell r="J571">
            <v>12000</v>
          </cell>
          <cell r="K571">
            <v>12000</v>
          </cell>
          <cell r="L571">
            <v>12000</v>
          </cell>
          <cell r="M571">
            <v>12000</v>
          </cell>
          <cell r="N571">
            <v>95</v>
          </cell>
          <cell r="O571">
            <v>11400</v>
          </cell>
          <cell r="P571">
            <v>-5</v>
          </cell>
          <cell r="Q571" t="str">
            <v>信息中心</v>
          </cell>
        </row>
        <row r="572">
          <cell r="B572" t="str">
            <v>001-0019539</v>
          </cell>
          <cell r="C572" t="str">
            <v>交换机</v>
          </cell>
          <cell r="D572" t="str">
            <v>3C16981</v>
          </cell>
          <cell r="F572" t="str">
            <v>台</v>
          </cell>
          <cell r="G572" t="str">
            <v>200112</v>
          </cell>
          <cell r="H572" t="str">
            <v>200112</v>
          </cell>
          <cell r="I572">
            <v>12000</v>
          </cell>
          <cell r="J572">
            <v>12000</v>
          </cell>
          <cell r="K572">
            <v>12000</v>
          </cell>
          <cell r="L572">
            <v>12000</v>
          </cell>
          <cell r="M572">
            <v>12000</v>
          </cell>
          <cell r="N572">
            <v>95</v>
          </cell>
          <cell r="O572">
            <v>11400</v>
          </cell>
          <cell r="P572">
            <v>-5</v>
          </cell>
          <cell r="Q572" t="str">
            <v>信息中心</v>
          </cell>
        </row>
        <row r="573">
          <cell r="B573" t="str">
            <v>001-0019540</v>
          </cell>
          <cell r="C573" t="str">
            <v>交换机</v>
          </cell>
          <cell r="D573" t="str">
            <v>3C16981</v>
          </cell>
          <cell r="F573" t="str">
            <v>台</v>
          </cell>
          <cell r="G573" t="str">
            <v>200112</v>
          </cell>
          <cell r="H573" t="str">
            <v>200112</v>
          </cell>
          <cell r="I573">
            <v>12000</v>
          </cell>
          <cell r="J573">
            <v>12000</v>
          </cell>
          <cell r="K573">
            <v>12000</v>
          </cell>
          <cell r="L573">
            <v>12000</v>
          </cell>
          <cell r="M573">
            <v>12000</v>
          </cell>
          <cell r="N573">
            <v>95</v>
          </cell>
          <cell r="O573">
            <v>11400</v>
          </cell>
          <cell r="P573">
            <v>-5</v>
          </cell>
          <cell r="Q573" t="str">
            <v>信息中心</v>
          </cell>
        </row>
        <row r="574">
          <cell r="B574" t="str">
            <v>001-0019541</v>
          </cell>
          <cell r="C574" t="str">
            <v>交换机</v>
          </cell>
          <cell r="D574" t="str">
            <v>3C16981</v>
          </cell>
          <cell r="F574" t="str">
            <v>台</v>
          </cell>
          <cell r="G574" t="str">
            <v>200112</v>
          </cell>
          <cell r="H574" t="str">
            <v>200112</v>
          </cell>
          <cell r="I574">
            <v>12000</v>
          </cell>
          <cell r="J574">
            <v>12000</v>
          </cell>
          <cell r="K574">
            <v>12000</v>
          </cell>
          <cell r="L574">
            <v>12000</v>
          </cell>
          <cell r="M574">
            <v>12000</v>
          </cell>
          <cell r="N574">
            <v>95</v>
          </cell>
          <cell r="O574">
            <v>11400</v>
          </cell>
          <cell r="P574">
            <v>-5</v>
          </cell>
          <cell r="Q574" t="str">
            <v>信息中心</v>
          </cell>
        </row>
        <row r="575">
          <cell r="B575" t="str">
            <v>001-0019542</v>
          </cell>
          <cell r="C575" t="str">
            <v>集线器</v>
          </cell>
          <cell r="D575" t="str">
            <v>3C16111</v>
          </cell>
          <cell r="F575" t="str">
            <v>台</v>
          </cell>
          <cell r="G575" t="str">
            <v>200112</v>
          </cell>
          <cell r="H575" t="str">
            <v>200112</v>
          </cell>
          <cell r="I575">
            <v>7900</v>
          </cell>
          <cell r="J575">
            <v>7900</v>
          </cell>
          <cell r="K575">
            <v>7900</v>
          </cell>
          <cell r="L575">
            <v>7900</v>
          </cell>
          <cell r="M575">
            <v>7900</v>
          </cell>
          <cell r="N575">
            <v>95</v>
          </cell>
          <cell r="O575">
            <v>7505</v>
          </cell>
          <cell r="P575">
            <v>-5</v>
          </cell>
          <cell r="Q575" t="str">
            <v>信息中心</v>
          </cell>
        </row>
        <row r="576">
          <cell r="B576" t="str">
            <v>001-0019543</v>
          </cell>
          <cell r="C576" t="str">
            <v>集线器</v>
          </cell>
          <cell r="D576" t="str">
            <v>3C16111</v>
          </cell>
          <cell r="F576" t="str">
            <v>台</v>
          </cell>
          <cell r="G576" t="str">
            <v>200112</v>
          </cell>
          <cell r="H576" t="str">
            <v>200112</v>
          </cell>
          <cell r="I576">
            <v>7900</v>
          </cell>
          <cell r="J576">
            <v>7900</v>
          </cell>
          <cell r="K576">
            <v>7900</v>
          </cell>
          <cell r="L576">
            <v>7900</v>
          </cell>
          <cell r="M576">
            <v>7900</v>
          </cell>
          <cell r="N576">
            <v>95</v>
          </cell>
          <cell r="O576">
            <v>7505</v>
          </cell>
          <cell r="P576">
            <v>-5</v>
          </cell>
          <cell r="Q576" t="str">
            <v>信息中心</v>
          </cell>
        </row>
        <row r="577">
          <cell r="B577" t="str">
            <v>001-0019544</v>
          </cell>
          <cell r="C577" t="str">
            <v>集线器</v>
          </cell>
          <cell r="D577" t="str">
            <v>3C16111</v>
          </cell>
          <cell r="F577" t="str">
            <v>台</v>
          </cell>
          <cell r="G577" t="str">
            <v>200112</v>
          </cell>
          <cell r="H577" t="str">
            <v>200112</v>
          </cell>
          <cell r="I577">
            <v>7900</v>
          </cell>
          <cell r="J577">
            <v>7900</v>
          </cell>
          <cell r="K577">
            <v>7900</v>
          </cell>
          <cell r="L577">
            <v>7900</v>
          </cell>
          <cell r="M577">
            <v>7900</v>
          </cell>
          <cell r="N577">
            <v>95</v>
          </cell>
          <cell r="O577">
            <v>7505</v>
          </cell>
          <cell r="P577">
            <v>-5</v>
          </cell>
          <cell r="Q577" t="str">
            <v>信息中心</v>
          </cell>
        </row>
        <row r="578">
          <cell r="B578" t="str">
            <v>001-0019545</v>
          </cell>
          <cell r="C578" t="str">
            <v>集线器</v>
          </cell>
          <cell r="D578" t="str">
            <v>3C16111</v>
          </cell>
          <cell r="F578" t="str">
            <v>台</v>
          </cell>
          <cell r="G578" t="str">
            <v>200112</v>
          </cell>
          <cell r="H578" t="str">
            <v>200112</v>
          </cell>
          <cell r="I578">
            <v>7900</v>
          </cell>
          <cell r="J578">
            <v>7900</v>
          </cell>
          <cell r="K578">
            <v>7900</v>
          </cell>
          <cell r="L578">
            <v>7900</v>
          </cell>
          <cell r="M578">
            <v>7900</v>
          </cell>
          <cell r="N578">
            <v>95</v>
          </cell>
          <cell r="O578">
            <v>7505</v>
          </cell>
          <cell r="P578">
            <v>-5</v>
          </cell>
          <cell r="Q578" t="str">
            <v>信息中心</v>
          </cell>
        </row>
        <row r="579">
          <cell r="B579" t="str">
            <v>001-0019546</v>
          </cell>
          <cell r="C579" t="str">
            <v>集线器</v>
          </cell>
          <cell r="D579" t="str">
            <v>3C16111</v>
          </cell>
          <cell r="F579" t="str">
            <v>台</v>
          </cell>
          <cell r="G579" t="str">
            <v>200112</v>
          </cell>
          <cell r="H579" t="str">
            <v>200112</v>
          </cell>
          <cell r="I579">
            <v>7900</v>
          </cell>
          <cell r="J579">
            <v>7900</v>
          </cell>
          <cell r="K579">
            <v>7900</v>
          </cell>
          <cell r="L579">
            <v>7900</v>
          </cell>
          <cell r="M579">
            <v>7900</v>
          </cell>
          <cell r="N579">
            <v>95</v>
          </cell>
          <cell r="O579">
            <v>7505</v>
          </cell>
          <cell r="P579">
            <v>-5</v>
          </cell>
          <cell r="Q579" t="str">
            <v>信息中心</v>
          </cell>
        </row>
        <row r="580">
          <cell r="B580" t="str">
            <v>001-0019547</v>
          </cell>
          <cell r="C580" t="str">
            <v>集线器</v>
          </cell>
          <cell r="D580" t="str">
            <v>3C16111</v>
          </cell>
          <cell r="F580" t="str">
            <v>台</v>
          </cell>
          <cell r="G580" t="str">
            <v>200112</v>
          </cell>
          <cell r="H580" t="str">
            <v>200112</v>
          </cell>
          <cell r="I580">
            <v>7900</v>
          </cell>
          <cell r="J580">
            <v>7900</v>
          </cell>
          <cell r="K580">
            <v>7900</v>
          </cell>
          <cell r="L580">
            <v>7900</v>
          </cell>
          <cell r="M580">
            <v>7900</v>
          </cell>
          <cell r="N580">
            <v>95</v>
          </cell>
          <cell r="O580">
            <v>7505</v>
          </cell>
          <cell r="P580">
            <v>-5</v>
          </cell>
          <cell r="Q580" t="str">
            <v>信息中心</v>
          </cell>
        </row>
        <row r="581">
          <cell r="B581" t="str">
            <v>001-0019548</v>
          </cell>
          <cell r="C581" t="str">
            <v>集线器</v>
          </cell>
          <cell r="D581" t="str">
            <v>3C16111</v>
          </cell>
          <cell r="F581" t="str">
            <v>台</v>
          </cell>
          <cell r="G581" t="str">
            <v>200112</v>
          </cell>
          <cell r="H581" t="str">
            <v>200112</v>
          </cell>
          <cell r="I581">
            <v>7900</v>
          </cell>
          <cell r="J581">
            <v>7900</v>
          </cell>
          <cell r="K581">
            <v>7900</v>
          </cell>
          <cell r="L581">
            <v>7900</v>
          </cell>
          <cell r="M581">
            <v>7900</v>
          </cell>
          <cell r="N581">
            <v>95</v>
          </cell>
          <cell r="O581">
            <v>7505</v>
          </cell>
          <cell r="P581">
            <v>-5</v>
          </cell>
          <cell r="Q581" t="str">
            <v>信息中心</v>
          </cell>
        </row>
        <row r="582">
          <cell r="B582" t="str">
            <v>001-0019549</v>
          </cell>
          <cell r="C582" t="str">
            <v>集线器</v>
          </cell>
          <cell r="D582" t="str">
            <v>3C16111</v>
          </cell>
          <cell r="F582" t="str">
            <v>台</v>
          </cell>
          <cell r="G582" t="str">
            <v>200112</v>
          </cell>
          <cell r="H582" t="str">
            <v>200112</v>
          </cell>
          <cell r="I582">
            <v>7900</v>
          </cell>
          <cell r="J582">
            <v>7900</v>
          </cell>
          <cell r="K582">
            <v>7900</v>
          </cell>
          <cell r="L582">
            <v>7900</v>
          </cell>
          <cell r="M582">
            <v>7900</v>
          </cell>
          <cell r="N582">
            <v>95</v>
          </cell>
          <cell r="O582">
            <v>7505</v>
          </cell>
          <cell r="P582">
            <v>-5</v>
          </cell>
          <cell r="Q582" t="str">
            <v>信息中心</v>
          </cell>
        </row>
        <row r="583">
          <cell r="B583" t="str">
            <v>001-0019550</v>
          </cell>
          <cell r="C583" t="str">
            <v>集线器</v>
          </cell>
          <cell r="D583" t="str">
            <v>3C16111</v>
          </cell>
          <cell r="F583" t="str">
            <v>台</v>
          </cell>
          <cell r="G583" t="str">
            <v>200112</v>
          </cell>
          <cell r="H583" t="str">
            <v>200112</v>
          </cell>
          <cell r="I583">
            <v>7900</v>
          </cell>
          <cell r="J583">
            <v>7900</v>
          </cell>
          <cell r="K583">
            <v>7900</v>
          </cell>
          <cell r="L583">
            <v>7900</v>
          </cell>
          <cell r="M583">
            <v>7900</v>
          </cell>
          <cell r="N583">
            <v>95</v>
          </cell>
          <cell r="O583">
            <v>7505</v>
          </cell>
          <cell r="P583">
            <v>-5</v>
          </cell>
          <cell r="Q583" t="str">
            <v>信息中心</v>
          </cell>
        </row>
        <row r="584">
          <cell r="B584" t="str">
            <v>001-0019551</v>
          </cell>
          <cell r="C584" t="str">
            <v>集线器</v>
          </cell>
          <cell r="D584" t="str">
            <v>3C16111</v>
          </cell>
          <cell r="F584" t="str">
            <v>台</v>
          </cell>
          <cell r="G584" t="str">
            <v>200112</v>
          </cell>
          <cell r="H584" t="str">
            <v>200112</v>
          </cell>
          <cell r="I584">
            <v>7900</v>
          </cell>
          <cell r="J584">
            <v>7900</v>
          </cell>
          <cell r="K584">
            <v>7900</v>
          </cell>
          <cell r="L584">
            <v>7900</v>
          </cell>
          <cell r="M584">
            <v>7900</v>
          </cell>
          <cell r="N584">
            <v>95</v>
          </cell>
          <cell r="O584">
            <v>7505</v>
          </cell>
          <cell r="P584">
            <v>-5</v>
          </cell>
          <cell r="Q584" t="str">
            <v>信息中心</v>
          </cell>
        </row>
        <row r="585">
          <cell r="B585" t="str">
            <v>001-0019552</v>
          </cell>
          <cell r="C585" t="str">
            <v>集线器</v>
          </cell>
          <cell r="D585" t="str">
            <v>3C16111</v>
          </cell>
          <cell r="F585" t="str">
            <v>台</v>
          </cell>
          <cell r="G585" t="str">
            <v>200112</v>
          </cell>
          <cell r="H585" t="str">
            <v>200112</v>
          </cell>
          <cell r="I585">
            <v>7900</v>
          </cell>
          <cell r="J585">
            <v>7900</v>
          </cell>
          <cell r="K585">
            <v>7900</v>
          </cell>
          <cell r="L585">
            <v>7900</v>
          </cell>
          <cell r="M585">
            <v>7900</v>
          </cell>
          <cell r="N585">
            <v>95</v>
          </cell>
          <cell r="O585">
            <v>7505</v>
          </cell>
          <cell r="P585">
            <v>-5</v>
          </cell>
          <cell r="Q585" t="str">
            <v>信息中心</v>
          </cell>
        </row>
        <row r="586">
          <cell r="B586" t="str">
            <v>001-0019553</v>
          </cell>
          <cell r="C586" t="str">
            <v>集线器</v>
          </cell>
          <cell r="D586" t="str">
            <v>3C16111</v>
          </cell>
          <cell r="F586" t="str">
            <v>台</v>
          </cell>
          <cell r="G586" t="str">
            <v>200112</v>
          </cell>
          <cell r="H586" t="str">
            <v>200112</v>
          </cell>
          <cell r="I586">
            <v>7900</v>
          </cell>
          <cell r="J586">
            <v>7900</v>
          </cell>
          <cell r="K586">
            <v>7900</v>
          </cell>
          <cell r="L586">
            <v>7900</v>
          </cell>
          <cell r="M586">
            <v>7900</v>
          </cell>
          <cell r="N586">
            <v>95</v>
          </cell>
          <cell r="O586">
            <v>7505</v>
          </cell>
          <cell r="P586">
            <v>-5</v>
          </cell>
          <cell r="Q586" t="str">
            <v>信息中心</v>
          </cell>
        </row>
        <row r="587">
          <cell r="B587" t="str">
            <v>001-0019554</v>
          </cell>
          <cell r="C587" t="str">
            <v>集线器</v>
          </cell>
          <cell r="D587" t="str">
            <v>3C16111</v>
          </cell>
          <cell r="F587" t="str">
            <v>台</v>
          </cell>
          <cell r="G587" t="str">
            <v>200112</v>
          </cell>
          <cell r="H587" t="str">
            <v>200112</v>
          </cell>
          <cell r="I587">
            <v>7900</v>
          </cell>
          <cell r="J587">
            <v>7900</v>
          </cell>
          <cell r="K587">
            <v>7900</v>
          </cell>
          <cell r="L587">
            <v>7900</v>
          </cell>
          <cell r="M587">
            <v>7900</v>
          </cell>
          <cell r="N587">
            <v>95</v>
          </cell>
          <cell r="O587">
            <v>7505</v>
          </cell>
          <cell r="P587">
            <v>-5</v>
          </cell>
          <cell r="Q587" t="str">
            <v>信息中心</v>
          </cell>
        </row>
        <row r="588">
          <cell r="B588" t="str">
            <v>001-0019555</v>
          </cell>
          <cell r="C588" t="str">
            <v>集线器</v>
          </cell>
          <cell r="D588" t="str">
            <v>3C16111</v>
          </cell>
          <cell r="F588" t="str">
            <v>台</v>
          </cell>
          <cell r="G588" t="str">
            <v>200112</v>
          </cell>
          <cell r="H588" t="str">
            <v>200112</v>
          </cell>
          <cell r="I588">
            <v>7900</v>
          </cell>
          <cell r="J588">
            <v>7900</v>
          </cell>
          <cell r="K588">
            <v>7900</v>
          </cell>
          <cell r="L588">
            <v>7900</v>
          </cell>
          <cell r="M588">
            <v>7900</v>
          </cell>
          <cell r="N588">
            <v>95</v>
          </cell>
          <cell r="O588">
            <v>7505</v>
          </cell>
          <cell r="P588">
            <v>-5</v>
          </cell>
          <cell r="Q588" t="str">
            <v>信息中心</v>
          </cell>
        </row>
        <row r="589">
          <cell r="B589" t="str">
            <v>001-0019556</v>
          </cell>
          <cell r="C589" t="str">
            <v>集线器</v>
          </cell>
          <cell r="D589" t="str">
            <v>3C16111</v>
          </cell>
          <cell r="F589" t="str">
            <v>台</v>
          </cell>
          <cell r="G589" t="str">
            <v>200112</v>
          </cell>
          <cell r="H589" t="str">
            <v>200112</v>
          </cell>
          <cell r="I589">
            <v>7900</v>
          </cell>
          <cell r="J589">
            <v>7900</v>
          </cell>
          <cell r="K589">
            <v>7900</v>
          </cell>
          <cell r="L589">
            <v>7900</v>
          </cell>
          <cell r="M589">
            <v>7900</v>
          </cell>
          <cell r="N589">
            <v>95</v>
          </cell>
          <cell r="O589">
            <v>7505</v>
          </cell>
          <cell r="P589">
            <v>-5</v>
          </cell>
          <cell r="Q589" t="str">
            <v>信息中心</v>
          </cell>
        </row>
        <row r="590">
          <cell r="B590" t="str">
            <v>001-0019557</v>
          </cell>
          <cell r="C590" t="str">
            <v>集线器</v>
          </cell>
          <cell r="D590" t="str">
            <v>3C16111</v>
          </cell>
          <cell r="F590" t="str">
            <v>台</v>
          </cell>
          <cell r="G590" t="str">
            <v>200112</v>
          </cell>
          <cell r="H590" t="str">
            <v>200112</v>
          </cell>
          <cell r="I590">
            <v>7900</v>
          </cell>
          <cell r="J590">
            <v>7900</v>
          </cell>
          <cell r="K590">
            <v>7900</v>
          </cell>
          <cell r="L590">
            <v>7900</v>
          </cell>
          <cell r="M590">
            <v>7900</v>
          </cell>
          <cell r="N590">
            <v>95</v>
          </cell>
          <cell r="O590">
            <v>7505</v>
          </cell>
          <cell r="P590">
            <v>-5</v>
          </cell>
          <cell r="Q590" t="str">
            <v>信息中心</v>
          </cell>
        </row>
        <row r="591">
          <cell r="B591" t="str">
            <v>001-0019558</v>
          </cell>
          <cell r="C591" t="str">
            <v>集线器</v>
          </cell>
          <cell r="D591" t="str">
            <v>3C16110</v>
          </cell>
          <cell r="F591" t="str">
            <v>台</v>
          </cell>
          <cell r="G591" t="str">
            <v>200112</v>
          </cell>
          <cell r="H591" t="str">
            <v>200112</v>
          </cell>
          <cell r="I591">
            <v>6000</v>
          </cell>
          <cell r="J591">
            <v>6000</v>
          </cell>
          <cell r="K591">
            <v>6000</v>
          </cell>
          <cell r="L591">
            <v>6000</v>
          </cell>
          <cell r="M591">
            <v>6000</v>
          </cell>
          <cell r="N591">
            <v>95</v>
          </cell>
          <cell r="O591">
            <v>5700</v>
          </cell>
          <cell r="P591">
            <v>-5</v>
          </cell>
          <cell r="Q591" t="str">
            <v>信息中心</v>
          </cell>
        </row>
        <row r="592">
          <cell r="B592" t="str">
            <v>001-0019559</v>
          </cell>
          <cell r="C592" t="str">
            <v>集线器</v>
          </cell>
          <cell r="D592" t="str">
            <v>3C16110</v>
          </cell>
          <cell r="F592" t="str">
            <v>台</v>
          </cell>
          <cell r="G592" t="str">
            <v>200112</v>
          </cell>
          <cell r="H592" t="str">
            <v>200112</v>
          </cell>
          <cell r="I592">
            <v>6000</v>
          </cell>
          <cell r="J592">
            <v>6000</v>
          </cell>
          <cell r="K592">
            <v>6000</v>
          </cell>
          <cell r="L592">
            <v>6000</v>
          </cell>
          <cell r="M592">
            <v>6000</v>
          </cell>
          <cell r="N592">
            <v>95</v>
          </cell>
          <cell r="O592">
            <v>5700</v>
          </cell>
          <cell r="P592">
            <v>-5</v>
          </cell>
          <cell r="Q592" t="str">
            <v>信息中心</v>
          </cell>
        </row>
        <row r="593">
          <cell r="B593" t="str">
            <v>001-0019560</v>
          </cell>
          <cell r="C593" t="str">
            <v>集线器</v>
          </cell>
          <cell r="D593" t="str">
            <v>3C16110</v>
          </cell>
          <cell r="F593" t="str">
            <v>台</v>
          </cell>
          <cell r="G593" t="str">
            <v>200112</v>
          </cell>
          <cell r="H593" t="str">
            <v>200112</v>
          </cell>
          <cell r="I593">
            <v>6000</v>
          </cell>
          <cell r="J593">
            <v>6000</v>
          </cell>
          <cell r="K593">
            <v>6000</v>
          </cell>
          <cell r="L593">
            <v>6000</v>
          </cell>
          <cell r="M593">
            <v>6000</v>
          </cell>
          <cell r="N593">
            <v>95</v>
          </cell>
          <cell r="O593">
            <v>5700</v>
          </cell>
          <cell r="P593">
            <v>-5</v>
          </cell>
          <cell r="Q593" t="str">
            <v>信息中心</v>
          </cell>
        </row>
        <row r="594">
          <cell r="B594" t="str">
            <v>001-0019561</v>
          </cell>
          <cell r="C594" t="str">
            <v>集线器</v>
          </cell>
          <cell r="D594" t="str">
            <v>3C16110</v>
          </cell>
          <cell r="F594" t="str">
            <v>台</v>
          </cell>
          <cell r="G594" t="str">
            <v>200112</v>
          </cell>
          <cell r="H594" t="str">
            <v>200112</v>
          </cell>
          <cell r="I594">
            <v>6000</v>
          </cell>
          <cell r="J594">
            <v>6000</v>
          </cell>
          <cell r="K594">
            <v>6000</v>
          </cell>
          <cell r="L594">
            <v>6000</v>
          </cell>
          <cell r="M594">
            <v>6000</v>
          </cell>
          <cell r="N594">
            <v>95</v>
          </cell>
          <cell r="O594">
            <v>5700</v>
          </cell>
          <cell r="P594">
            <v>-5</v>
          </cell>
          <cell r="Q594" t="str">
            <v>信息中心</v>
          </cell>
        </row>
        <row r="595">
          <cell r="B595" t="str">
            <v>001-0019562</v>
          </cell>
          <cell r="C595" t="str">
            <v>集线器</v>
          </cell>
          <cell r="D595" t="str">
            <v>3C16110</v>
          </cell>
          <cell r="F595" t="str">
            <v>台</v>
          </cell>
          <cell r="G595" t="str">
            <v>200112</v>
          </cell>
          <cell r="H595" t="str">
            <v>200112</v>
          </cell>
          <cell r="I595">
            <v>6000</v>
          </cell>
          <cell r="J595">
            <v>6000</v>
          </cell>
          <cell r="K595">
            <v>6000</v>
          </cell>
          <cell r="L595">
            <v>6000</v>
          </cell>
          <cell r="M595">
            <v>6000</v>
          </cell>
          <cell r="N595">
            <v>95</v>
          </cell>
          <cell r="O595">
            <v>5700</v>
          </cell>
          <cell r="P595">
            <v>-5</v>
          </cell>
          <cell r="Q595" t="str">
            <v>信息中心</v>
          </cell>
        </row>
        <row r="596">
          <cell r="B596" t="str">
            <v>001-0019563</v>
          </cell>
          <cell r="C596" t="str">
            <v>集线器</v>
          </cell>
          <cell r="D596" t="str">
            <v>3C16110</v>
          </cell>
          <cell r="F596" t="str">
            <v>台</v>
          </cell>
          <cell r="G596" t="str">
            <v>200112</v>
          </cell>
          <cell r="H596" t="str">
            <v>200112</v>
          </cell>
          <cell r="I596">
            <v>6000</v>
          </cell>
          <cell r="J596">
            <v>6000</v>
          </cell>
          <cell r="K596">
            <v>6000</v>
          </cell>
          <cell r="L596">
            <v>6000</v>
          </cell>
          <cell r="M596">
            <v>6000</v>
          </cell>
          <cell r="N596">
            <v>95</v>
          </cell>
          <cell r="O596">
            <v>5700</v>
          </cell>
          <cell r="P596">
            <v>-5</v>
          </cell>
          <cell r="Q596" t="str">
            <v>信息中心</v>
          </cell>
        </row>
        <row r="597">
          <cell r="B597" t="str">
            <v>001-0019564</v>
          </cell>
          <cell r="C597" t="str">
            <v>落地式机柜</v>
          </cell>
          <cell r="D597" t="str">
            <v>1M</v>
          </cell>
          <cell r="F597" t="str">
            <v>个</v>
          </cell>
          <cell r="G597" t="str">
            <v>200112</v>
          </cell>
          <cell r="H597" t="str">
            <v>200112</v>
          </cell>
          <cell r="I597">
            <v>1700</v>
          </cell>
          <cell r="J597">
            <v>1700</v>
          </cell>
          <cell r="K597">
            <v>1700</v>
          </cell>
          <cell r="L597">
            <v>1700</v>
          </cell>
          <cell r="M597">
            <v>1700</v>
          </cell>
          <cell r="N597">
            <v>95</v>
          </cell>
          <cell r="O597">
            <v>1615</v>
          </cell>
          <cell r="P597">
            <v>-5</v>
          </cell>
          <cell r="Q597" t="str">
            <v>信息中心</v>
          </cell>
        </row>
        <row r="598">
          <cell r="B598" t="str">
            <v>001-0019565</v>
          </cell>
          <cell r="C598" t="str">
            <v>落地式机柜</v>
          </cell>
          <cell r="D598" t="str">
            <v>1M</v>
          </cell>
          <cell r="F598" t="str">
            <v>个</v>
          </cell>
          <cell r="G598" t="str">
            <v>200112</v>
          </cell>
          <cell r="H598" t="str">
            <v>200112</v>
          </cell>
          <cell r="I598">
            <v>1700</v>
          </cell>
          <cell r="J598">
            <v>1700</v>
          </cell>
          <cell r="K598">
            <v>1700</v>
          </cell>
          <cell r="L598">
            <v>1700</v>
          </cell>
          <cell r="M598">
            <v>1700</v>
          </cell>
          <cell r="N598">
            <v>95</v>
          </cell>
          <cell r="O598">
            <v>1615</v>
          </cell>
          <cell r="P598">
            <v>-5</v>
          </cell>
          <cell r="Q598" t="str">
            <v>信息中心</v>
          </cell>
        </row>
        <row r="599">
          <cell r="B599" t="str">
            <v>001-0019566</v>
          </cell>
          <cell r="C599" t="str">
            <v>落地式机柜</v>
          </cell>
          <cell r="D599" t="str">
            <v>1M</v>
          </cell>
          <cell r="F599" t="str">
            <v>个</v>
          </cell>
          <cell r="G599" t="str">
            <v>200112</v>
          </cell>
          <cell r="H599" t="str">
            <v>200112</v>
          </cell>
          <cell r="I599">
            <v>1700</v>
          </cell>
          <cell r="J599">
            <v>1700</v>
          </cell>
          <cell r="K599">
            <v>1700</v>
          </cell>
          <cell r="L599">
            <v>1700</v>
          </cell>
          <cell r="M599">
            <v>1700</v>
          </cell>
          <cell r="N599">
            <v>95</v>
          </cell>
          <cell r="O599">
            <v>1615</v>
          </cell>
          <cell r="P599">
            <v>-5</v>
          </cell>
          <cell r="Q599" t="str">
            <v>信息中心</v>
          </cell>
        </row>
        <row r="600">
          <cell r="B600" t="str">
            <v>001-0019567</v>
          </cell>
          <cell r="C600" t="str">
            <v>落地式机柜</v>
          </cell>
          <cell r="D600" t="str">
            <v>1M</v>
          </cell>
          <cell r="F600" t="str">
            <v>个</v>
          </cell>
          <cell r="G600" t="str">
            <v>200112</v>
          </cell>
          <cell r="H600" t="str">
            <v>200112</v>
          </cell>
          <cell r="I600">
            <v>1700</v>
          </cell>
          <cell r="J600">
            <v>1700</v>
          </cell>
          <cell r="K600">
            <v>1700</v>
          </cell>
          <cell r="L600">
            <v>1700</v>
          </cell>
          <cell r="M600">
            <v>1700</v>
          </cell>
          <cell r="N600">
            <v>95</v>
          </cell>
          <cell r="O600">
            <v>1615</v>
          </cell>
          <cell r="P600">
            <v>-5</v>
          </cell>
          <cell r="Q600" t="str">
            <v>信息中心</v>
          </cell>
        </row>
        <row r="601">
          <cell r="B601" t="str">
            <v>001-0019568</v>
          </cell>
          <cell r="C601" t="str">
            <v>墙挂机柜</v>
          </cell>
          <cell r="D601" t="str">
            <v>0.8M</v>
          </cell>
          <cell r="F601" t="str">
            <v>个</v>
          </cell>
          <cell r="G601" t="str">
            <v>200112</v>
          </cell>
          <cell r="H601" t="str">
            <v>200112</v>
          </cell>
          <cell r="I601">
            <v>2000</v>
          </cell>
          <cell r="J601">
            <v>2000</v>
          </cell>
          <cell r="K601">
            <v>2000</v>
          </cell>
          <cell r="L601">
            <v>2000</v>
          </cell>
          <cell r="M601">
            <v>2000</v>
          </cell>
          <cell r="N601">
            <v>95</v>
          </cell>
          <cell r="O601">
            <v>1900</v>
          </cell>
          <cell r="P601">
            <v>-5</v>
          </cell>
          <cell r="Q601" t="str">
            <v>信息中心</v>
          </cell>
        </row>
        <row r="602">
          <cell r="B602" t="str">
            <v>001-0019569</v>
          </cell>
          <cell r="C602" t="str">
            <v>墙挂机柜</v>
          </cell>
          <cell r="D602" t="str">
            <v>0.8M</v>
          </cell>
          <cell r="F602" t="str">
            <v>个</v>
          </cell>
          <cell r="G602" t="str">
            <v>200112</v>
          </cell>
          <cell r="H602" t="str">
            <v>200112</v>
          </cell>
          <cell r="I602">
            <v>2000</v>
          </cell>
          <cell r="J602">
            <v>2000</v>
          </cell>
          <cell r="K602">
            <v>2000</v>
          </cell>
          <cell r="L602">
            <v>2000</v>
          </cell>
          <cell r="M602">
            <v>2000</v>
          </cell>
          <cell r="N602">
            <v>95</v>
          </cell>
          <cell r="O602">
            <v>1900</v>
          </cell>
          <cell r="P602">
            <v>-5</v>
          </cell>
          <cell r="Q602" t="str">
            <v>信息中心</v>
          </cell>
        </row>
        <row r="603">
          <cell r="B603" t="str">
            <v>001-0019570</v>
          </cell>
          <cell r="C603" t="str">
            <v>墙挂机柜</v>
          </cell>
          <cell r="D603" t="str">
            <v>0.8M</v>
          </cell>
          <cell r="F603" t="str">
            <v>个</v>
          </cell>
          <cell r="G603" t="str">
            <v>200112</v>
          </cell>
          <cell r="H603" t="str">
            <v>200112</v>
          </cell>
          <cell r="I603">
            <v>2000</v>
          </cell>
          <cell r="J603">
            <v>2000</v>
          </cell>
          <cell r="K603">
            <v>2000</v>
          </cell>
          <cell r="L603">
            <v>2000</v>
          </cell>
          <cell r="M603">
            <v>2000</v>
          </cell>
          <cell r="N603">
            <v>95</v>
          </cell>
          <cell r="O603">
            <v>1900</v>
          </cell>
          <cell r="P603">
            <v>-5</v>
          </cell>
          <cell r="Q603" t="str">
            <v>信息中心</v>
          </cell>
        </row>
        <row r="604">
          <cell r="B604" t="str">
            <v>001-0019571</v>
          </cell>
          <cell r="C604" t="str">
            <v>墙挂机柜</v>
          </cell>
          <cell r="D604" t="str">
            <v>0.8M</v>
          </cell>
          <cell r="F604" t="str">
            <v>个</v>
          </cell>
          <cell r="G604" t="str">
            <v>200112</v>
          </cell>
          <cell r="H604" t="str">
            <v>200112</v>
          </cell>
          <cell r="I604">
            <v>2000</v>
          </cell>
          <cell r="J604">
            <v>2000</v>
          </cell>
          <cell r="K604">
            <v>2000</v>
          </cell>
          <cell r="L604">
            <v>2000</v>
          </cell>
          <cell r="M604">
            <v>2000</v>
          </cell>
          <cell r="N604">
            <v>95</v>
          </cell>
          <cell r="O604">
            <v>1900</v>
          </cell>
          <cell r="P604">
            <v>-5</v>
          </cell>
          <cell r="Q604" t="str">
            <v>信息中心</v>
          </cell>
        </row>
        <row r="605">
          <cell r="B605" t="str">
            <v>001-0019572</v>
          </cell>
          <cell r="C605" t="str">
            <v>墙挂机柜</v>
          </cell>
          <cell r="D605" t="str">
            <v>0.8M</v>
          </cell>
          <cell r="F605" t="str">
            <v>个</v>
          </cell>
          <cell r="G605" t="str">
            <v>200112</v>
          </cell>
          <cell r="H605" t="str">
            <v>200112</v>
          </cell>
          <cell r="I605">
            <v>2000</v>
          </cell>
          <cell r="J605">
            <v>2000</v>
          </cell>
          <cell r="K605">
            <v>2000</v>
          </cell>
          <cell r="L605">
            <v>2000</v>
          </cell>
          <cell r="M605">
            <v>2000</v>
          </cell>
          <cell r="N605">
            <v>95</v>
          </cell>
          <cell r="O605">
            <v>1900</v>
          </cell>
          <cell r="P605">
            <v>-5</v>
          </cell>
          <cell r="Q605" t="str">
            <v>信息中心</v>
          </cell>
        </row>
        <row r="606">
          <cell r="B606" t="str">
            <v>001-0019573</v>
          </cell>
          <cell r="C606" t="str">
            <v>墙挂机柜</v>
          </cell>
          <cell r="D606" t="str">
            <v>0.8M</v>
          </cell>
          <cell r="F606" t="str">
            <v>个</v>
          </cell>
          <cell r="G606" t="str">
            <v>200112</v>
          </cell>
          <cell r="H606" t="str">
            <v>200112</v>
          </cell>
          <cell r="I606">
            <v>2000</v>
          </cell>
          <cell r="J606">
            <v>2000</v>
          </cell>
          <cell r="K606">
            <v>2000</v>
          </cell>
          <cell r="L606">
            <v>2000</v>
          </cell>
          <cell r="M606">
            <v>2000</v>
          </cell>
          <cell r="N606">
            <v>95</v>
          </cell>
          <cell r="O606">
            <v>1900</v>
          </cell>
          <cell r="P606">
            <v>-5</v>
          </cell>
          <cell r="Q606" t="str">
            <v>信息中心</v>
          </cell>
        </row>
        <row r="607">
          <cell r="B607" t="str">
            <v>001-0019574</v>
          </cell>
          <cell r="C607" t="str">
            <v>网卡</v>
          </cell>
          <cell r="D607" t="str">
            <v>3C905C-TX</v>
          </cell>
          <cell r="F607" t="str">
            <v>块</v>
          </cell>
          <cell r="G607" t="str">
            <v>200112</v>
          </cell>
          <cell r="H607" t="str">
            <v>200112</v>
          </cell>
          <cell r="I607">
            <v>500</v>
          </cell>
          <cell r="J607">
            <v>500</v>
          </cell>
          <cell r="K607">
            <v>500</v>
          </cell>
          <cell r="L607">
            <v>500</v>
          </cell>
          <cell r="M607">
            <v>500</v>
          </cell>
          <cell r="N607">
            <v>95</v>
          </cell>
          <cell r="O607">
            <v>475</v>
          </cell>
          <cell r="P607">
            <v>-5</v>
          </cell>
          <cell r="Q607" t="str">
            <v>信息中心</v>
          </cell>
        </row>
        <row r="608">
          <cell r="B608" t="str">
            <v>001-0019575</v>
          </cell>
          <cell r="C608" t="str">
            <v>网卡</v>
          </cell>
          <cell r="D608" t="str">
            <v>3C905C-TX</v>
          </cell>
          <cell r="F608" t="str">
            <v>块</v>
          </cell>
          <cell r="G608" t="str">
            <v>200112</v>
          </cell>
          <cell r="H608" t="str">
            <v>200112</v>
          </cell>
          <cell r="I608">
            <v>500</v>
          </cell>
          <cell r="J608">
            <v>500</v>
          </cell>
          <cell r="K608">
            <v>500</v>
          </cell>
          <cell r="L608">
            <v>500</v>
          </cell>
          <cell r="M608">
            <v>500</v>
          </cell>
          <cell r="N608">
            <v>95</v>
          </cell>
          <cell r="O608">
            <v>475</v>
          </cell>
          <cell r="P608">
            <v>-5</v>
          </cell>
          <cell r="Q608" t="str">
            <v>信息中心</v>
          </cell>
        </row>
        <row r="609">
          <cell r="B609" t="str">
            <v>001-0019576</v>
          </cell>
          <cell r="C609" t="str">
            <v>网卡</v>
          </cell>
          <cell r="D609" t="str">
            <v>3C905C-TX</v>
          </cell>
          <cell r="F609" t="str">
            <v>块</v>
          </cell>
          <cell r="G609" t="str">
            <v>200112</v>
          </cell>
          <cell r="H609" t="str">
            <v>200112</v>
          </cell>
          <cell r="I609">
            <v>500</v>
          </cell>
          <cell r="J609">
            <v>500</v>
          </cell>
          <cell r="K609">
            <v>500</v>
          </cell>
          <cell r="L609">
            <v>500</v>
          </cell>
          <cell r="M609">
            <v>500</v>
          </cell>
          <cell r="N609">
            <v>95</v>
          </cell>
          <cell r="O609">
            <v>475</v>
          </cell>
          <cell r="P609">
            <v>-5</v>
          </cell>
          <cell r="Q609" t="str">
            <v>信息中心</v>
          </cell>
        </row>
        <row r="610">
          <cell r="B610" t="str">
            <v>001-0019577</v>
          </cell>
          <cell r="C610" t="str">
            <v>网卡</v>
          </cell>
          <cell r="D610" t="str">
            <v>3C905C-TX</v>
          </cell>
          <cell r="F610" t="str">
            <v>块</v>
          </cell>
          <cell r="G610" t="str">
            <v>200112</v>
          </cell>
          <cell r="H610" t="str">
            <v>200112</v>
          </cell>
          <cell r="I610">
            <v>500</v>
          </cell>
          <cell r="J610">
            <v>500</v>
          </cell>
          <cell r="K610">
            <v>500</v>
          </cell>
          <cell r="L610">
            <v>500</v>
          </cell>
          <cell r="M610">
            <v>500</v>
          </cell>
          <cell r="N610">
            <v>95</v>
          </cell>
          <cell r="O610">
            <v>475</v>
          </cell>
          <cell r="P610">
            <v>-5</v>
          </cell>
          <cell r="Q610" t="str">
            <v>信息中心</v>
          </cell>
        </row>
        <row r="611">
          <cell r="B611" t="str">
            <v>001-0019578</v>
          </cell>
          <cell r="C611" t="str">
            <v>网卡</v>
          </cell>
          <cell r="D611" t="str">
            <v>3C905C-TX</v>
          </cell>
          <cell r="F611" t="str">
            <v>块</v>
          </cell>
          <cell r="G611" t="str">
            <v>200112</v>
          </cell>
          <cell r="H611" t="str">
            <v>200112</v>
          </cell>
          <cell r="I611">
            <v>500</v>
          </cell>
          <cell r="J611">
            <v>500</v>
          </cell>
          <cell r="K611">
            <v>500</v>
          </cell>
          <cell r="L611">
            <v>500</v>
          </cell>
          <cell r="M611">
            <v>500</v>
          </cell>
          <cell r="N611">
            <v>95</v>
          </cell>
          <cell r="O611">
            <v>475</v>
          </cell>
          <cell r="P611">
            <v>-5</v>
          </cell>
          <cell r="Q611" t="str">
            <v>信息中心</v>
          </cell>
        </row>
        <row r="612">
          <cell r="B612" t="str">
            <v>001-0019579</v>
          </cell>
          <cell r="C612" t="str">
            <v>网卡</v>
          </cell>
          <cell r="D612" t="str">
            <v>3C905C-TX</v>
          </cell>
          <cell r="F612" t="str">
            <v>块</v>
          </cell>
          <cell r="G612" t="str">
            <v>200112</v>
          </cell>
          <cell r="H612" t="str">
            <v>200112</v>
          </cell>
          <cell r="I612">
            <v>500</v>
          </cell>
          <cell r="J612">
            <v>500</v>
          </cell>
          <cell r="K612">
            <v>500</v>
          </cell>
          <cell r="L612">
            <v>500</v>
          </cell>
          <cell r="M612">
            <v>500</v>
          </cell>
          <cell r="N612">
            <v>95</v>
          </cell>
          <cell r="O612">
            <v>475</v>
          </cell>
          <cell r="P612">
            <v>-5</v>
          </cell>
          <cell r="Q612" t="str">
            <v>信息中心</v>
          </cell>
        </row>
        <row r="613">
          <cell r="B613" t="str">
            <v>001-0019580</v>
          </cell>
          <cell r="C613" t="str">
            <v>网卡</v>
          </cell>
          <cell r="D613" t="str">
            <v>3C905C-TX</v>
          </cell>
          <cell r="F613" t="str">
            <v>块</v>
          </cell>
          <cell r="G613" t="str">
            <v>200112</v>
          </cell>
          <cell r="H613" t="str">
            <v>200112</v>
          </cell>
          <cell r="I613">
            <v>500</v>
          </cell>
          <cell r="J613">
            <v>500</v>
          </cell>
          <cell r="K613">
            <v>500</v>
          </cell>
          <cell r="L613">
            <v>500</v>
          </cell>
          <cell r="M613">
            <v>500</v>
          </cell>
          <cell r="N613">
            <v>95</v>
          </cell>
          <cell r="O613">
            <v>475</v>
          </cell>
          <cell r="P613">
            <v>-5</v>
          </cell>
          <cell r="Q613" t="str">
            <v>信息中心</v>
          </cell>
        </row>
        <row r="614">
          <cell r="B614" t="str">
            <v>001-0019581</v>
          </cell>
          <cell r="C614" t="str">
            <v>网卡</v>
          </cell>
          <cell r="D614" t="str">
            <v>3C905C-TX</v>
          </cell>
          <cell r="F614" t="str">
            <v>块</v>
          </cell>
          <cell r="G614" t="str">
            <v>200112</v>
          </cell>
          <cell r="H614" t="str">
            <v>200112</v>
          </cell>
          <cell r="I614">
            <v>500</v>
          </cell>
          <cell r="J614">
            <v>500</v>
          </cell>
          <cell r="K614">
            <v>500</v>
          </cell>
          <cell r="L614">
            <v>500</v>
          </cell>
          <cell r="M614">
            <v>500</v>
          </cell>
          <cell r="N614">
            <v>95</v>
          </cell>
          <cell r="O614">
            <v>475</v>
          </cell>
          <cell r="P614">
            <v>-5</v>
          </cell>
          <cell r="Q614" t="str">
            <v>信息中心</v>
          </cell>
        </row>
        <row r="615">
          <cell r="B615" t="str">
            <v>001-0019582</v>
          </cell>
          <cell r="C615" t="str">
            <v>网卡</v>
          </cell>
          <cell r="D615" t="str">
            <v>3C905C-TX</v>
          </cell>
          <cell r="F615" t="str">
            <v>块</v>
          </cell>
          <cell r="G615" t="str">
            <v>200112</v>
          </cell>
          <cell r="H615" t="str">
            <v>200112</v>
          </cell>
          <cell r="I615">
            <v>500</v>
          </cell>
          <cell r="J615">
            <v>500</v>
          </cell>
          <cell r="K615">
            <v>500</v>
          </cell>
          <cell r="L615">
            <v>500</v>
          </cell>
          <cell r="M615">
            <v>500</v>
          </cell>
          <cell r="N615">
            <v>95</v>
          </cell>
          <cell r="O615">
            <v>475</v>
          </cell>
          <cell r="P615">
            <v>-5</v>
          </cell>
          <cell r="Q615" t="str">
            <v>信息中心</v>
          </cell>
        </row>
        <row r="616">
          <cell r="B616" t="str">
            <v>001-0019583</v>
          </cell>
          <cell r="C616" t="str">
            <v>网卡</v>
          </cell>
          <cell r="D616" t="str">
            <v>3C905C-TX</v>
          </cell>
          <cell r="F616" t="str">
            <v>块</v>
          </cell>
          <cell r="G616" t="str">
            <v>200112</v>
          </cell>
          <cell r="H616" t="str">
            <v>200112</v>
          </cell>
          <cell r="I616">
            <v>500</v>
          </cell>
          <cell r="J616">
            <v>500</v>
          </cell>
          <cell r="K616">
            <v>500</v>
          </cell>
          <cell r="L616">
            <v>500</v>
          </cell>
          <cell r="M616">
            <v>500</v>
          </cell>
          <cell r="N616">
            <v>95</v>
          </cell>
          <cell r="O616">
            <v>475</v>
          </cell>
          <cell r="P616">
            <v>-5</v>
          </cell>
          <cell r="Q616" t="str">
            <v>信息中心</v>
          </cell>
        </row>
        <row r="617">
          <cell r="B617" t="str">
            <v>001-0019584</v>
          </cell>
          <cell r="C617" t="str">
            <v>网卡</v>
          </cell>
          <cell r="D617" t="str">
            <v>3C905C-TX</v>
          </cell>
          <cell r="F617" t="str">
            <v>块</v>
          </cell>
          <cell r="G617" t="str">
            <v>200112</v>
          </cell>
          <cell r="H617" t="str">
            <v>200112</v>
          </cell>
          <cell r="I617">
            <v>500</v>
          </cell>
          <cell r="J617">
            <v>500</v>
          </cell>
          <cell r="K617">
            <v>500</v>
          </cell>
          <cell r="L617">
            <v>500</v>
          </cell>
          <cell r="M617">
            <v>500</v>
          </cell>
          <cell r="N617">
            <v>95</v>
          </cell>
          <cell r="O617">
            <v>475</v>
          </cell>
          <cell r="P617">
            <v>-5</v>
          </cell>
          <cell r="Q617" t="str">
            <v>信息中心</v>
          </cell>
        </row>
        <row r="618">
          <cell r="B618" t="str">
            <v>001-0019585</v>
          </cell>
          <cell r="C618" t="str">
            <v>网卡</v>
          </cell>
          <cell r="D618" t="str">
            <v>3C905C-TX</v>
          </cell>
          <cell r="F618" t="str">
            <v>块</v>
          </cell>
          <cell r="G618" t="str">
            <v>200112</v>
          </cell>
          <cell r="H618" t="str">
            <v>200112</v>
          </cell>
          <cell r="I618">
            <v>500</v>
          </cell>
          <cell r="J618">
            <v>500</v>
          </cell>
          <cell r="K618">
            <v>500</v>
          </cell>
          <cell r="L618">
            <v>500</v>
          </cell>
          <cell r="M618">
            <v>500</v>
          </cell>
          <cell r="N618">
            <v>95</v>
          </cell>
          <cell r="O618">
            <v>475</v>
          </cell>
          <cell r="P618">
            <v>-5</v>
          </cell>
          <cell r="Q618" t="str">
            <v>信息中心</v>
          </cell>
        </row>
        <row r="619">
          <cell r="B619" t="str">
            <v>001-0019586</v>
          </cell>
          <cell r="C619" t="str">
            <v>网卡</v>
          </cell>
          <cell r="D619" t="str">
            <v>3C905C-TX</v>
          </cell>
          <cell r="F619" t="str">
            <v>块</v>
          </cell>
          <cell r="G619" t="str">
            <v>200112</v>
          </cell>
          <cell r="H619" t="str">
            <v>200112</v>
          </cell>
          <cell r="I619">
            <v>500</v>
          </cell>
          <cell r="J619">
            <v>500</v>
          </cell>
          <cell r="K619">
            <v>500</v>
          </cell>
          <cell r="L619">
            <v>500</v>
          </cell>
          <cell r="M619">
            <v>500</v>
          </cell>
          <cell r="N619">
            <v>95</v>
          </cell>
          <cell r="O619">
            <v>475</v>
          </cell>
          <cell r="P619">
            <v>-5</v>
          </cell>
          <cell r="Q619" t="str">
            <v>信息中心</v>
          </cell>
        </row>
        <row r="620">
          <cell r="B620" t="str">
            <v>001-0019587</v>
          </cell>
          <cell r="C620" t="str">
            <v>网卡</v>
          </cell>
          <cell r="D620" t="str">
            <v>3C905C-TX</v>
          </cell>
          <cell r="F620" t="str">
            <v>块</v>
          </cell>
          <cell r="G620" t="str">
            <v>200112</v>
          </cell>
          <cell r="H620" t="str">
            <v>200112</v>
          </cell>
          <cell r="I620">
            <v>500</v>
          </cell>
          <cell r="J620">
            <v>500</v>
          </cell>
          <cell r="K620">
            <v>500</v>
          </cell>
          <cell r="L620">
            <v>500</v>
          </cell>
          <cell r="M620">
            <v>500</v>
          </cell>
          <cell r="N620">
            <v>95</v>
          </cell>
          <cell r="O620">
            <v>475</v>
          </cell>
          <cell r="P620">
            <v>-5</v>
          </cell>
          <cell r="Q620" t="str">
            <v>信息中心</v>
          </cell>
        </row>
        <row r="621">
          <cell r="B621" t="str">
            <v>001-0019588</v>
          </cell>
          <cell r="C621" t="str">
            <v>网卡</v>
          </cell>
          <cell r="D621" t="str">
            <v>3C905C-TX</v>
          </cell>
          <cell r="F621" t="str">
            <v>块</v>
          </cell>
          <cell r="G621" t="str">
            <v>200112</v>
          </cell>
          <cell r="H621" t="str">
            <v>200112</v>
          </cell>
          <cell r="I621">
            <v>500</v>
          </cell>
          <cell r="J621">
            <v>500</v>
          </cell>
          <cell r="K621">
            <v>500</v>
          </cell>
          <cell r="L621">
            <v>500</v>
          </cell>
          <cell r="M621">
            <v>500</v>
          </cell>
          <cell r="N621">
            <v>95</v>
          </cell>
          <cell r="O621">
            <v>475</v>
          </cell>
          <cell r="P621">
            <v>-5</v>
          </cell>
          <cell r="Q621" t="str">
            <v>信息中心</v>
          </cell>
        </row>
        <row r="622">
          <cell r="B622" t="str">
            <v>001-0019589</v>
          </cell>
          <cell r="C622" t="str">
            <v>网卡</v>
          </cell>
          <cell r="D622" t="str">
            <v>3C905C-TX</v>
          </cell>
          <cell r="F622" t="str">
            <v>块</v>
          </cell>
          <cell r="G622" t="str">
            <v>200112</v>
          </cell>
          <cell r="H622" t="str">
            <v>200112</v>
          </cell>
          <cell r="I622">
            <v>500</v>
          </cell>
          <cell r="J622">
            <v>500</v>
          </cell>
          <cell r="K622">
            <v>500</v>
          </cell>
          <cell r="L622">
            <v>500</v>
          </cell>
          <cell r="M622">
            <v>500</v>
          </cell>
          <cell r="N622">
            <v>95</v>
          </cell>
          <cell r="O622">
            <v>475</v>
          </cell>
          <cell r="P622">
            <v>-5</v>
          </cell>
          <cell r="Q622" t="str">
            <v>信息中心</v>
          </cell>
        </row>
        <row r="623">
          <cell r="B623" t="str">
            <v>001-0019590</v>
          </cell>
          <cell r="C623" t="str">
            <v>网卡</v>
          </cell>
          <cell r="D623" t="str">
            <v>3C905C-TX</v>
          </cell>
          <cell r="F623" t="str">
            <v>块</v>
          </cell>
          <cell r="G623" t="str">
            <v>200112</v>
          </cell>
          <cell r="H623" t="str">
            <v>200112</v>
          </cell>
          <cell r="I623">
            <v>500</v>
          </cell>
          <cell r="J623">
            <v>500</v>
          </cell>
          <cell r="K623">
            <v>500</v>
          </cell>
          <cell r="L623">
            <v>500</v>
          </cell>
          <cell r="M623">
            <v>500</v>
          </cell>
          <cell r="N623">
            <v>95</v>
          </cell>
          <cell r="O623">
            <v>475</v>
          </cell>
          <cell r="P623">
            <v>-5</v>
          </cell>
          <cell r="Q623" t="str">
            <v>信息中心</v>
          </cell>
        </row>
        <row r="624">
          <cell r="B624" t="str">
            <v>001-0019591</v>
          </cell>
          <cell r="C624" t="str">
            <v>网卡</v>
          </cell>
          <cell r="D624" t="str">
            <v>3C905C-TX</v>
          </cell>
          <cell r="F624" t="str">
            <v>块</v>
          </cell>
          <cell r="G624" t="str">
            <v>200112</v>
          </cell>
          <cell r="H624" t="str">
            <v>200112</v>
          </cell>
          <cell r="I624">
            <v>500</v>
          </cell>
          <cell r="J624">
            <v>500</v>
          </cell>
          <cell r="K624">
            <v>500</v>
          </cell>
          <cell r="L624">
            <v>500</v>
          </cell>
          <cell r="M624">
            <v>500</v>
          </cell>
          <cell r="N624">
            <v>95</v>
          </cell>
          <cell r="O624">
            <v>475</v>
          </cell>
          <cell r="P624">
            <v>-5</v>
          </cell>
          <cell r="Q624" t="str">
            <v>信息中心</v>
          </cell>
        </row>
        <row r="625">
          <cell r="B625" t="str">
            <v>001-0019592</v>
          </cell>
          <cell r="C625" t="str">
            <v>网卡</v>
          </cell>
          <cell r="D625" t="str">
            <v>3C905C-TX</v>
          </cell>
          <cell r="F625" t="str">
            <v>块</v>
          </cell>
          <cell r="G625" t="str">
            <v>200112</v>
          </cell>
          <cell r="H625" t="str">
            <v>200112</v>
          </cell>
          <cell r="I625">
            <v>500</v>
          </cell>
          <cell r="J625">
            <v>500</v>
          </cell>
          <cell r="K625">
            <v>500</v>
          </cell>
          <cell r="L625">
            <v>500</v>
          </cell>
          <cell r="M625">
            <v>500</v>
          </cell>
          <cell r="N625">
            <v>95</v>
          </cell>
          <cell r="O625">
            <v>475</v>
          </cell>
          <cell r="P625">
            <v>-5</v>
          </cell>
          <cell r="Q625" t="str">
            <v>信息中心</v>
          </cell>
        </row>
        <row r="626">
          <cell r="B626" t="str">
            <v>001-0019593</v>
          </cell>
          <cell r="C626" t="str">
            <v>网卡</v>
          </cell>
          <cell r="D626" t="str">
            <v>3C905C-TX</v>
          </cell>
          <cell r="F626" t="str">
            <v>块</v>
          </cell>
          <cell r="G626" t="str">
            <v>200112</v>
          </cell>
          <cell r="H626" t="str">
            <v>200112</v>
          </cell>
          <cell r="I626">
            <v>500</v>
          </cell>
          <cell r="J626">
            <v>500</v>
          </cell>
          <cell r="K626">
            <v>500</v>
          </cell>
          <cell r="L626">
            <v>500</v>
          </cell>
          <cell r="M626">
            <v>500</v>
          </cell>
          <cell r="N626">
            <v>95</v>
          </cell>
          <cell r="O626">
            <v>475</v>
          </cell>
          <cell r="P626">
            <v>-5</v>
          </cell>
          <cell r="Q626" t="str">
            <v>信息中心</v>
          </cell>
        </row>
        <row r="627">
          <cell r="B627" t="str">
            <v>001-0019594</v>
          </cell>
          <cell r="C627" t="str">
            <v>网卡</v>
          </cell>
          <cell r="D627" t="str">
            <v>3C905C-TX</v>
          </cell>
          <cell r="F627" t="str">
            <v>块</v>
          </cell>
          <cell r="G627" t="str">
            <v>200112</v>
          </cell>
          <cell r="H627" t="str">
            <v>200112</v>
          </cell>
          <cell r="I627">
            <v>500</v>
          </cell>
          <cell r="J627">
            <v>500</v>
          </cell>
          <cell r="K627">
            <v>500</v>
          </cell>
          <cell r="L627">
            <v>500</v>
          </cell>
          <cell r="M627">
            <v>500</v>
          </cell>
          <cell r="N627">
            <v>95</v>
          </cell>
          <cell r="O627">
            <v>475</v>
          </cell>
          <cell r="P627">
            <v>-5</v>
          </cell>
          <cell r="Q627" t="str">
            <v>信息中心</v>
          </cell>
        </row>
        <row r="628">
          <cell r="B628" t="str">
            <v>001-0019595</v>
          </cell>
          <cell r="C628" t="str">
            <v>网卡</v>
          </cell>
          <cell r="D628" t="str">
            <v>3C905C-TX</v>
          </cell>
          <cell r="F628" t="str">
            <v>块</v>
          </cell>
          <cell r="G628" t="str">
            <v>200112</v>
          </cell>
          <cell r="H628" t="str">
            <v>200112</v>
          </cell>
          <cell r="I628">
            <v>500</v>
          </cell>
          <cell r="J628">
            <v>500</v>
          </cell>
          <cell r="K628">
            <v>500</v>
          </cell>
          <cell r="L628">
            <v>500</v>
          </cell>
          <cell r="M628">
            <v>500</v>
          </cell>
          <cell r="N628">
            <v>95</v>
          </cell>
          <cell r="O628">
            <v>475</v>
          </cell>
          <cell r="P628">
            <v>-5</v>
          </cell>
          <cell r="Q628" t="str">
            <v>信息中心</v>
          </cell>
        </row>
        <row r="629">
          <cell r="B629" t="str">
            <v>001-0019596</v>
          </cell>
          <cell r="C629" t="str">
            <v>网卡</v>
          </cell>
          <cell r="D629" t="str">
            <v>3C905C-TX</v>
          </cell>
          <cell r="F629" t="str">
            <v>块</v>
          </cell>
          <cell r="G629" t="str">
            <v>200112</v>
          </cell>
          <cell r="H629" t="str">
            <v>200112</v>
          </cell>
          <cell r="I629">
            <v>500</v>
          </cell>
          <cell r="J629">
            <v>500</v>
          </cell>
          <cell r="K629">
            <v>500</v>
          </cell>
          <cell r="L629">
            <v>500</v>
          </cell>
          <cell r="M629">
            <v>500</v>
          </cell>
          <cell r="N629">
            <v>95</v>
          </cell>
          <cell r="O629">
            <v>475</v>
          </cell>
          <cell r="P629">
            <v>-5</v>
          </cell>
          <cell r="Q629" t="str">
            <v>信息中心</v>
          </cell>
        </row>
        <row r="630">
          <cell r="B630" t="str">
            <v>001-0019597</v>
          </cell>
          <cell r="C630" t="str">
            <v>网卡</v>
          </cell>
          <cell r="D630" t="str">
            <v>3C905C-TX</v>
          </cell>
          <cell r="F630" t="str">
            <v>块</v>
          </cell>
          <cell r="G630" t="str">
            <v>200112</v>
          </cell>
          <cell r="H630" t="str">
            <v>200112</v>
          </cell>
          <cell r="I630">
            <v>500</v>
          </cell>
          <cell r="J630">
            <v>500</v>
          </cell>
          <cell r="K630">
            <v>500</v>
          </cell>
          <cell r="L630">
            <v>500</v>
          </cell>
          <cell r="M630">
            <v>500</v>
          </cell>
          <cell r="N630">
            <v>95</v>
          </cell>
          <cell r="O630">
            <v>475</v>
          </cell>
          <cell r="P630">
            <v>-5</v>
          </cell>
          <cell r="Q630" t="str">
            <v>信息中心</v>
          </cell>
        </row>
        <row r="631">
          <cell r="B631" t="str">
            <v>001-0019598</v>
          </cell>
          <cell r="C631" t="str">
            <v>网卡</v>
          </cell>
          <cell r="D631" t="str">
            <v>3C905C-TX</v>
          </cell>
          <cell r="F631" t="str">
            <v>块</v>
          </cell>
          <cell r="G631" t="str">
            <v>200112</v>
          </cell>
          <cell r="H631" t="str">
            <v>200112</v>
          </cell>
          <cell r="I631">
            <v>500</v>
          </cell>
          <cell r="J631">
            <v>500</v>
          </cell>
          <cell r="K631">
            <v>500</v>
          </cell>
          <cell r="L631">
            <v>500</v>
          </cell>
          <cell r="M631">
            <v>500</v>
          </cell>
          <cell r="N631">
            <v>95</v>
          </cell>
          <cell r="O631">
            <v>475</v>
          </cell>
          <cell r="P631">
            <v>-5</v>
          </cell>
          <cell r="Q631" t="str">
            <v>信息中心</v>
          </cell>
        </row>
        <row r="632">
          <cell r="B632" t="str">
            <v>001-0019599</v>
          </cell>
          <cell r="C632" t="str">
            <v>网卡</v>
          </cell>
          <cell r="D632" t="str">
            <v>3C905C-TX</v>
          </cell>
          <cell r="F632" t="str">
            <v>块</v>
          </cell>
          <cell r="G632" t="str">
            <v>200112</v>
          </cell>
          <cell r="H632" t="str">
            <v>200112</v>
          </cell>
          <cell r="I632">
            <v>500</v>
          </cell>
          <cell r="J632">
            <v>500</v>
          </cell>
          <cell r="K632">
            <v>500</v>
          </cell>
          <cell r="L632">
            <v>500</v>
          </cell>
          <cell r="M632">
            <v>500</v>
          </cell>
          <cell r="N632">
            <v>95</v>
          </cell>
          <cell r="O632">
            <v>475</v>
          </cell>
          <cell r="P632">
            <v>-5</v>
          </cell>
          <cell r="Q632" t="str">
            <v>信息中心</v>
          </cell>
        </row>
        <row r="633">
          <cell r="B633" t="str">
            <v>001-0019600</v>
          </cell>
          <cell r="C633" t="str">
            <v>网卡</v>
          </cell>
          <cell r="D633" t="str">
            <v>3C905C-TX</v>
          </cell>
          <cell r="F633" t="str">
            <v>块</v>
          </cell>
          <cell r="G633" t="str">
            <v>200112</v>
          </cell>
          <cell r="H633" t="str">
            <v>200112</v>
          </cell>
          <cell r="I633">
            <v>500</v>
          </cell>
          <cell r="J633">
            <v>500</v>
          </cell>
          <cell r="K633">
            <v>500</v>
          </cell>
          <cell r="L633">
            <v>500</v>
          </cell>
          <cell r="M633">
            <v>500</v>
          </cell>
          <cell r="N633">
            <v>95</v>
          </cell>
          <cell r="O633">
            <v>475</v>
          </cell>
          <cell r="P633">
            <v>-5</v>
          </cell>
          <cell r="Q633" t="str">
            <v>信息中心</v>
          </cell>
        </row>
        <row r="634">
          <cell r="B634" t="str">
            <v>001-0019601</v>
          </cell>
          <cell r="C634" t="str">
            <v>网卡</v>
          </cell>
          <cell r="D634" t="str">
            <v>3C905C-TX</v>
          </cell>
          <cell r="F634" t="str">
            <v>块</v>
          </cell>
          <cell r="G634" t="str">
            <v>200112</v>
          </cell>
          <cell r="H634" t="str">
            <v>200112</v>
          </cell>
          <cell r="I634">
            <v>500</v>
          </cell>
          <cell r="J634">
            <v>500</v>
          </cell>
          <cell r="K634">
            <v>500</v>
          </cell>
          <cell r="L634">
            <v>500</v>
          </cell>
          <cell r="M634">
            <v>500</v>
          </cell>
          <cell r="N634">
            <v>95</v>
          </cell>
          <cell r="O634">
            <v>475</v>
          </cell>
          <cell r="P634">
            <v>-5</v>
          </cell>
          <cell r="Q634" t="str">
            <v>信息中心</v>
          </cell>
        </row>
        <row r="635">
          <cell r="B635" t="str">
            <v>001-0019602</v>
          </cell>
          <cell r="C635" t="str">
            <v>网卡</v>
          </cell>
          <cell r="D635" t="str">
            <v>3C905C-TX</v>
          </cell>
          <cell r="F635" t="str">
            <v>块</v>
          </cell>
          <cell r="G635" t="str">
            <v>200112</v>
          </cell>
          <cell r="H635" t="str">
            <v>200112</v>
          </cell>
          <cell r="I635">
            <v>500</v>
          </cell>
          <cell r="J635">
            <v>500</v>
          </cell>
          <cell r="K635">
            <v>500</v>
          </cell>
          <cell r="L635">
            <v>500</v>
          </cell>
          <cell r="M635">
            <v>500</v>
          </cell>
          <cell r="N635">
            <v>95</v>
          </cell>
          <cell r="O635">
            <v>475</v>
          </cell>
          <cell r="P635">
            <v>-5</v>
          </cell>
          <cell r="Q635" t="str">
            <v>信息中心</v>
          </cell>
        </row>
        <row r="636">
          <cell r="B636" t="str">
            <v>001-0019603</v>
          </cell>
          <cell r="C636" t="str">
            <v>网卡</v>
          </cell>
          <cell r="D636" t="str">
            <v>3C905C-TX</v>
          </cell>
          <cell r="F636" t="str">
            <v>块</v>
          </cell>
          <cell r="G636" t="str">
            <v>200112</v>
          </cell>
          <cell r="H636" t="str">
            <v>200112</v>
          </cell>
          <cell r="I636">
            <v>500</v>
          </cell>
          <cell r="J636">
            <v>500</v>
          </cell>
          <cell r="K636">
            <v>500</v>
          </cell>
          <cell r="L636">
            <v>500</v>
          </cell>
          <cell r="M636">
            <v>500</v>
          </cell>
          <cell r="N636">
            <v>95</v>
          </cell>
          <cell r="O636">
            <v>475</v>
          </cell>
          <cell r="P636">
            <v>-5</v>
          </cell>
          <cell r="Q636" t="str">
            <v>信息中心</v>
          </cell>
        </row>
        <row r="637">
          <cell r="B637" t="str">
            <v>001-0019604</v>
          </cell>
          <cell r="C637" t="str">
            <v>网卡</v>
          </cell>
          <cell r="D637" t="str">
            <v>3C905C-TX</v>
          </cell>
          <cell r="F637" t="str">
            <v>块</v>
          </cell>
          <cell r="G637" t="str">
            <v>200112</v>
          </cell>
          <cell r="H637" t="str">
            <v>200112</v>
          </cell>
          <cell r="I637">
            <v>500</v>
          </cell>
          <cell r="J637">
            <v>500</v>
          </cell>
          <cell r="K637">
            <v>500</v>
          </cell>
          <cell r="L637">
            <v>500</v>
          </cell>
          <cell r="M637">
            <v>500</v>
          </cell>
          <cell r="N637">
            <v>95</v>
          </cell>
          <cell r="O637">
            <v>475</v>
          </cell>
          <cell r="P637">
            <v>-5</v>
          </cell>
          <cell r="Q637" t="str">
            <v>信息中心</v>
          </cell>
        </row>
        <row r="638">
          <cell r="B638" t="str">
            <v>001-0019605</v>
          </cell>
          <cell r="C638" t="str">
            <v>网卡</v>
          </cell>
          <cell r="D638" t="str">
            <v>3C905C-TX</v>
          </cell>
          <cell r="F638" t="str">
            <v>块</v>
          </cell>
          <cell r="G638" t="str">
            <v>200112</v>
          </cell>
          <cell r="H638" t="str">
            <v>200112</v>
          </cell>
          <cell r="I638">
            <v>500</v>
          </cell>
          <cell r="J638">
            <v>500</v>
          </cell>
          <cell r="K638">
            <v>500</v>
          </cell>
          <cell r="L638">
            <v>500</v>
          </cell>
          <cell r="M638">
            <v>500</v>
          </cell>
          <cell r="N638">
            <v>95</v>
          </cell>
          <cell r="O638">
            <v>475</v>
          </cell>
          <cell r="P638">
            <v>-5</v>
          </cell>
          <cell r="Q638" t="str">
            <v>信息中心</v>
          </cell>
        </row>
        <row r="639">
          <cell r="B639" t="str">
            <v>001-0019606</v>
          </cell>
          <cell r="C639" t="str">
            <v>网卡</v>
          </cell>
          <cell r="D639" t="str">
            <v>3C905C-TX</v>
          </cell>
          <cell r="F639" t="str">
            <v>块</v>
          </cell>
          <cell r="G639" t="str">
            <v>200112</v>
          </cell>
          <cell r="H639" t="str">
            <v>200112</v>
          </cell>
          <cell r="I639">
            <v>500</v>
          </cell>
          <cell r="J639">
            <v>500</v>
          </cell>
          <cell r="K639">
            <v>500</v>
          </cell>
          <cell r="L639">
            <v>500</v>
          </cell>
          <cell r="M639">
            <v>500</v>
          </cell>
          <cell r="N639">
            <v>95</v>
          </cell>
          <cell r="O639">
            <v>475</v>
          </cell>
          <cell r="P639">
            <v>-5</v>
          </cell>
          <cell r="Q639" t="str">
            <v>信息中心</v>
          </cell>
        </row>
        <row r="640">
          <cell r="B640" t="str">
            <v>001-0019607</v>
          </cell>
          <cell r="C640" t="str">
            <v>网卡</v>
          </cell>
          <cell r="D640" t="str">
            <v>3C905C-TX</v>
          </cell>
          <cell r="F640" t="str">
            <v>块</v>
          </cell>
          <cell r="G640" t="str">
            <v>200112</v>
          </cell>
          <cell r="H640" t="str">
            <v>200112</v>
          </cell>
          <cell r="I640">
            <v>500</v>
          </cell>
          <cell r="J640">
            <v>500</v>
          </cell>
          <cell r="K640">
            <v>500</v>
          </cell>
          <cell r="L640">
            <v>500</v>
          </cell>
          <cell r="M640">
            <v>500</v>
          </cell>
          <cell r="N640">
            <v>95</v>
          </cell>
          <cell r="O640">
            <v>475</v>
          </cell>
          <cell r="P640">
            <v>-5</v>
          </cell>
          <cell r="Q640" t="str">
            <v>信息中心</v>
          </cell>
        </row>
        <row r="641">
          <cell r="B641" t="str">
            <v>001-0019608</v>
          </cell>
          <cell r="C641" t="str">
            <v>网卡</v>
          </cell>
          <cell r="D641" t="str">
            <v>3C905C-TX</v>
          </cell>
          <cell r="F641" t="str">
            <v>块</v>
          </cell>
          <cell r="G641" t="str">
            <v>200112</v>
          </cell>
          <cell r="H641" t="str">
            <v>200112</v>
          </cell>
          <cell r="I641">
            <v>500</v>
          </cell>
          <cell r="J641">
            <v>500</v>
          </cell>
          <cell r="K641">
            <v>500</v>
          </cell>
          <cell r="L641">
            <v>500</v>
          </cell>
          <cell r="M641">
            <v>500</v>
          </cell>
          <cell r="N641">
            <v>95</v>
          </cell>
          <cell r="O641">
            <v>475</v>
          </cell>
          <cell r="P641">
            <v>-5</v>
          </cell>
          <cell r="Q641" t="str">
            <v>信息中心</v>
          </cell>
        </row>
        <row r="642">
          <cell r="B642" t="str">
            <v>001-0019609</v>
          </cell>
          <cell r="C642" t="str">
            <v>网卡</v>
          </cell>
          <cell r="D642" t="str">
            <v>3C905C-TX</v>
          </cell>
          <cell r="F642" t="str">
            <v>块</v>
          </cell>
          <cell r="G642" t="str">
            <v>200112</v>
          </cell>
          <cell r="H642" t="str">
            <v>200112</v>
          </cell>
          <cell r="I642">
            <v>500</v>
          </cell>
          <cell r="J642">
            <v>500</v>
          </cell>
          <cell r="K642">
            <v>500</v>
          </cell>
          <cell r="L642">
            <v>500</v>
          </cell>
          <cell r="M642">
            <v>500</v>
          </cell>
          <cell r="N642">
            <v>95</v>
          </cell>
          <cell r="O642">
            <v>475</v>
          </cell>
          <cell r="P642">
            <v>-5</v>
          </cell>
          <cell r="Q642" t="str">
            <v>信息中心</v>
          </cell>
        </row>
        <row r="643">
          <cell r="B643" t="str">
            <v>001-0019610</v>
          </cell>
          <cell r="C643" t="str">
            <v>网卡</v>
          </cell>
          <cell r="D643" t="str">
            <v>3C905C-TX</v>
          </cell>
          <cell r="F643" t="str">
            <v>块</v>
          </cell>
          <cell r="G643" t="str">
            <v>200112</v>
          </cell>
          <cell r="H643" t="str">
            <v>200112</v>
          </cell>
          <cell r="I643">
            <v>500</v>
          </cell>
          <cell r="J643">
            <v>500</v>
          </cell>
          <cell r="K643">
            <v>500</v>
          </cell>
          <cell r="L643">
            <v>500</v>
          </cell>
          <cell r="M643">
            <v>500</v>
          </cell>
          <cell r="N643">
            <v>95</v>
          </cell>
          <cell r="O643">
            <v>475</v>
          </cell>
          <cell r="P643">
            <v>-5</v>
          </cell>
          <cell r="Q643" t="str">
            <v>信息中心</v>
          </cell>
        </row>
        <row r="644">
          <cell r="B644" t="str">
            <v>001-0019611</v>
          </cell>
          <cell r="C644" t="str">
            <v>网卡</v>
          </cell>
          <cell r="D644" t="str">
            <v>3C905C-TX</v>
          </cell>
          <cell r="F644" t="str">
            <v>块</v>
          </cell>
          <cell r="G644" t="str">
            <v>200112</v>
          </cell>
          <cell r="H644" t="str">
            <v>200112</v>
          </cell>
          <cell r="I644">
            <v>500</v>
          </cell>
          <cell r="J644">
            <v>500</v>
          </cell>
          <cell r="K644">
            <v>500</v>
          </cell>
          <cell r="L644">
            <v>500</v>
          </cell>
          <cell r="M644">
            <v>500</v>
          </cell>
          <cell r="N644">
            <v>95</v>
          </cell>
          <cell r="O644">
            <v>475</v>
          </cell>
          <cell r="P644">
            <v>-5</v>
          </cell>
          <cell r="Q644" t="str">
            <v>信息中心</v>
          </cell>
        </row>
        <row r="645">
          <cell r="B645" t="str">
            <v>001-0019612</v>
          </cell>
          <cell r="C645" t="str">
            <v>网卡</v>
          </cell>
          <cell r="D645" t="str">
            <v>3C905C-TX</v>
          </cell>
          <cell r="F645" t="str">
            <v>块</v>
          </cell>
          <cell r="G645" t="str">
            <v>200112</v>
          </cell>
          <cell r="H645" t="str">
            <v>200112</v>
          </cell>
          <cell r="I645">
            <v>500</v>
          </cell>
          <cell r="J645">
            <v>500</v>
          </cell>
          <cell r="K645">
            <v>500</v>
          </cell>
          <cell r="L645">
            <v>500</v>
          </cell>
          <cell r="M645">
            <v>500</v>
          </cell>
          <cell r="N645">
            <v>95</v>
          </cell>
          <cell r="O645">
            <v>475</v>
          </cell>
          <cell r="P645">
            <v>-5</v>
          </cell>
          <cell r="Q645" t="str">
            <v>信息中心</v>
          </cell>
        </row>
        <row r="646">
          <cell r="B646" t="str">
            <v>001-0019613</v>
          </cell>
          <cell r="C646" t="str">
            <v>网卡</v>
          </cell>
          <cell r="D646" t="str">
            <v>3C905C-TX</v>
          </cell>
          <cell r="F646" t="str">
            <v>块</v>
          </cell>
          <cell r="G646" t="str">
            <v>200112</v>
          </cell>
          <cell r="H646" t="str">
            <v>200112</v>
          </cell>
          <cell r="I646">
            <v>500</v>
          </cell>
          <cell r="J646">
            <v>500</v>
          </cell>
          <cell r="K646">
            <v>500</v>
          </cell>
          <cell r="L646">
            <v>500</v>
          </cell>
          <cell r="M646">
            <v>500</v>
          </cell>
          <cell r="N646">
            <v>95</v>
          </cell>
          <cell r="O646">
            <v>475</v>
          </cell>
          <cell r="P646">
            <v>-5</v>
          </cell>
          <cell r="Q646" t="str">
            <v>信息中心</v>
          </cell>
        </row>
        <row r="647">
          <cell r="B647" t="str">
            <v>001-0019614</v>
          </cell>
          <cell r="C647" t="str">
            <v>网卡</v>
          </cell>
          <cell r="D647" t="str">
            <v>3C905C-TX</v>
          </cell>
          <cell r="F647" t="str">
            <v>块</v>
          </cell>
          <cell r="G647" t="str">
            <v>200112</v>
          </cell>
          <cell r="H647" t="str">
            <v>200112</v>
          </cell>
          <cell r="I647">
            <v>500</v>
          </cell>
          <cell r="J647">
            <v>500</v>
          </cell>
          <cell r="K647">
            <v>500</v>
          </cell>
          <cell r="L647">
            <v>500</v>
          </cell>
          <cell r="M647">
            <v>500</v>
          </cell>
          <cell r="N647">
            <v>95</v>
          </cell>
          <cell r="O647">
            <v>475</v>
          </cell>
          <cell r="P647">
            <v>-5</v>
          </cell>
          <cell r="Q647" t="str">
            <v>信息中心</v>
          </cell>
        </row>
        <row r="648">
          <cell r="B648" t="str">
            <v>001-0019615</v>
          </cell>
          <cell r="C648" t="str">
            <v>网卡</v>
          </cell>
          <cell r="D648" t="str">
            <v>3C905C-TX</v>
          </cell>
          <cell r="F648" t="str">
            <v>块</v>
          </cell>
          <cell r="G648" t="str">
            <v>200112</v>
          </cell>
          <cell r="H648" t="str">
            <v>200112</v>
          </cell>
          <cell r="I648">
            <v>500</v>
          </cell>
          <cell r="J648">
            <v>500</v>
          </cell>
          <cell r="K648">
            <v>500</v>
          </cell>
          <cell r="L648">
            <v>500</v>
          </cell>
          <cell r="M648">
            <v>500</v>
          </cell>
          <cell r="N648">
            <v>95</v>
          </cell>
          <cell r="O648">
            <v>475</v>
          </cell>
          <cell r="P648">
            <v>-5</v>
          </cell>
          <cell r="Q648" t="str">
            <v>信息中心</v>
          </cell>
        </row>
        <row r="649">
          <cell r="B649" t="str">
            <v>001-0019616</v>
          </cell>
          <cell r="C649" t="str">
            <v>网卡</v>
          </cell>
          <cell r="D649" t="str">
            <v>3C905C-TX</v>
          </cell>
          <cell r="F649" t="str">
            <v>块</v>
          </cell>
          <cell r="G649" t="str">
            <v>200112</v>
          </cell>
          <cell r="H649" t="str">
            <v>200112</v>
          </cell>
          <cell r="I649">
            <v>500</v>
          </cell>
          <cell r="J649">
            <v>500</v>
          </cell>
          <cell r="K649">
            <v>500</v>
          </cell>
          <cell r="L649">
            <v>500</v>
          </cell>
          <cell r="M649">
            <v>500</v>
          </cell>
          <cell r="N649">
            <v>95</v>
          </cell>
          <cell r="O649">
            <v>475</v>
          </cell>
          <cell r="P649">
            <v>-5</v>
          </cell>
          <cell r="Q649" t="str">
            <v>信息中心</v>
          </cell>
        </row>
        <row r="650">
          <cell r="B650" t="str">
            <v>001-0019617</v>
          </cell>
          <cell r="C650" t="str">
            <v>网卡</v>
          </cell>
          <cell r="D650" t="str">
            <v>3C905C-TX</v>
          </cell>
          <cell r="F650" t="str">
            <v>块</v>
          </cell>
          <cell r="G650" t="str">
            <v>200112</v>
          </cell>
          <cell r="H650" t="str">
            <v>200112</v>
          </cell>
          <cell r="I650">
            <v>500</v>
          </cell>
          <cell r="J650">
            <v>500</v>
          </cell>
          <cell r="K650">
            <v>500</v>
          </cell>
          <cell r="L650">
            <v>500</v>
          </cell>
          <cell r="M650">
            <v>500</v>
          </cell>
          <cell r="N650">
            <v>95</v>
          </cell>
          <cell r="O650">
            <v>475</v>
          </cell>
          <cell r="P650">
            <v>-5</v>
          </cell>
          <cell r="Q650" t="str">
            <v>信息中心</v>
          </cell>
        </row>
        <row r="651">
          <cell r="B651" t="str">
            <v>001-0019618</v>
          </cell>
          <cell r="C651" t="str">
            <v>网卡</v>
          </cell>
          <cell r="D651" t="str">
            <v>3C905C-TX</v>
          </cell>
          <cell r="F651" t="str">
            <v>块</v>
          </cell>
          <cell r="G651" t="str">
            <v>200112</v>
          </cell>
          <cell r="H651" t="str">
            <v>200112</v>
          </cell>
          <cell r="I651">
            <v>500</v>
          </cell>
          <cell r="J651">
            <v>500</v>
          </cell>
          <cell r="K651">
            <v>500</v>
          </cell>
          <cell r="L651">
            <v>500</v>
          </cell>
          <cell r="M651">
            <v>500</v>
          </cell>
          <cell r="N651">
            <v>95</v>
          </cell>
          <cell r="O651">
            <v>475</v>
          </cell>
          <cell r="P651">
            <v>-5</v>
          </cell>
          <cell r="Q651" t="str">
            <v>信息中心</v>
          </cell>
        </row>
        <row r="652">
          <cell r="B652" t="str">
            <v>001-0019619</v>
          </cell>
          <cell r="C652" t="str">
            <v>网卡</v>
          </cell>
          <cell r="D652" t="str">
            <v>3C905C-TX</v>
          </cell>
          <cell r="F652" t="str">
            <v>块</v>
          </cell>
          <cell r="G652" t="str">
            <v>200112</v>
          </cell>
          <cell r="H652" t="str">
            <v>200112</v>
          </cell>
          <cell r="I652">
            <v>500</v>
          </cell>
          <cell r="J652">
            <v>500</v>
          </cell>
          <cell r="K652">
            <v>500</v>
          </cell>
          <cell r="L652">
            <v>500</v>
          </cell>
          <cell r="M652">
            <v>500</v>
          </cell>
          <cell r="N652">
            <v>95</v>
          </cell>
          <cell r="O652">
            <v>475</v>
          </cell>
          <cell r="P652">
            <v>-5</v>
          </cell>
          <cell r="Q652" t="str">
            <v>信息中心</v>
          </cell>
        </row>
        <row r="653">
          <cell r="B653" t="str">
            <v>001-0019620</v>
          </cell>
          <cell r="C653" t="str">
            <v>网卡</v>
          </cell>
          <cell r="D653" t="str">
            <v>3C905C-TX</v>
          </cell>
          <cell r="F653" t="str">
            <v>块</v>
          </cell>
          <cell r="G653" t="str">
            <v>200112</v>
          </cell>
          <cell r="H653" t="str">
            <v>200112</v>
          </cell>
          <cell r="I653">
            <v>500</v>
          </cell>
          <cell r="J653">
            <v>500</v>
          </cell>
          <cell r="K653">
            <v>500</v>
          </cell>
          <cell r="L653">
            <v>500</v>
          </cell>
          <cell r="M653">
            <v>500</v>
          </cell>
          <cell r="N653">
            <v>95</v>
          </cell>
          <cell r="O653">
            <v>475</v>
          </cell>
          <cell r="P653">
            <v>-5</v>
          </cell>
          <cell r="Q653" t="str">
            <v>信息中心</v>
          </cell>
        </row>
        <row r="654">
          <cell r="B654" t="str">
            <v>001-0019621</v>
          </cell>
          <cell r="C654" t="str">
            <v>网卡</v>
          </cell>
          <cell r="D654" t="str">
            <v>3C905C-TX</v>
          </cell>
          <cell r="F654" t="str">
            <v>块</v>
          </cell>
          <cell r="G654" t="str">
            <v>200112</v>
          </cell>
          <cell r="H654" t="str">
            <v>200112</v>
          </cell>
          <cell r="I654">
            <v>500</v>
          </cell>
          <cell r="J654">
            <v>500</v>
          </cell>
          <cell r="K654">
            <v>500</v>
          </cell>
          <cell r="L654">
            <v>500</v>
          </cell>
          <cell r="M654">
            <v>500</v>
          </cell>
          <cell r="N654">
            <v>95</v>
          </cell>
          <cell r="O654">
            <v>475</v>
          </cell>
          <cell r="P654">
            <v>-5</v>
          </cell>
          <cell r="Q654" t="str">
            <v>信息中心</v>
          </cell>
        </row>
        <row r="655">
          <cell r="B655" t="str">
            <v>001-0019622</v>
          </cell>
          <cell r="C655" t="str">
            <v>网卡</v>
          </cell>
          <cell r="D655" t="str">
            <v>3C905C-TX</v>
          </cell>
          <cell r="F655" t="str">
            <v>块</v>
          </cell>
          <cell r="G655" t="str">
            <v>200112</v>
          </cell>
          <cell r="H655" t="str">
            <v>200112</v>
          </cell>
          <cell r="I655">
            <v>500</v>
          </cell>
          <cell r="J655">
            <v>500</v>
          </cell>
          <cell r="K655">
            <v>500</v>
          </cell>
          <cell r="L655">
            <v>500</v>
          </cell>
          <cell r="M655">
            <v>500</v>
          </cell>
          <cell r="N655">
            <v>95</v>
          </cell>
          <cell r="O655">
            <v>475</v>
          </cell>
          <cell r="P655">
            <v>-5</v>
          </cell>
          <cell r="Q655" t="str">
            <v>信息中心</v>
          </cell>
        </row>
        <row r="656">
          <cell r="B656" t="str">
            <v>001-0019623</v>
          </cell>
          <cell r="C656" t="str">
            <v>网卡</v>
          </cell>
          <cell r="D656" t="str">
            <v>3C905C-TX</v>
          </cell>
          <cell r="F656" t="str">
            <v>块</v>
          </cell>
          <cell r="G656" t="str">
            <v>200112</v>
          </cell>
          <cell r="H656" t="str">
            <v>200112</v>
          </cell>
          <cell r="I656">
            <v>500</v>
          </cell>
          <cell r="J656">
            <v>500</v>
          </cell>
          <cell r="K656">
            <v>500</v>
          </cell>
          <cell r="L656">
            <v>500</v>
          </cell>
          <cell r="M656">
            <v>500</v>
          </cell>
          <cell r="N656">
            <v>95</v>
          </cell>
          <cell r="O656">
            <v>475</v>
          </cell>
          <cell r="P656">
            <v>-5</v>
          </cell>
          <cell r="Q656" t="str">
            <v>信息中心</v>
          </cell>
        </row>
        <row r="657">
          <cell r="B657" t="str">
            <v>001-0019624</v>
          </cell>
          <cell r="C657" t="str">
            <v>网卡</v>
          </cell>
          <cell r="D657" t="str">
            <v>3C905C-TX</v>
          </cell>
          <cell r="F657" t="str">
            <v>块</v>
          </cell>
          <cell r="G657" t="str">
            <v>200112</v>
          </cell>
          <cell r="H657" t="str">
            <v>200112</v>
          </cell>
          <cell r="I657">
            <v>500</v>
          </cell>
          <cell r="J657">
            <v>500</v>
          </cell>
          <cell r="K657">
            <v>500</v>
          </cell>
          <cell r="L657">
            <v>500</v>
          </cell>
          <cell r="M657">
            <v>500</v>
          </cell>
          <cell r="N657">
            <v>95</v>
          </cell>
          <cell r="O657">
            <v>475</v>
          </cell>
          <cell r="P657">
            <v>-5</v>
          </cell>
          <cell r="Q657" t="str">
            <v>信息中心</v>
          </cell>
        </row>
        <row r="658">
          <cell r="B658" t="str">
            <v>001-0019625</v>
          </cell>
          <cell r="C658" t="str">
            <v>网卡</v>
          </cell>
          <cell r="D658" t="str">
            <v>3C905C-TX</v>
          </cell>
          <cell r="F658" t="str">
            <v>块</v>
          </cell>
          <cell r="G658" t="str">
            <v>200112</v>
          </cell>
          <cell r="H658" t="str">
            <v>200112</v>
          </cell>
          <cell r="I658">
            <v>500</v>
          </cell>
          <cell r="J658">
            <v>500</v>
          </cell>
          <cell r="K658">
            <v>500</v>
          </cell>
          <cell r="L658">
            <v>500</v>
          </cell>
          <cell r="M658">
            <v>500</v>
          </cell>
          <cell r="N658">
            <v>95</v>
          </cell>
          <cell r="O658">
            <v>475</v>
          </cell>
          <cell r="P658">
            <v>-5</v>
          </cell>
          <cell r="Q658" t="str">
            <v>信息中心</v>
          </cell>
        </row>
        <row r="659">
          <cell r="B659" t="str">
            <v>001-0019626</v>
          </cell>
          <cell r="C659" t="str">
            <v>网卡</v>
          </cell>
          <cell r="D659" t="str">
            <v>3C905C-TX</v>
          </cell>
          <cell r="F659" t="str">
            <v>块</v>
          </cell>
          <cell r="G659" t="str">
            <v>200112</v>
          </cell>
          <cell r="H659" t="str">
            <v>200112</v>
          </cell>
          <cell r="I659">
            <v>500</v>
          </cell>
          <cell r="J659">
            <v>500</v>
          </cell>
          <cell r="K659">
            <v>500</v>
          </cell>
          <cell r="L659">
            <v>500</v>
          </cell>
          <cell r="M659">
            <v>500</v>
          </cell>
          <cell r="N659">
            <v>95</v>
          </cell>
          <cell r="O659">
            <v>475</v>
          </cell>
          <cell r="P659">
            <v>-5</v>
          </cell>
          <cell r="Q659" t="str">
            <v>信息中心</v>
          </cell>
        </row>
        <row r="660">
          <cell r="B660" t="str">
            <v>001-0019627</v>
          </cell>
          <cell r="C660" t="str">
            <v>网卡</v>
          </cell>
          <cell r="D660" t="str">
            <v>3C905C-TX</v>
          </cell>
          <cell r="F660" t="str">
            <v>块</v>
          </cell>
          <cell r="G660" t="str">
            <v>200112</v>
          </cell>
          <cell r="H660" t="str">
            <v>200112</v>
          </cell>
          <cell r="I660">
            <v>500</v>
          </cell>
          <cell r="J660">
            <v>500</v>
          </cell>
          <cell r="K660">
            <v>500</v>
          </cell>
          <cell r="L660">
            <v>500</v>
          </cell>
          <cell r="M660">
            <v>500</v>
          </cell>
          <cell r="N660">
            <v>95</v>
          </cell>
          <cell r="O660">
            <v>475</v>
          </cell>
          <cell r="P660">
            <v>-5</v>
          </cell>
          <cell r="Q660" t="str">
            <v>信息中心</v>
          </cell>
        </row>
        <row r="661">
          <cell r="B661" t="str">
            <v>001-0019628</v>
          </cell>
          <cell r="C661" t="str">
            <v>网卡</v>
          </cell>
          <cell r="D661" t="str">
            <v>3C905C-TX</v>
          </cell>
          <cell r="F661" t="str">
            <v>块</v>
          </cell>
          <cell r="G661" t="str">
            <v>200112</v>
          </cell>
          <cell r="H661" t="str">
            <v>200112</v>
          </cell>
          <cell r="I661">
            <v>500</v>
          </cell>
          <cell r="J661">
            <v>500</v>
          </cell>
          <cell r="K661">
            <v>500</v>
          </cell>
          <cell r="L661">
            <v>500</v>
          </cell>
          <cell r="M661">
            <v>500</v>
          </cell>
          <cell r="N661">
            <v>95</v>
          </cell>
          <cell r="O661">
            <v>475</v>
          </cell>
          <cell r="P661">
            <v>-5</v>
          </cell>
          <cell r="Q661" t="str">
            <v>信息中心</v>
          </cell>
        </row>
        <row r="662">
          <cell r="B662" t="str">
            <v>001-0019629</v>
          </cell>
          <cell r="C662" t="str">
            <v>网卡</v>
          </cell>
          <cell r="D662" t="str">
            <v>3C905C-TX</v>
          </cell>
          <cell r="F662" t="str">
            <v>块</v>
          </cell>
          <cell r="G662" t="str">
            <v>200112</v>
          </cell>
          <cell r="H662" t="str">
            <v>200112</v>
          </cell>
          <cell r="I662">
            <v>500</v>
          </cell>
          <cell r="J662">
            <v>500</v>
          </cell>
          <cell r="K662">
            <v>500</v>
          </cell>
          <cell r="L662">
            <v>500</v>
          </cell>
          <cell r="M662">
            <v>500</v>
          </cell>
          <cell r="N662">
            <v>95</v>
          </cell>
          <cell r="O662">
            <v>475</v>
          </cell>
          <cell r="P662">
            <v>-5</v>
          </cell>
          <cell r="Q662" t="str">
            <v>信息中心</v>
          </cell>
        </row>
        <row r="663">
          <cell r="B663" t="str">
            <v>001-0019630</v>
          </cell>
          <cell r="C663" t="str">
            <v>网卡</v>
          </cell>
          <cell r="D663" t="str">
            <v>3C905C-TX</v>
          </cell>
          <cell r="F663" t="str">
            <v>块</v>
          </cell>
          <cell r="G663" t="str">
            <v>200112</v>
          </cell>
          <cell r="H663" t="str">
            <v>200112</v>
          </cell>
          <cell r="I663">
            <v>500</v>
          </cell>
          <cell r="J663">
            <v>500</v>
          </cell>
          <cell r="K663">
            <v>500</v>
          </cell>
          <cell r="L663">
            <v>500</v>
          </cell>
          <cell r="M663">
            <v>500</v>
          </cell>
          <cell r="N663">
            <v>95</v>
          </cell>
          <cell r="O663">
            <v>475</v>
          </cell>
          <cell r="P663">
            <v>-5</v>
          </cell>
          <cell r="Q663" t="str">
            <v>信息中心</v>
          </cell>
        </row>
        <row r="664">
          <cell r="B664" t="str">
            <v>001-0019631</v>
          </cell>
          <cell r="C664" t="str">
            <v>网卡</v>
          </cell>
          <cell r="D664" t="str">
            <v>3C905C-TX</v>
          </cell>
          <cell r="F664" t="str">
            <v>块</v>
          </cell>
          <cell r="G664" t="str">
            <v>200112</v>
          </cell>
          <cell r="H664" t="str">
            <v>200112</v>
          </cell>
          <cell r="I664">
            <v>500</v>
          </cell>
          <cell r="J664">
            <v>500</v>
          </cell>
          <cell r="K664">
            <v>500</v>
          </cell>
          <cell r="L664">
            <v>500</v>
          </cell>
          <cell r="M664">
            <v>500</v>
          </cell>
          <cell r="N664">
            <v>95</v>
          </cell>
          <cell r="O664">
            <v>475</v>
          </cell>
          <cell r="P664">
            <v>-5</v>
          </cell>
          <cell r="Q664" t="str">
            <v>信息中心</v>
          </cell>
        </row>
        <row r="665">
          <cell r="B665" t="str">
            <v>001-0019632</v>
          </cell>
          <cell r="C665" t="str">
            <v>网卡</v>
          </cell>
          <cell r="D665" t="str">
            <v>3C905C-TX</v>
          </cell>
          <cell r="F665" t="str">
            <v>块</v>
          </cell>
          <cell r="G665" t="str">
            <v>200112</v>
          </cell>
          <cell r="H665" t="str">
            <v>200112</v>
          </cell>
          <cell r="I665">
            <v>500</v>
          </cell>
          <cell r="J665">
            <v>500</v>
          </cell>
          <cell r="K665">
            <v>500</v>
          </cell>
          <cell r="L665">
            <v>500</v>
          </cell>
          <cell r="M665">
            <v>500</v>
          </cell>
          <cell r="N665">
            <v>95</v>
          </cell>
          <cell r="O665">
            <v>475</v>
          </cell>
          <cell r="P665">
            <v>-5</v>
          </cell>
          <cell r="Q665" t="str">
            <v>信息中心</v>
          </cell>
        </row>
        <row r="666">
          <cell r="B666" t="str">
            <v>001-0019633</v>
          </cell>
          <cell r="C666" t="str">
            <v>网卡</v>
          </cell>
          <cell r="D666" t="str">
            <v>3C905C-TX</v>
          </cell>
          <cell r="F666" t="str">
            <v>块</v>
          </cell>
          <cell r="G666" t="str">
            <v>200112</v>
          </cell>
          <cell r="H666" t="str">
            <v>200112</v>
          </cell>
          <cell r="I666">
            <v>500</v>
          </cell>
          <cell r="J666">
            <v>500</v>
          </cell>
          <cell r="K666">
            <v>500</v>
          </cell>
          <cell r="L666">
            <v>500</v>
          </cell>
          <cell r="M666">
            <v>500</v>
          </cell>
          <cell r="N666">
            <v>95</v>
          </cell>
          <cell r="O666">
            <v>475</v>
          </cell>
          <cell r="P666">
            <v>-5</v>
          </cell>
          <cell r="Q666" t="str">
            <v>信息中心</v>
          </cell>
        </row>
        <row r="667">
          <cell r="B667" t="str">
            <v>001-0019634</v>
          </cell>
          <cell r="C667" t="str">
            <v>LUCENT配线架</v>
          </cell>
          <cell r="D667" t="str">
            <v>PM2159B-48</v>
          </cell>
          <cell r="F667" t="str">
            <v>个</v>
          </cell>
          <cell r="G667" t="str">
            <v>200112</v>
          </cell>
          <cell r="H667" t="str">
            <v>200112</v>
          </cell>
          <cell r="I667">
            <v>2400</v>
          </cell>
          <cell r="J667">
            <v>2400</v>
          </cell>
          <cell r="K667">
            <v>2400</v>
          </cell>
          <cell r="L667">
            <v>2400</v>
          </cell>
          <cell r="M667">
            <v>2400</v>
          </cell>
          <cell r="N667">
            <v>95</v>
          </cell>
          <cell r="O667">
            <v>2280</v>
          </cell>
          <cell r="P667">
            <v>-5</v>
          </cell>
          <cell r="Q667" t="str">
            <v>信息中心</v>
          </cell>
        </row>
        <row r="668">
          <cell r="B668" t="str">
            <v>001-0019635</v>
          </cell>
          <cell r="C668" t="str">
            <v>LUCENT配线架</v>
          </cell>
          <cell r="D668" t="str">
            <v>PM2159B-48</v>
          </cell>
          <cell r="F668" t="str">
            <v>个</v>
          </cell>
          <cell r="G668" t="str">
            <v>200112</v>
          </cell>
          <cell r="H668" t="str">
            <v>200112</v>
          </cell>
          <cell r="I668">
            <v>2400</v>
          </cell>
          <cell r="J668">
            <v>2400</v>
          </cell>
          <cell r="K668">
            <v>2400</v>
          </cell>
          <cell r="L668">
            <v>2400</v>
          </cell>
          <cell r="M668">
            <v>2400</v>
          </cell>
          <cell r="N668">
            <v>95</v>
          </cell>
          <cell r="O668">
            <v>2280</v>
          </cell>
          <cell r="P668">
            <v>-5</v>
          </cell>
          <cell r="Q668" t="str">
            <v>信息中心</v>
          </cell>
        </row>
        <row r="669">
          <cell r="B669" t="str">
            <v>001-0019636</v>
          </cell>
          <cell r="C669" t="str">
            <v>LUCENT配线架</v>
          </cell>
          <cell r="D669" t="str">
            <v>PM2159B-48</v>
          </cell>
          <cell r="F669" t="str">
            <v>个</v>
          </cell>
          <cell r="G669" t="str">
            <v>200112</v>
          </cell>
          <cell r="H669" t="str">
            <v>200112</v>
          </cell>
          <cell r="I669">
            <v>2400</v>
          </cell>
          <cell r="J669">
            <v>2400</v>
          </cell>
          <cell r="K669">
            <v>2400</v>
          </cell>
          <cell r="L669">
            <v>2400</v>
          </cell>
          <cell r="M669">
            <v>2400</v>
          </cell>
          <cell r="N669">
            <v>95</v>
          </cell>
          <cell r="O669">
            <v>2280</v>
          </cell>
          <cell r="P669">
            <v>-5</v>
          </cell>
          <cell r="Q669" t="str">
            <v>信息中心</v>
          </cell>
        </row>
        <row r="670">
          <cell r="B670" t="str">
            <v>001-0019637</v>
          </cell>
          <cell r="C670" t="str">
            <v>LUCENT配线架</v>
          </cell>
          <cell r="D670" t="str">
            <v>PM2159B-48</v>
          </cell>
          <cell r="F670" t="str">
            <v>个</v>
          </cell>
          <cell r="G670" t="str">
            <v>200112</v>
          </cell>
          <cell r="H670" t="str">
            <v>200112</v>
          </cell>
          <cell r="I670">
            <v>2400</v>
          </cell>
          <cell r="J670">
            <v>2400</v>
          </cell>
          <cell r="K670">
            <v>2400</v>
          </cell>
          <cell r="L670">
            <v>2400</v>
          </cell>
          <cell r="M670">
            <v>2400</v>
          </cell>
          <cell r="N670">
            <v>95</v>
          </cell>
          <cell r="O670">
            <v>2280</v>
          </cell>
          <cell r="P670">
            <v>-5</v>
          </cell>
          <cell r="Q670" t="str">
            <v>信息中心</v>
          </cell>
        </row>
        <row r="671">
          <cell r="B671" t="str">
            <v>001-0019638</v>
          </cell>
          <cell r="C671" t="str">
            <v>LUCENT配线架</v>
          </cell>
          <cell r="D671" t="str">
            <v>PM2159B-48</v>
          </cell>
          <cell r="F671" t="str">
            <v>个</v>
          </cell>
          <cell r="G671" t="str">
            <v>200112</v>
          </cell>
          <cell r="H671" t="str">
            <v>200112</v>
          </cell>
          <cell r="I671">
            <v>2400</v>
          </cell>
          <cell r="J671">
            <v>2400</v>
          </cell>
          <cell r="K671">
            <v>2400</v>
          </cell>
          <cell r="L671">
            <v>2400</v>
          </cell>
          <cell r="M671">
            <v>2400</v>
          </cell>
          <cell r="N671">
            <v>95</v>
          </cell>
          <cell r="O671">
            <v>2280</v>
          </cell>
          <cell r="P671">
            <v>-5</v>
          </cell>
          <cell r="Q671" t="str">
            <v>信息中心</v>
          </cell>
        </row>
        <row r="672">
          <cell r="B672" t="str">
            <v>001-0019639</v>
          </cell>
          <cell r="C672" t="str">
            <v>LUCENT配线架</v>
          </cell>
          <cell r="D672" t="str">
            <v>PM2159B-48</v>
          </cell>
          <cell r="F672" t="str">
            <v>个</v>
          </cell>
          <cell r="G672" t="str">
            <v>200112</v>
          </cell>
          <cell r="H672" t="str">
            <v>200112</v>
          </cell>
          <cell r="I672">
            <v>2400</v>
          </cell>
          <cell r="J672">
            <v>2400</v>
          </cell>
          <cell r="K672">
            <v>2400</v>
          </cell>
          <cell r="L672">
            <v>2400</v>
          </cell>
          <cell r="M672">
            <v>2400</v>
          </cell>
          <cell r="N672">
            <v>95</v>
          </cell>
          <cell r="O672">
            <v>2280</v>
          </cell>
          <cell r="P672">
            <v>-5</v>
          </cell>
          <cell r="Q672" t="str">
            <v>信息中心</v>
          </cell>
        </row>
        <row r="673">
          <cell r="B673" t="str">
            <v>001-0019640</v>
          </cell>
          <cell r="C673" t="str">
            <v>LUCENT配线架</v>
          </cell>
          <cell r="D673" t="str">
            <v>PM2159B-48</v>
          </cell>
          <cell r="F673" t="str">
            <v>个</v>
          </cell>
          <cell r="G673" t="str">
            <v>200112</v>
          </cell>
          <cell r="H673" t="str">
            <v>200112</v>
          </cell>
          <cell r="I673">
            <v>2400</v>
          </cell>
          <cell r="J673">
            <v>2400</v>
          </cell>
          <cell r="K673">
            <v>2400</v>
          </cell>
          <cell r="L673">
            <v>2400</v>
          </cell>
          <cell r="M673">
            <v>2400</v>
          </cell>
          <cell r="N673">
            <v>95</v>
          </cell>
          <cell r="O673">
            <v>2280</v>
          </cell>
          <cell r="P673">
            <v>-5</v>
          </cell>
          <cell r="Q673" t="str">
            <v>信息中心</v>
          </cell>
        </row>
        <row r="674">
          <cell r="B674" t="str">
            <v>001-0019641</v>
          </cell>
          <cell r="C674" t="str">
            <v>LUCENT配线架</v>
          </cell>
          <cell r="D674" t="str">
            <v>PM2159B-48</v>
          </cell>
          <cell r="F674" t="str">
            <v>个</v>
          </cell>
          <cell r="G674" t="str">
            <v>200112</v>
          </cell>
          <cell r="H674" t="str">
            <v>200112</v>
          </cell>
          <cell r="I674">
            <v>2400</v>
          </cell>
          <cell r="J674">
            <v>2400</v>
          </cell>
          <cell r="K674">
            <v>2400</v>
          </cell>
          <cell r="L674">
            <v>2400</v>
          </cell>
          <cell r="M674">
            <v>2400</v>
          </cell>
          <cell r="N674">
            <v>95</v>
          </cell>
          <cell r="O674">
            <v>2280</v>
          </cell>
          <cell r="P674">
            <v>-5</v>
          </cell>
          <cell r="Q674" t="str">
            <v>信息中心</v>
          </cell>
        </row>
        <row r="675">
          <cell r="B675" t="str">
            <v>001-0019642</v>
          </cell>
          <cell r="C675" t="str">
            <v>LUCENT配线架</v>
          </cell>
          <cell r="D675" t="str">
            <v>PM2159B-48</v>
          </cell>
          <cell r="F675" t="str">
            <v>个</v>
          </cell>
          <cell r="G675" t="str">
            <v>200112</v>
          </cell>
          <cell r="H675" t="str">
            <v>200112</v>
          </cell>
          <cell r="I675">
            <v>2400</v>
          </cell>
          <cell r="J675">
            <v>2400</v>
          </cell>
          <cell r="K675">
            <v>2400</v>
          </cell>
          <cell r="L675">
            <v>2400</v>
          </cell>
          <cell r="M675">
            <v>2400</v>
          </cell>
          <cell r="N675">
            <v>95</v>
          </cell>
          <cell r="O675">
            <v>2280</v>
          </cell>
          <cell r="P675">
            <v>-5</v>
          </cell>
          <cell r="Q675" t="str">
            <v>信息中心</v>
          </cell>
        </row>
        <row r="676">
          <cell r="B676" t="str">
            <v>001-0019643</v>
          </cell>
          <cell r="C676" t="str">
            <v>LUCENT配线架</v>
          </cell>
          <cell r="D676" t="str">
            <v>PM2150B-24</v>
          </cell>
          <cell r="F676" t="str">
            <v>个</v>
          </cell>
          <cell r="G676" t="str">
            <v>200112</v>
          </cell>
          <cell r="H676" t="str">
            <v>200112</v>
          </cell>
          <cell r="I676">
            <v>1500</v>
          </cell>
          <cell r="J676">
            <v>1500</v>
          </cell>
          <cell r="K676">
            <v>1500</v>
          </cell>
          <cell r="L676">
            <v>1500</v>
          </cell>
          <cell r="M676">
            <v>1500</v>
          </cell>
          <cell r="N676">
            <v>95</v>
          </cell>
          <cell r="O676">
            <v>1425</v>
          </cell>
          <cell r="P676">
            <v>-5</v>
          </cell>
          <cell r="Q676" t="str">
            <v>信息中心</v>
          </cell>
        </row>
        <row r="677">
          <cell r="B677" t="str">
            <v>001-0019644</v>
          </cell>
          <cell r="C677" t="str">
            <v>LUCENT配线架</v>
          </cell>
          <cell r="D677" t="str">
            <v>PM2150B-24</v>
          </cell>
          <cell r="F677" t="str">
            <v>个</v>
          </cell>
          <cell r="G677" t="str">
            <v>200112</v>
          </cell>
          <cell r="H677" t="str">
            <v>200112</v>
          </cell>
          <cell r="I677">
            <v>1500</v>
          </cell>
          <cell r="J677">
            <v>1500</v>
          </cell>
          <cell r="K677">
            <v>1500</v>
          </cell>
          <cell r="L677">
            <v>1500</v>
          </cell>
          <cell r="M677">
            <v>1500</v>
          </cell>
          <cell r="N677">
            <v>95</v>
          </cell>
          <cell r="O677">
            <v>1425</v>
          </cell>
          <cell r="P677">
            <v>-5</v>
          </cell>
          <cell r="Q677" t="str">
            <v>信息中心</v>
          </cell>
        </row>
        <row r="678">
          <cell r="B678" t="str">
            <v>001-0019645</v>
          </cell>
          <cell r="C678" t="str">
            <v>LUCENT配线架</v>
          </cell>
          <cell r="D678" t="str">
            <v>PM2150B-24</v>
          </cell>
          <cell r="F678" t="str">
            <v>个</v>
          </cell>
          <cell r="G678" t="str">
            <v>200112</v>
          </cell>
          <cell r="H678" t="str">
            <v>200112</v>
          </cell>
          <cell r="I678">
            <v>1500</v>
          </cell>
          <cell r="J678">
            <v>1500</v>
          </cell>
          <cell r="K678">
            <v>1500</v>
          </cell>
          <cell r="L678">
            <v>1500</v>
          </cell>
          <cell r="M678">
            <v>1500</v>
          </cell>
          <cell r="N678">
            <v>95</v>
          </cell>
          <cell r="O678">
            <v>1425</v>
          </cell>
          <cell r="P678">
            <v>-5</v>
          </cell>
          <cell r="Q678" t="str">
            <v>信息中心</v>
          </cell>
        </row>
        <row r="679">
          <cell r="B679" t="str">
            <v>001-0019646</v>
          </cell>
          <cell r="C679" t="str">
            <v>LUCENT配线架</v>
          </cell>
          <cell r="D679" t="str">
            <v>PM2150B-24</v>
          </cell>
          <cell r="F679" t="str">
            <v>个</v>
          </cell>
          <cell r="G679" t="str">
            <v>200112</v>
          </cell>
          <cell r="H679" t="str">
            <v>200112</v>
          </cell>
          <cell r="I679">
            <v>1500</v>
          </cell>
          <cell r="J679">
            <v>1500</v>
          </cell>
          <cell r="K679">
            <v>1500</v>
          </cell>
          <cell r="L679">
            <v>1500</v>
          </cell>
          <cell r="M679">
            <v>1500</v>
          </cell>
          <cell r="N679">
            <v>95</v>
          </cell>
          <cell r="O679">
            <v>1425</v>
          </cell>
          <cell r="P679">
            <v>-5</v>
          </cell>
          <cell r="Q679" t="str">
            <v>信息中心</v>
          </cell>
        </row>
        <row r="680">
          <cell r="B680" t="str">
            <v>001-0019647</v>
          </cell>
          <cell r="C680" t="str">
            <v>其他材料及安装布线</v>
          </cell>
          <cell r="D680" t="str">
            <v/>
          </cell>
          <cell r="F680" t="str">
            <v/>
          </cell>
          <cell r="G680" t="str">
            <v>200112</v>
          </cell>
          <cell r="H680" t="str">
            <v>200112</v>
          </cell>
          <cell r="I680">
            <v>556780.84</v>
          </cell>
          <cell r="J680">
            <v>556780.84</v>
          </cell>
          <cell r="K680">
            <v>556780.84</v>
          </cell>
          <cell r="L680">
            <v>556780.84</v>
          </cell>
          <cell r="M680">
            <v>550000</v>
          </cell>
          <cell r="N680">
            <v>95</v>
          </cell>
          <cell r="O680">
            <v>522500</v>
          </cell>
          <cell r="P680">
            <v>-6.1569719245367658</v>
          </cell>
          <cell r="Q680" t="str">
            <v>信息中心</v>
          </cell>
        </row>
        <row r="681">
          <cell r="B681" t="str">
            <v>001-0019911</v>
          </cell>
          <cell r="C681" t="str">
            <v>交换机</v>
          </cell>
          <cell r="D681" t="str">
            <v/>
          </cell>
          <cell r="F681" t="str">
            <v>台</v>
          </cell>
          <cell r="G681" t="str">
            <v>200112</v>
          </cell>
          <cell r="H681" t="str">
            <v>200112</v>
          </cell>
          <cell r="I681">
            <v>127800</v>
          </cell>
          <cell r="J681">
            <v>125670</v>
          </cell>
          <cell r="K681">
            <v>127800</v>
          </cell>
          <cell r="L681">
            <v>125670</v>
          </cell>
          <cell r="M681">
            <v>128000</v>
          </cell>
          <cell r="N681">
            <v>95</v>
          </cell>
          <cell r="O681">
            <v>121600</v>
          </cell>
          <cell r="P681">
            <v>-3.2386408848571655</v>
          </cell>
          <cell r="Q681" t="str">
            <v>信息中心</v>
          </cell>
        </row>
        <row r="682">
          <cell r="B682" t="str">
            <v>001-0019912</v>
          </cell>
          <cell r="C682" t="str">
            <v>Moden池</v>
          </cell>
          <cell r="D682" t="str">
            <v/>
          </cell>
          <cell r="F682" t="str">
            <v>个</v>
          </cell>
          <cell r="G682" t="str">
            <v>200112</v>
          </cell>
          <cell r="H682" t="str">
            <v>200112</v>
          </cell>
          <cell r="I682">
            <v>17000</v>
          </cell>
          <cell r="J682">
            <v>16716.66</v>
          </cell>
          <cell r="K682">
            <v>17000</v>
          </cell>
          <cell r="L682">
            <v>16716.66</v>
          </cell>
          <cell r="M682">
            <v>17000</v>
          </cell>
          <cell r="N682">
            <v>95</v>
          </cell>
          <cell r="O682">
            <v>16150</v>
          </cell>
          <cell r="P682">
            <v>-3.3897919799768603</v>
          </cell>
          <cell r="Q682" t="str">
            <v>信息中心</v>
          </cell>
        </row>
        <row r="683">
          <cell r="B683" t="str">
            <v>001-0019913</v>
          </cell>
          <cell r="C683" t="str">
            <v>DTU  2603</v>
          </cell>
          <cell r="D683" t="str">
            <v/>
          </cell>
          <cell r="F683" t="str">
            <v>个</v>
          </cell>
          <cell r="G683" t="str">
            <v>200112</v>
          </cell>
          <cell r="H683" t="str">
            <v>200112</v>
          </cell>
          <cell r="I683">
            <v>7000</v>
          </cell>
          <cell r="J683">
            <v>6883.34</v>
          </cell>
          <cell r="K683">
            <v>7000</v>
          </cell>
          <cell r="L683">
            <v>6883.34</v>
          </cell>
          <cell r="M683">
            <v>7000</v>
          </cell>
          <cell r="N683">
            <v>95</v>
          </cell>
          <cell r="O683">
            <v>6650</v>
          </cell>
          <cell r="P683">
            <v>-3.3899240775553752</v>
          </cell>
          <cell r="Q683" t="str">
            <v>信息中心</v>
          </cell>
        </row>
        <row r="684">
          <cell r="B684" t="str">
            <v>001-0019914</v>
          </cell>
          <cell r="C684" t="str">
            <v>防火墙</v>
          </cell>
          <cell r="D684" t="str">
            <v>250IP  ADDRESSES</v>
          </cell>
          <cell r="F684" t="str">
            <v>套</v>
          </cell>
          <cell r="G684" t="str">
            <v>200112</v>
          </cell>
          <cell r="H684" t="str">
            <v>200112</v>
          </cell>
          <cell r="I684">
            <v>105820</v>
          </cell>
          <cell r="J684">
            <v>104056.34</v>
          </cell>
          <cell r="K684">
            <v>105820</v>
          </cell>
          <cell r="L684">
            <v>104056.34</v>
          </cell>
          <cell r="M684">
            <v>106000</v>
          </cell>
          <cell r="N684">
            <v>95</v>
          </cell>
          <cell r="O684">
            <v>100700</v>
          </cell>
          <cell r="P684">
            <v>-3.225502645970439</v>
          </cell>
          <cell r="Q684" t="str">
            <v>信息中心</v>
          </cell>
        </row>
        <row r="685">
          <cell r="B685" t="str">
            <v>001-0019915</v>
          </cell>
          <cell r="C685" t="str">
            <v>代理服务器</v>
          </cell>
          <cell r="D685" t="str">
            <v>HP  LC3</v>
          </cell>
          <cell r="F685" t="str">
            <v>台</v>
          </cell>
          <cell r="G685" t="str">
            <v>200112</v>
          </cell>
          <cell r="H685" t="str">
            <v>200112</v>
          </cell>
          <cell r="I685">
            <v>49800</v>
          </cell>
          <cell r="J685">
            <v>48970</v>
          </cell>
          <cell r="K685">
            <v>49800</v>
          </cell>
          <cell r="L685">
            <v>48970</v>
          </cell>
          <cell r="M685">
            <v>49000</v>
          </cell>
          <cell r="N685">
            <v>95</v>
          </cell>
          <cell r="O685">
            <v>46550</v>
          </cell>
          <cell r="P685">
            <v>-4.9418011027159485</v>
          </cell>
          <cell r="Q685" t="str">
            <v>信息中心</v>
          </cell>
        </row>
        <row r="686">
          <cell r="B686" t="str">
            <v>001-0019916</v>
          </cell>
          <cell r="C686" t="str">
            <v>企业内部WWW服务器</v>
          </cell>
          <cell r="D686" t="str">
            <v>HPLC3</v>
          </cell>
          <cell r="F686" t="str">
            <v>台</v>
          </cell>
          <cell r="G686" t="str">
            <v>200112</v>
          </cell>
          <cell r="H686" t="str">
            <v>200112</v>
          </cell>
          <cell r="I686">
            <v>62500</v>
          </cell>
          <cell r="J686">
            <v>61458.34</v>
          </cell>
          <cell r="K686">
            <v>62500</v>
          </cell>
          <cell r="L686">
            <v>61458.34</v>
          </cell>
          <cell r="M686">
            <v>65000</v>
          </cell>
          <cell r="N686">
            <v>95</v>
          </cell>
          <cell r="O686">
            <v>61750</v>
          </cell>
          <cell r="P686">
            <v>0.47456537225054157</v>
          </cell>
          <cell r="Q686" t="str">
            <v>信息中心</v>
          </cell>
        </row>
        <row r="687">
          <cell r="B687" t="str">
            <v>001-0019917</v>
          </cell>
          <cell r="C687" t="str">
            <v>企业外部WWW服务器</v>
          </cell>
          <cell r="D687" t="str">
            <v>HP  LC3</v>
          </cell>
          <cell r="F687" t="str">
            <v>台</v>
          </cell>
          <cell r="G687" t="str">
            <v>200112</v>
          </cell>
          <cell r="H687" t="str">
            <v>200112</v>
          </cell>
          <cell r="I687">
            <v>47800</v>
          </cell>
          <cell r="J687">
            <v>47003.34</v>
          </cell>
          <cell r="K687">
            <v>47800</v>
          </cell>
          <cell r="L687">
            <v>47003.34</v>
          </cell>
          <cell r="M687">
            <v>48000</v>
          </cell>
          <cell r="N687">
            <v>95</v>
          </cell>
          <cell r="O687">
            <v>45600</v>
          </cell>
          <cell r="P687">
            <v>-2.9856176178118332</v>
          </cell>
          <cell r="Q687" t="str">
            <v>信息中心</v>
          </cell>
        </row>
        <row r="688">
          <cell r="B688" t="str">
            <v>001-0019918</v>
          </cell>
          <cell r="C688" t="str">
            <v>自适应网卡</v>
          </cell>
          <cell r="D688" t="str">
            <v>INTEL   IOM/100M</v>
          </cell>
          <cell r="F688" t="str">
            <v>块</v>
          </cell>
          <cell r="G688" t="str">
            <v>200112</v>
          </cell>
          <cell r="H688" t="str">
            <v>200112</v>
          </cell>
          <cell r="I688">
            <v>800</v>
          </cell>
          <cell r="J688">
            <v>786.66</v>
          </cell>
          <cell r="K688">
            <v>800</v>
          </cell>
          <cell r="L688">
            <v>786.66</v>
          </cell>
          <cell r="M688">
            <v>800</v>
          </cell>
          <cell r="N688">
            <v>95</v>
          </cell>
          <cell r="O688">
            <v>760</v>
          </cell>
          <cell r="P688">
            <v>-3.3890117712861931</v>
          </cell>
          <cell r="Q688" t="str">
            <v>信息中心</v>
          </cell>
        </row>
        <row r="689">
          <cell r="B689" t="str">
            <v>001-0019919</v>
          </cell>
          <cell r="C689" t="str">
            <v>自适应网卡</v>
          </cell>
          <cell r="D689" t="str">
            <v>INTEL   IOM/100M</v>
          </cell>
          <cell r="F689" t="str">
            <v>块</v>
          </cell>
          <cell r="G689" t="str">
            <v>200112</v>
          </cell>
          <cell r="H689" t="str">
            <v>200112</v>
          </cell>
          <cell r="I689">
            <v>800</v>
          </cell>
          <cell r="J689">
            <v>786.66</v>
          </cell>
          <cell r="K689">
            <v>800</v>
          </cell>
          <cell r="L689">
            <v>786.66</v>
          </cell>
          <cell r="M689">
            <v>800</v>
          </cell>
          <cell r="N689">
            <v>95</v>
          </cell>
          <cell r="O689">
            <v>760</v>
          </cell>
          <cell r="P689">
            <v>-3.3890117712861931</v>
          </cell>
          <cell r="Q689" t="str">
            <v>信息中心</v>
          </cell>
        </row>
        <row r="690">
          <cell r="B690" t="str">
            <v>001-0019965</v>
          </cell>
          <cell r="C690" t="str">
            <v>防病毒软件</v>
          </cell>
          <cell r="D690" t="str">
            <v>MCAFEE</v>
          </cell>
          <cell r="F690" t="str">
            <v>套</v>
          </cell>
          <cell r="G690" t="str">
            <v>200112</v>
          </cell>
          <cell r="H690" t="str">
            <v>200112</v>
          </cell>
          <cell r="I690">
            <v>77980</v>
          </cell>
          <cell r="J690">
            <v>76680.34</v>
          </cell>
          <cell r="K690">
            <v>77980</v>
          </cell>
          <cell r="L690">
            <v>76680.34</v>
          </cell>
          <cell r="M690">
            <v>78000</v>
          </cell>
          <cell r="N690">
            <v>95</v>
          </cell>
          <cell r="O690">
            <v>74100</v>
          </cell>
          <cell r="P690">
            <v>-3.3650607183014531</v>
          </cell>
          <cell r="Q690" t="str">
            <v>信息中心</v>
          </cell>
        </row>
        <row r="691">
          <cell r="B691" t="str">
            <v>001-0020222</v>
          </cell>
          <cell r="C691" t="str">
            <v>集线器</v>
          </cell>
          <cell r="D691" t="str">
            <v/>
          </cell>
          <cell r="F691" t="str">
            <v>台</v>
          </cell>
          <cell r="G691" t="str">
            <v>200112</v>
          </cell>
          <cell r="H691" t="str">
            <v>200112</v>
          </cell>
          <cell r="I691">
            <v>23000</v>
          </cell>
          <cell r="J691">
            <v>23000</v>
          </cell>
          <cell r="K691">
            <v>23000</v>
          </cell>
          <cell r="L691">
            <v>23000</v>
          </cell>
          <cell r="M691">
            <v>23000</v>
          </cell>
          <cell r="N691">
            <v>95</v>
          </cell>
          <cell r="O691">
            <v>21850</v>
          </cell>
          <cell r="P691">
            <v>-5</v>
          </cell>
          <cell r="Q691" t="str">
            <v>信息中心</v>
          </cell>
        </row>
        <row r="692">
          <cell r="B692" t="str">
            <v>001-0020223</v>
          </cell>
          <cell r="C692" t="str">
            <v>长巨四芯多模光纤</v>
          </cell>
          <cell r="D692" t="str">
            <v/>
          </cell>
          <cell r="F692" t="str">
            <v>米</v>
          </cell>
          <cell r="G692" t="str">
            <v>200112</v>
          </cell>
          <cell r="H692" t="str">
            <v>200112</v>
          </cell>
          <cell r="I692">
            <v>11500</v>
          </cell>
          <cell r="J692">
            <v>11500</v>
          </cell>
          <cell r="K692">
            <v>11500</v>
          </cell>
          <cell r="L692">
            <v>11500</v>
          </cell>
          <cell r="M692">
            <v>11500</v>
          </cell>
          <cell r="N692">
            <v>95</v>
          </cell>
          <cell r="O692">
            <v>10925</v>
          </cell>
          <cell r="P692">
            <v>-5</v>
          </cell>
          <cell r="Q692" t="str">
            <v>信息中心</v>
          </cell>
        </row>
        <row r="693">
          <cell r="B693" t="str">
            <v>001-0020226</v>
          </cell>
          <cell r="C693" t="str">
            <v>软件开发费</v>
          </cell>
          <cell r="D693" t="str">
            <v/>
          </cell>
          <cell r="F693" t="str">
            <v>套</v>
          </cell>
          <cell r="G693" t="str">
            <v>200112</v>
          </cell>
          <cell r="H693" t="str">
            <v>200112</v>
          </cell>
          <cell r="I693">
            <v>35000</v>
          </cell>
          <cell r="J693">
            <v>35000</v>
          </cell>
          <cell r="K693">
            <v>35000</v>
          </cell>
          <cell r="L693">
            <v>35000</v>
          </cell>
          <cell r="M693">
            <v>35000</v>
          </cell>
          <cell r="N693">
            <v>95</v>
          </cell>
          <cell r="O693">
            <v>33250</v>
          </cell>
          <cell r="P693">
            <v>-5</v>
          </cell>
          <cell r="Q693" t="str">
            <v>信息中心</v>
          </cell>
        </row>
        <row r="694">
          <cell r="B694" t="str">
            <v>001-0020227</v>
          </cell>
          <cell r="C694" t="str">
            <v>耗材</v>
          </cell>
          <cell r="D694" t="str">
            <v/>
          </cell>
          <cell r="F694" t="str">
            <v>台</v>
          </cell>
          <cell r="G694" t="str">
            <v>200112</v>
          </cell>
          <cell r="H694" t="str">
            <v>200112</v>
          </cell>
          <cell r="I694">
            <v>18000</v>
          </cell>
          <cell r="J694">
            <v>18000</v>
          </cell>
          <cell r="K694">
            <v>18000</v>
          </cell>
          <cell r="L694">
            <v>18000</v>
          </cell>
          <cell r="M694">
            <v>18000</v>
          </cell>
          <cell r="N694">
            <v>95</v>
          </cell>
          <cell r="O694">
            <v>17100</v>
          </cell>
          <cell r="P694">
            <v>-5</v>
          </cell>
          <cell r="Q694" t="str">
            <v>信息中心</v>
          </cell>
        </row>
        <row r="695">
          <cell r="B695" t="str">
            <v>001-0020339</v>
          </cell>
          <cell r="C695" t="str">
            <v>服务器</v>
          </cell>
          <cell r="D695" t="str">
            <v>IBM*232  8668-21X</v>
          </cell>
          <cell r="F695" t="str">
            <v>台</v>
          </cell>
          <cell r="G695" t="str">
            <v>200112</v>
          </cell>
          <cell r="H695" t="str">
            <v>200112</v>
          </cell>
          <cell r="I695">
            <v>35000</v>
          </cell>
          <cell r="J695">
            <v>34416.660000000003</v>
          </cell>
          <cell r="K695">
            <v>35000</v>
          </cell>
          <cell r="L695">
            <v>34416.660000000003</v>
          </cell>
          <cell r="M695">
            <v>35000</v>
          </cell>
          <cell r="N695">
            <v>95</v>
          </cell>
          <cell r="O695">
            <v>33250</v>
          </cell>
          <cell r="P695">
            <v>-3.3898117946366768</v>
          </cell>
          <cell r="Q695" t="str">
            <v>信息中心</v>
          </cell>
        </row>
        <row r="696">
          <cell r="B696" t="str">
            <v>001-0020794</v>
          </cell>
          <cell r="C696" t="str">
            <v>磁带机</v>
          </cell>
          <cell r="D696" t="str">
            <v>HP DAT400</v>
          </cell>
          <cell r="F696" t="str">
            <v>台</v>
          </cell>
          <cell r="G696" t="str">
            <v>200110</v>
          </cell>
          <cell r="H696" t="str">
            <v>200110</v>
          </cell>
          <cell r="I696">
            <v>11300</v>
          </cell>
          <cell r="J696">
            <v>11300</v>
          </cell>
          <cell r="K696">
            <v>11300</v>
          </cell>
          <cell r="L696">
            <v>11300</v>
          </cell>
          <cell r="M696">
            <v>11300</v>
          </cell>
          <cell r="N696">
            <v>95</v>
          </cell>
          <cell r="O696">
            <v>10735</v>
          </cell>
          <cell r="P696">
            <v>-5</v>
          </cell>
          <cell r="Q696" t="str">
            <v>信息中心</v>
          </cell>
        </row>
        <row r="697">
          <cell r="B697" t="str">
            <v>001-0020795</v>
          </cell>
          <cell r="C697" t="str">
            <v>磁带机</v>
          </cell>
          <cell r="D697" t="str">
            <v>HP DAT400</v>
          </cell>
          <cell r="F697" t="str">
            <v>台</v>
          </cell>
          <cell r="G697" t="str">
            <v>200110</v>
          </cell>
          <cell r="H697" t="str">
            <v>200110</v>
          </cell>
          <cell r="I697">
            <v>11300</v>
          </cell>
          <cell r="J697">
            <v>11300</v>
          </cell>
          <cell r="K697">
            <v>11300</v>
          </cell>
          <cell r="L697">
            <v>11300</v>
          </cell>
          <cell r="M697">
            <v>11300</v>
          </cell>
          <cell r="N697">
            <v>95</v>
          </cell>
          <cell r="O697">
            <v>10735</v>
          </cell>
          <cell r="P697">
            <v>-5</v>
          </cell>
          <cell r="Q697" t="str">
            <v>信息中心</v>
          </cell>
        </row>
        <row r="698">
          <cell r="B698" t="str">
            <v>001-0019534</v>
          </cell>
          <cell r="C698" t="str">
            <v>追加原中心交换机价值</v>
          </cell>
          <cell r="D698" t="str">
            <v>RJ45</v>
          </cell>
          <cell r="F698" t="str">
            <v>块</v>
          </cell>
          <cell r="G698" t="str">
            <v>200112</v>
          </cell>
          <cell r="H698" t="str">
            <v>200112</v>
          </cell>
          <cell r="I698">
            <v>23700</v>
          </cell>
          <cell r="J698">
            <v>23700</v>
          </cell>
          <cell r="K698">
            <v>23700</v>
          </cell>
          <cell r="L698">
            <v>23700</v>
          </cell>
          <cell r="M698">
            <v>23000</v>
          </cell>
          <cell r="N698">
            <v>95</v>
          </cell>
          <cell r="O698">
            <v>21850</v>
          </cell>
          <cell r="P698">
            <v>-7.8059071729957807</v>
          </cell>
          <cell r="Q698" t="str">
            <v>信息中心</v>
          </cell>
        </row>
        <row r="699">
          <cell r="B699" t="str">
            <v>001-0019535</v>
          </cell>
          <cell r="C699" t="str">
            <v>追加原中心交换机价值</v>
          </cell>
          <cell r="D699" t="str">
            <v>RJ45</v>
          </cell>
          <cell r="F699" t="str">
            <v>块</v>
          </cell>
          <cell r="G699" t="str">
            <v>200112</v>
          </cell>
          <cell r="H699" t="str">
            <v>200112</v>
          </cell>
          <cell r="I699">
            <v>23700</v>
          </cell>
          <cell r="J699">
            <v>23700</v>
          </cell>
          <cell r="K699">
            <v>23700</v>
          </cell>
          <cell r="L699">
            <v>23700</v>
          </cell>
          <cell r="M699">
            <v>23000</v>
          </cell>
          <cell r="N699">
            <v>95</v>
          </cell>
          <cell r="O699">
            <v>21850</v>
          </cell>
          <cell r="P699">
            <v>-7.8059071729957807</v>
          </cell>
          <cell r="Q699" t="str">
            <v>信息中心</v>
          </cell>
        </row>
        <row r="700">
          <cell r="B700" t="str">
            <v>001-0010139</v>
          </cell>
          <cell r="C700" t="str">
            <v>打印机</v>
          </cell>
          <cell r="D700" t="str">
            <v>激光  HP6L</v>
          </cell>
          <cell r="E700" t="str">
            <v/>
          </cell>
          <cell r="F700" t="str">
            <v>台</v>
          </cell>
          <cell r="G700" t="str">
            <v>199909</v>
          </cell>
          <cell r="H700" t="str">
            <v>199909</v>
          </cell>
          <cell r="I700">
            <v>3150</v>
          </cell>
          <cell r="J700">
            <v>2165.63</v>
          </cell>
          <cell r="K700">
            <v>3150</v>
          </cell>
          <cell r="L700">
            <v>2165.63</v>
          </cell>
          <cell r="M700">
            <v>2800</v>
          </cell>
          <cell r="N700">
            <v>60</v>
          </cell>
          <cell r="O700">
            <v>1680</v>
          </cell>
          <cell r="P700">
            <v>-22.424421530917105</v>
          </cell>
          <cell r="Q700" t="str">
            <v>行政处</v>
          </cell>
        </row>
        <row r="701">
          <cell r="B701" t="str">
            <v>001-0010140</v>
          </cell>
          <cell r="C701" t="str">
            <v>打印机</v>
          </cell>
          <cell r="D701" t="str">
            <v>激光   HP5000</v>
          </cell>
          <cell r="E701" t="str">
            <v/>
          </cell>
          <cell r="F701" t="str">
            <v>台</v>
          </cell>
          <cell r="G701" t="str">
            <v>199909</v>
          </cell>
          <cell r="H701" t="str">
            <v>199909</v>
          </cell>
          <cell r="I701">
            <v>15200</v>
          </cell>
          <cell r="J701">
            <v>10450.01</v>
          </cell>
          <cell r="K701">
            <v>15200</v>
          </cell>
          <cell r="L701">
            <v>10450.01</v>
          </cell>
          <cell r="M701">
            <v>10000</v>
          </cell>
          <cell r="N701">
            <v>60</v>
          </cell>
          <cell r="O701">
            <v>6000</v>
          </cell>
          <cell r="P701">
            <v>-42.583787001160765</v>
          </cell>
          <cell r="Q701" t="str">
            <v>行政处</v>
          </cell>
        </row>
        <row r="702">
          <cell r="B702" t="str">
            <v>001-0010161</v>
          </cell>
          <cell r="C702" t="str">
            <v>计算机</v>
          </cell>
          <cell r="D702" t="str">
            <v>D8153</v>
          </cell>
          <cell r="E702" t="str">
            <v/>
          </cell>
          <cell r="F702" t="str">
            <v>台</v>
          </cell>
          <cell r="G702" t="str">
            <v>199909</v>
          </cell>
          <cell r="H702" t="str">
            <v>199909</v>
          </cell>
          <cell r="I702">
            <v>12700</v>
          </cell>
          <cell r="J702">
            <v>9525.01</v>
          </cell>
          <cell r="K702">
            <v>12700</v>
          </cell>
          <cell r="L702">
            <v>9525.01</v>
          </cell>
          <cell r="M702">
            <v>8000</v>
          </cell>
          <cell r="N702">
            <v>60</v>
          </cell>
          <cell r="O702">
            <v>4800</v>
          </cell>
          <cell r="P702">
            <v>-49.60635211931536</v>
          </cell>
          <cell r="Q702" t="str">
            <v>行政处</v>
          </cell>
        </row>
        <row r="703">
          <cell r="B703" t="str">
            <v>001-0010173</v>
          </cell>
          <cell r="C703" t="str">
            <v>计算机</v>
          </cell>
          <cell r="D703" t="str">
            <v>HPVE8</v>
          </cell>
          <cell r="F703" t="str">
            <v>台</v>
          </cell>
          <cell r="G703" t="str">
            <v>199909</v>
          </cell>
          <cell r="H703" t="str">
            <v>199909</v>
          </cell>
          <cell r="I703">
            <v>12700</v>
          </cell>
          <cell r="J703">
            <v>9525.01</v>
          </cell>
          <cell r="K703">
            <v>12700</v>
          </cell>
          <cell r="L703">
            <v>9525.01</v>
          </cell>
          <cell r="M703">
            <v>8000</v>
          </cell>
          <cell r="N703">
            <v>60</v>
          </cell>
          <cell r="O703">
            <v>4800</v>
          </cell>
          <cell r="P703">
            <v>-49.60635211931536</v>
          </cell>
          <cell r="Q703" t="str">
            <v>行政处</v>
          </cell>
        </row>
        <row r="704">
          <cell r="B704" t="str">
            <v>001-0010312</v>
          </cell>
          <cell r="C704" t="str">
            <v>复印机</v>
          </cell>
          <cell r="D704" t="str">
            <v>理光5627</v>
          </cell>
          <cell r="E704" t="str">
            <v/>
          </cell>
          <cell r="F704" t="str">
            <v>台</v>
          </cell>
          <cell r="G704" t="str">
            <v>199911</v>
          </cell>
          <cell r="H704" t="str">
            <v>199911</v>
          </cell>
          <cell r="I704">
            <v>26980</v>
          </cell>
          <cell r="J704">
            <v>19110.84</v>
          </cell>
          <cell r="K704">
            <v>26980</v>
          </cell>
          <cell r="L704">
            <v>19110.84</v>
          </cell>
          <cell r="M704">
            <v>22000</v>
          </cell>
          <cell r="N704">
            <v>60</v>
          </cell>
          <cell r="O704">
            <v>13200</v>
          </cell>
          <cell r="P704">
            <v>-30.929252717305989</v>
          </cell>
          <cell r="Q704" t="str">
            <v>行政处</v>
          </cell>
        </row>
        <row r="705">
          <cell r="B705" t="str">
            <v>001-0011084</v>
          </cell>
          <cell r="C705" t="str">
            <v>计算机</v>
          </cell>
          <cell r="D705" t="str">
            <v>HP D8174</v>
          </cell>
          <cell r="E705" t="str">
            <v/>
          </cell>
          <cell r="F705" t="str">
            <v>台</v>
          </cell>
          <cell r="G705" t="str">
            <v>199912</v>
          </cell>
          <cell r="H705" t="str">
            <v>199912</v>
          </cell>
          <cell r="I705">
            <v>10600</v>
          </cell>
          <cell r="J705">
            <v>8215.01</v>
          </cell>
          <cell r="K705">
            <v>10600</v>
          </cell>
          <cell r="L705">
            <v>8215.01</v>
          </cell>
          <cell r="M705">
            <v>6000</v>
          </cell>
          <cell r="N705">
            <v>60</v>
          </cell>
          <cell r="O705">
            <v>3600</v>
          </cell>
          <cell r="P705">
            <v>-56.177777020356643</v>
          </cell>
          <cell r="Q705" t="str">
            <v>行政处</v>
          </cell>
        </row>
        <row r="706">
          <cell r="B706" t="str">
            <v>001-0011085</v>
          </cell>
          <cell r="C706" t="str">
            <v>打印机</v>
          </cell>
          <cell r="D706" t="str">
            <v>HP508</v>
          </cell>
          <cell r="E706" t="str">
            <v/>
          </cell>
          <cell r="F706" t="str">
            <v>台</v>
          </cell>
          <cell r="G706" t="str">
            <v>199912</v>
          </cell>
          <cell r="H706" t="str">
            <v>199912</v>
          </cell>
          <cell r="I706">
            <v>15300</v>
          </cell>
          <cell r="J706">
            <v>11857.5</v>
          </cell>
          <cell r="K706">
            <v>15300</v>
          </cell>
          <cell r="L706">
            <v>11857.5</v>
          </cell>
          <cell r="M706">
            <v>10000</v>
          </cell>
          <cell r="N706">
            <v>60</v>
          </cell>
          <cell r="O706">
            <v>6000</v>
          </cell>
          <cell r="P706">
            <v>-49.399114484503478</v>
          </cell>
          <cell r="Q706" t="str">
            <v>行政处</v>
          </cell>
        </row>
        <row r="707">
          <cell r="B707" t="str">
            <v>001-0011141</v>
          </cell>
          <cell r="C707" t="str">
            <v>复印机</v>
          </cell>
          <cell r="D707" t="str">
            <v>理光5627</v>
          </cell>
          <cell r="E707" t="str">
            <v/>
          </cell>
          <cell r="F707" t="str">
            <v>台</v>
          </cell>
          <cell r="G707" t="str">
            <v>199912</v>
          </cell>
          <cell r="H707" t="str">
            <v>199912</v>
          </cell>
          <cell r="I707">
            <v>23070</v>
          </cell>
          <cell r="J707">
            <v>19363.79</v>
          </cell>
          <cell r="K707">
            <v>23070</v>
          </cell>
          <cell r="L707">
            <v>19363.79</v>
          </cell>
          <cell r="M707">
            <v>19000</v>
          </cell>
          <cell r="N707">
            <v>60</v>
          </cell>
          <cell r="O707">
            <v>11400</v>
          </cell>
          <cell r="P707">
            <v>-41.127227675986987</v>
          </cell>
          <cell r="Q707" t="str">
            <v>行政处</v>
          </cell>
        </row>
        <row r="708">
          <cell r="B708" t="str">
            <v>001-0011308</v>
          </cell>
          <cell r="C708" t="str">
            <v>复印机</v>
          </cell>
          <cell r="D708" t="str">
            <v>SF-2030</v>
          </cell>
          <cell r="E708" t="str">
            <v/>
          </cell>
          <cell r="F708" t="str">
            <v>台</v>
          </cell>
          <cell r="G708" t="str">
            <v>200002</v>
          </cell>
          <cell r="H708" t="str">
            <v>200002</v>
          </cell>
          <cell r="I708">
            <v>26500</v>
          </cell>
          <cell r="J708">
            <v>19598.96</v>
          </cell>
          <cell r="K708">
            <v>26500</v>
          </cell>
          <cell r="L708">
            <v>19598.96</v>
          </cell>
          <cell r="M708">
            <v>22000</v>
          </cell>
          <cell r="N708">
            <v>60</v>
          </cell>
          <cell r="O708">
            <v>13200</v>
          </cell>
          <cell r="P708">
            <v>-32.649487523827794</v>
          </cell>
          <cell r="Q708" t="str">
            <v>行政处</v>
          </cell>
        </row>
        <row r="709">
          <cell r="B709" t="str">
            <v>001-0011686</v>
          </cell>
          <cell r="C709" t="str">
            <v>大理石</v>
          </cell>
          <cell r="D709" t="str">
            <v/>
          </cell>
          <cell r="E709" t="str">
            <v/>
          </cell>
          <cell r="F709" t="str">
            <v/>
          </cell>
          <cell r="G709" t="str">
            <v>200012</v>
          </cell>
          <cell r="H709" t="str">
            <v>200012</v>
          </cell>
          <cell r="I709">
            <v>10336</v>
          </cell>
          <cell r="J709">
            <v>10022.049999999999</v>
          </cell>
          <cell r="K709">
            <v>10336</v>
          </cell>
          <cell r="L709">
            <v>10022.049999999999</v>
          </cell>
          <cell r="M709">
            <v>10000</v>
          </cell>
          <cell r="N709">
            <v>90</v>
          </cell>
          <cell r="O709">
            <v>9000</v>
          </cell>
          <cell r="P709">
            <v>-10.198013380496</v>
          </cell>
          <cell r="Q709" t="str">
            <v>行政处</v>
          </cell>
        </row>
        <row r="710">
          <cell r="B710" t="str">
            <v>001-0000674</v>
          </cell>
          <cell r="C710" t="str">
            <v>扩大器</v>
          </cell>
          <cell r="D710" t="str">
            <v>G1/2×275-2  550W</v>
          </cell>
          <cell r="E710" t="str">
            <v/>
          </cell>
          <cell r="F710" t="str">
            <v>套</v>
          </cell>
          <cell r="G710" t="str">
            <v>198311</v>
          </cell>
          <cell r="H710" t="str">
            <v>198311</v>
          </cell>
          <cell r="I710">
            <v>5346.33</v>
          </cell>
          <cell r="J710">
            <v>886.6</v>
          </cell>
          <cell r="K710">
            <v>5346.33</v>
          </cell>
          <cell r="L710">
            <v>886.6</v>
          </cell>
          <cell r="M710">
            <v>0</v>
          </cell>
          <cell r="O710">
            <v>0</v>
          </cell>
          <cell r="Q710" t="str">
            <v>报废</v>
          </cell>
        </row>
        <row r="711">
          <cell r="B711" t="str">
            <v>001-0001578</v>
          </cell>
          <cell r="C711" t="str">
            <v>变焦镜头</v>
          </cell>
          <cell r="D711" t="str">
            <v/>
          </cell>
          <cell r="E711" t="str">
            <v/>
          </cell>
          <cell r="F711" t="str">
            <v>部</v>
          </cell>
          <cell r="G711" t="str">
            <v>198612</v>
          </cell>
          <cell r="H711" t="str">
            <v>198612</v>
          </cell>
          <cell r="I711">
            <v>2090.1999999999998</v>
          </cell>
          <cell r="J711">
            <v>0</v>
          </cell>
          <cell r="K711">
            <v>2090.1999999999998</v>
          </cell>
          <cell r="L711">
            <v>0</v>
          </cell>
          <cell r="M711">
            <v>0</v>
          </cell>
          <cell r="O711">
            <v>0</v>
          </cell>
          <cell r="Q711" t="str">
            <v>报废</v>
          </cell>
        </row>
        <row r="712">
          <cell r="B712" t="str">
            <v>001-0002205</v>
          </cell>
          <cell r="C712" t="str">
            <v>佳能相机A-1机身</v>
          </cell>
          <cell r="D712" t="str">
            <v>135单反</v>
          </cell>
          <cell r="E712" t="str">
            <v/>
          </cell>
          <cell r="F712" t="str">
            <v>台</v>
          </cell>
          <cell r="G712" t="str">
            <v>198712</v>
          </cell>
          <cell r="H712" t="str">
            <v>198712</v>
          </cell>
          <cell r="I712">
            <v>3554.74</v>
          </cell>
          <cell r="J712">
            <v>1249.93</v>
          </cell>
          <cell r="K712">
            <v>3554.74</v>
          </cell>
          <cell r="L712">
            <v>1249.93</v>
          </cell>
          <cell r="M712">
            <v>2800</v>
          </cell>
          <cell r="N712">
            <v>15</v>
          </cell>
          <cell r="O712">
            <v>420</v>
          </cell>
          <cell r="P712">
            <v>-66.398118294624496</v>
          </cell>
          <cell r="Q712" t="str">
            <v>宣传部</v>
          </cell>
        </row>
        <row r="713">
          <cell r="B713" t="str">
            <v>001-0003470</v>
          </cell>
          <cell r="C713" t="str">
            <v>彩色电视机</v>
          </cell>
          <cell r="D713" t="str">
            <v>22寸</v>
          </cell>
          <cell r="E713" t="str">
            <v/>
          </cell>
          <cell r="F713" t="str">
            <v>台</v>
          </cell>
          <cell r="G713" t="str">
            <v>199012</v>
          </cell>
          <cell r="H713" t="str">
            <v>199012</v>
          </cell>
          <cell r="I713">
            <v>5758.68</v>
          </cell>
          <cell r="J713">
            <v>0</v>
          </cell>
          <cell r="K713">
            <v>5758.68</v>
          </cell>
          <cell r="L713">
            <v>0</v>
          </cell>
          <cell r="M713">
            <v>0</v>
          </cell>
          <cell r="O713">
            <v>0</v>
          </cell>
          <cell r="Q713" t="str">
            <v>报废</v>
          </cell>
        </row>
        <row r="714">
          <cell r="B714" t="str">
            <v>001-0008684</v>
          </cell>
          <cell r="C714" t="str">
            <v>功放机</v>
          </cell>
          <cell r="D714" t="str">
            <v>美国皇冠</v>
          </cell>
          <cell r="E714" t="str">
            <v/>
          </cell>
          <cell r="F714" t="str">
            <v>台</v>
          </cell>
          <cell r="G714" t="str">
            <v>199705</v>
          </cell>
          <cell r="H714" t="str">
            <v>199705</v>
          </cell>
          <cell r="I714">
            <v>5000</v>
          </cell>
          <cell r="J714">
            <v>3436.67</v>
          </cell>
          <cell r="K714">
            <v>5000</v>
          </cell>
          <cell r="L714">
            <v>3436.67</v>
          </cell>
          <cell r="M714">
            <v>3200</v>
          </cell>
          <cell r="N714">
            <v>20</v>
          </cell>
          <cell r="O714">
            <v>640</v>
          </cell>
          <cell r="P714">
            <v>-81.37732165148239</v>
          </cell>
          <cell r="Q714" t="str">
            <v>宣传部</v>
          </cell>
        </row>
        <row r="715">
          <cell r="B715" t="str">
            <v>001-0008686</v>
          </cell>
          <cell r="C715" t="str">
            <v>调音台</v>
          </cell>
          <cell r="D715" t="str">
            <v>美国声艺2.2</v>
          </cell>
          <cell r="E715" t="str">
            <v/>
          </cell>
          <cell r="F715" t="str">
            <v>台</v>
          </cell>
          <cell r="G715" t="str">
            <v>199705</v>
          </cell>
          <cell r="H715" t="str">
            <v>199705</v>
          </cell>
          <cell r="I715">
            <v>9000</v>
          </cell>
          <cell r="J715">
            <v>6185.99</v>
          </cell>
          <cell r="K715">
            <v>9000</v>
          </cell>
          <cell r="L715">
            <v>6185.99</v>
          </cell>
          <cell r="M715">
            <v>8000</v>
          </cell>
          <cell r="N715">
            <v>20</v>
          </cell>
          <cell r="O715">
            <v>1600</v>
          </cell>
          <cell r="P715">
            <v>-74.135102061270715</v>
          </cell>
          <cell r="Q715" t="str">
            <v>宣传部</v>
          </cell>
        </row>
        <row r="716">
          <cell r="B716" t="str">
            <v>001-0018937</v>
          </cell>
          <cell r="C716" t="str">
            <v>照相机</v>
          </cell>
          <cell r="D716" t="str">
            <v/>
          </cell>
          <cell r="E716" t="str">
            <v/>
          </cell>
          <cell r="F716" t="str">
            <v>台</v>
          </cell>
          <cell r="G716" t="str">
            <v>200111</v>
          </cell>
          <cell r="H716" t="str">
            <v>200111</v>
          </cell>
          <cell r="I716">
            <v>75</v>
          </cell>
          <cell r="J716">
            <v>75</v>
          </cell>
          <cell r="K716">
            <v>75</v>
          </cell>
          <cell r="L716">
            <v>75</v>
          </cell>
          <cell r="M716">
            <v>75</v>
          </cell>
          <cell r="N716">
            <v>90</v>
          </cell>
          <cell r="O716">
            <v>67.5</v>
          </cell>
          <cell r="P716">
            <v>-10</v>
          </cell>
          <cell r="Q716" t="str">
            <v>宣传部</v>
          </cell>
        </row>
        <row r="717">
          <cell r="B717" t="str">
            <v>001-0019028</v>
          </cell>
          <cell r="C717" t="str">
            <v>空调</v>
          </cell>
          <cell r="D717" t="str">
            <v/>
          </cell>
          <cell r="E717" t="str">
            <v/>
          </cell>
          <cell r="F717" t="str">
            <v>台</v>
          </cell>
          <cell r="G717" t="str">
            <v>200111</v>
          </cell>
          <cell r="H717" t="str">
            <v>200111</v>
          </cell>
          <cell r="I717">
            <v>600</v>
          </cell>
          <cell r="J717">
            <v>600</v>
          </cell>
          <cell r="K717">
            <v>600</v>
          </cell>
          <cell r="L717">
            <v>600</v>
          </cell>
          <cell r="M717">
            <v>600</v>
          </cell>
          <cell r="N717">
            <v>90</v>
          </cell>
          <cell r="O717">
            <v>540</v>
          </cell>
          <cell r="P717">
            <v>-10</v>
          </cell>
          <cell r="Q717" t="str">
            <v>宣传部</v>
          </cell>
        </row>
        <row r="718">
          <cell r="B718" t="str">
            <v>001-0019248</v>
          </cell>
          <cell r="C718" t="str">
            <v>计算机</v>
          </cell>
          <cell r="D718" t="str">
            <v>DELL</v>
          </cell>
          <cell r="E718" t="str">
            <v/>
          </cell>
          <cell r="F718" t="str">
            <v>台</v>
          </cell>
          <cell r="G718" t="str">
            <v>200111</v>
          </cell>
          <cell r="H718" t="str">
            <v>200111</v>
          </cell>
          <cell r="I718">
            <v>11337</v>
          </cell>
          <cell r="J718">
            <v>11053.56</v>
          </cell>
          <cell r="K718">
            <v>11337</v>
          </cell>
          <cell r="L718">
            <v>11053.56</v>
          </cell>
          <cell r="M718">
            <v>10000</v>
          </cell>
          <cell r="N718">
            <v>95</v>
          </cell>
          <cell r="O718">
            <v>9500</v>
          </cell>
          <cell r="P718">
            <v>-14.054838441189984</v>
          </cell>
          <cell r="Q718" t="str">
            <v>宣传部</v>
          </cell>
        </row>
        <row r="719">
          <cell r="B719" t="str">
            <v>001-0019273</v>
          </cell>
          <cell r="C719" t="str">
            <v>计算机</v>
          </cell>
          <cell r="D719" t="str">
            <v>DELL</v>
          </cell>
          <cell r="E719" t="str">
            <v/>
          </cell>
          <cell r="F719" t="str">
            <v>台</v>
          </cell>
          <cell r="G719" t="str">
            <v>200111</v>
          </cell>
          <cell r="H719" t="str">
            <v>200111</v>
          </cell>
          <cell r="I719">
            <v>11337</v>
          </cell>
          <cell r="J719">
            <v>11053.56</v>
          </cell>
          <cell r="K719">
            <v>11337</v>
          </cell>
          <cell r="L719">
            <v>11053.56</v>
          </cell>
          <cell r="M719">
            <v>10000</v>
          </cell>
          <cell r="N719">
            <v>95</v>
          </cell>
          <cell r="O719">
            <v>9500</v>
          </cell>
          <cell r="P719">
            <v>-14.054838441189984</v>
          </cell>
          <cell r="Q719" t="str">
            <v>宣传部</v>
          </cell>
        </row>
        <row r="720">
          <cell r="B720" t="str">
            <v>001-0008351</v>
          </cell>
          <cell r="C720" t="str">
            <v>供水管</v>
          </cell>
          <cell r="D720" t="str">
            <v>廊道主供水管</v>
          </cell>
          <cell r="F720" t="str">
            <v>米</v>
          </cell>
          <cell r="G720" t="str">
            <v>199611</v>
          </cell>
          <cell r="H720" t="str">
            <v>199611</v>
          </cell>
          <cell r="I720">
            <v>986842.24</v>
          </cell>
          <cell r="J720">
            <v>598766.52</v>
          </cell>
          <cell r="K720">
            <v>986842.24</v>
          </cell>
          <cell r="L720">
            <v>598766.52</v>
          </cell>
          <cell r="M720">
            <v>1080000</v>
          </cell>
          <cell r="N720">
            <v>80</v>
          </cell>
          <cell r="O720">
            <v>864000</v>
          </cell>
          <cell r="P720">
            <v>44.296645042879149</v>
          </cell>
          <cell r="Q720" t="str">
            <v>总工办</v>
          </cell>
        </row>
        <row r="721">
          <cell r="B721" t="str">
            <v>001-0008762</v>
          </cell>
          <cell r="C721" t="str">
            <v>计算机</v>
          </cell>
          <cell r="D721" t="str">
            <v>HP5/166</v>
          </cell>
          <cell r="F721" t="str">
            <v>台</v>
          </cell>
          <cell r="G721" t="str">
            <v>199708</v>
          </cell>
          <cell r="H721" t="str">
            <v>199708</v>
          </cell>
          <cell r="I721">
            <v>15000</v>
          </cell>
          <cell r="J721">
            <v>8125</v>
          </cell>
          <cell r="K721">
            <v>15000</v>
          </cell>
          <cell r="L721">
            <v>8125</v>
          </cell>
          <cell r="M721">
            <v>4000</v>
          </cell>
          <cell r="N721">
            <v>15</v>
          </cell>
          <cell r="O721">
            <v>600</v>
          </cell>
          <cell r="P721">
            <v>-92.615384615384613</v>
          </cell>
          <cell r="Q721" t="str">
            <v>总工办</v>
          </cell>
        </row>
        <row r="722">
          <cell r="B722" t="str">
            <v>001-0009024</v>
          </cell>
          <cell r="C722" t="str">
            <v>传真机</v>
          </cell>
          <cell r="D722" t="str">
            <v>佳能L800</v>
          </cell>
          <cell r="F722" t="str">
            <v>台</v>
          </cell>
          <cell r="G722" t="str">
            <v>199805</v>
          </cell>
          <cell r="H722" t="str">
            <v>199805</v>
          </cell>
          <cell r="I722">
            <v>19700</v>
          </cell>
          <cell r="J722">
            <v>14308.09</v>
          </cell>
          <cell r="K722">
            <v>19700</v>
          </cell>
          <cell r="L722">
            <v>14308.09</v>
          </cell>
          <cell r="M722">
            <v>12000</v>
          </cell>
          <cell r="N722">
            <v>50</v>
          </cell>
          <cell r="O722">
            <v>6000</v>
          </cell>
          <cell r="P722">
            <v>-58.065681722717713</v>
          </cell>
          <cell r="Q722" t="str">
            <v>总工办</v>
          </cell>
        </row>
        <row r="723">
          <cell r="B723" t="str">
            <v>001-0009027</v>
          </cell>
          <cell r="C723" t="str">
            <v>空调</v>
          </cell>
          <cell r="D723" t="str">
            <v>春兰KFR-70LW/D</v>
          </cell>
          <cell r="F723" t="str">
            <v>台</v>
          </cell>
          <cell r="G723" t="str">
            <v>199805</v>
          </cell>
          <cell r="H723" t="str">
            <v>199805</v>
          </cell>
          <cell r="I723">
            <v>8988</v>
          </cell>
          <cell r="J723">
            <v>6527.98</v>
          </cell>
          <cell r="K723">
            <v>8988</v>
          </cell>
          <cell r="L723">
            <v>6527.98</v>
          </cell>
          <cell r="M723">
            <v>6500</v>
          </cell>
          <cell r="N723">
            <v>50</v>
          </cell>
          <cell r="O723">
            <v>3250</v>
          </cell>
          <cell r="P723">
            <v>-50.214308254620875</v>
          </cell>
          <cell r="Q723" t="str">
            <v>总工办</v>
          </cell>
        </row>
        <row r="724">
          <cell r="B724" t="str">
            <v>001-0009028</v>
          </cell>
          <cell r="C724" t="str">
            <v>空调</v>
          </cell>
          <cell r="D724" t="str">
            <v>春兰KFR-35GW/D</v>
          </cell>
          <cell r="F724" t="str">
            <v>台</v>
          </cell>
          <cell r="G724" t="str">
            <v>199805</v>
          </cell>
          <cell r="H724" t="str">
            <v>199805</v>
          </cell>
          <cell r="I724">
            <v>5000</v>
          </cell>
          <cell r="J724">
            <v>3631.5</v>
          </cell>
          <cell r="K724">
            <v>5000</v>
          </cell>
          <cell r="L724">
            <v>3631.5</v>
          </cell>
          <cell r="M724">
            <v>3000</v>
          </cell>
          <cell r="N724">
            <v>35</v>
          </cell>
          <cell r="O724">
            <v>1050</v>
          </cell>
          <cell r="P724">
            <v>-71.086327963651385</v>
          </cell>
          <cell r="Q724" t="str">
            <v>总工办</v>
          </cell>
        </row>
        <row r="725">
          <cell r="B725" t="str">
            <v>001-0009069</v>
          </cell>
          <cell r="C725" t="str">
            <v>复印机</v>
          </cell>
          <cell r="D725" t="str">
            <v>理光4495</v>
          </cell>
          <cell r="F725" t="str">
            <v>台</v>
          </cell>
          <cell r="G725" t="str">
            <v>199807</v>
          </cell>
          <cell r="H725" t="str">
            <v>199807</v>
          </cell>
          <cell r="I725">
            <v>23000</v>
          </cell>
          <cell r="J725">
            <v>12458.34</v>
          </cell>
          <cell r="K725">
            <v>23000</v>
          </cell>
          <cell r="L725">
            <v>12458.34</v>
          </cell>
          <cell r="M725">
            <v>18000</v>
          </cell>
          <cell r="N725">
            <v>40</v>
          </cell>
          <cell r="O725">
            <v>7200</v>
          </cell>
          <cell r="P725">
            <v>-42.207388785343795</v>
          </cell>
          <cell r="Q725" t="str">
            <v>总工办</v>
          </cell>
        </row>
        <row r="726">
          <cell r="B726" t="str">
            <v>001-0009075</v>
          </cell>
          <cell r="C726" t="str">
            <v>计算机</v>
          </cell>
          <cell r="D726" t="str">
            <v>HPVET/266</v>
          </cell>
          <cell r="F726" t="str">
            <v>台</v>
          </cell>
          <cell r="G726" t="str">
            <v>199809</v>
          </cell>
          <cell r="H726" t="str">
            <v>199809</v>
          </cell>
          <cell r="I726">
            <v>50400</v>
          </cell>
          <cell r="J726">
            <v>32760</v>
          </cell>
          <cell r="K726">
            <v>50400</v>
          </cell>
          <cell r="L726">
            <v>32760</v>
          </cell>
          <cell r="M726">
            <v>24000</v>
          </cell>
          <cell r="N726">
            <v>25</v>
          </cell>
          <cell r="O726">
            <v>6000</v>
          </cell>
          <cell r="P726">
            <v>-81.684981684981679</v>
          </cell>
          <cell r="Q726" t="str">
            <v>总工办</v>
          </cell>
        </row>
        <row r="727">
          <cell r="B727" t="str">
            <v>001-0009080</v>
          </cell>
          <cell r="C727" t="str">
            <v>计算机</v>
          </cell>
          <cell r="D727" t="str">
            <v>HPVET/266</v>
          </cell>
          <cell r="F727" t="str">
            <v>套</v>
          </cell>
          <cell r="G727" t="str">
            <v>199809</v>
          </cell>
          <cell r="H727" t="str">
            <v>199809</v>
          </cell>
          <cell r="I727">
            <v>12600</v>
          </cell>
          <cell r="J727">
            <v>8190</v>
          </cell>
          <cell r="K727">
            <v>12600</v>
          </cell>
          <cell r="L727">
            <v>8190</v>
          </cell>
          <cell r="M727">
            <v>6000</v>
          </cell>
          <cell r="N727">
            <v>25</v>
          </cell>
          <cell r="O727">
            <v>1500</v>
          </cell>
          <cell r="P727">
            <v>-81.684981684981679</v>
          </cell>
          <cell r="Q727" t="str">
            <v>总工办</v>
          </cell>
        </row>
        <row r="728">
          <cell r="B728" t="str">
            <v>001-0010141</v>
          </cell>
          <cell r="C728" t="str">
            <v>打印机</v>
          </cell>
          <cell r="D728" t="str">
            <v>HP5000</v>
          </cell>
          <cell r="F728" t="str">
            <v>台</v>
          </cell>
          <cell r="G728" t="str">
            <v>199909</v>
          </cell>
          <cell r="H728" t="str">
            <v>199909</v>
          </cell>
          <cell r="I728">
            <v>15200</v>
          </cell>
          <cell r="J728">
            <v>10450.01</v>
          </cell>
          <cell r="K728">
            <v>15200</v>
          </cell>
          <cell r="L728">
            <v>10450.01</v>
          </cell>
          <cell r="M728">
            <v>12500</v>
          </cell>
          <cell r="N728">
            <v>60</v>
          </cell>
          <cell r="O728">
            <v>7500</v>
          </cell>
          <cell r="P728">
            <v>-28.229733751450958</v>
          </cell>
          <cell r="Q728" t="str">
            <v>总工办</v>
          </cell>
        </row>
        <row r="729">
          <cell r="B729" t="str">
            <v>001-0010164</v>
          </cell>
          <cell r="C729" t="str">
            <v>计算机</v>
          </cell>
          <cell r="D729" t="str">
            <v>联想</v>
          </cell>
          <cell r="F729" t="str">
            <v>台</v>
          </cell>
          <cell r="G729" t="str">
            <v>199909</v>
          </cell>
          <cell r="H729" t="str">
            <v>199909</v>
          </cell>
          <cell r="I729">
            <v>6200</v>
          </cell>
          <cell r="J729">
            <v>4649.99</v>
          </cell>
          <cell r="K729">
            <v>6200</v>
          </cell>
          <cell r="L729">
            <v>4649.99</v>
          </cell>
          <cell r="M729">
            <v>4000</v>
          </cell>
          <cell r="N729">
            <v>50</v>
          </cell>
          <cell r="O729">
            <v>2000</v>
          </cell>
          <cell r="P729">
            <v>-56.989154815386698</v>
          </cell>
          <cell r="Q729" t="str">
            <v>总工办</v>
          </cell>
        </row>
        <row r="730">
          <cell r="B730" t="str">
            <v>001-0010165</v>
          </cell>
          <cell r="C730" t="str">
            <v>计算机</v>
          </cell>
          <cell r="D730" t="str">
            <v>联想</v>
          </cell>
          <cell r="F730" t="str">
            <v>台</v>
          </cell>
          <cell r="G730" t="str">
            <v>199909</v>
          </cell>
          <cell r="H730" t="str">
            <v>199909</v>
          </cell>
          <cell r="I730">
            <v>6200</v>
          </cell>
          <cell r="J730">
            <v>4649.99</v>
          </cell>
          <cell r="K730">
            <v>6200</v>
          </cell>
          <cell r="L730">
            <v>4649.99</v>
          </cell>
          <cell r="M730">
            <v>4000</v>
          </cell>
          <cell r="N730">
            <v>50</v>
          </cell>
          <cell r="O730">
            <v>2000</v>
          </cell>
          <cell r="P730">
            <v>-56.989154815386698</v>
          </cell>
          <cell r="Q730" t="str">
            <v>总工办</v>
          </cell>
        </row>
        <row r="731">
          <cell r="B731" t="str">
            <v>001-0010166</v>
          </cell>
          <cell r="C731" t="str">
            <v>计算机</v>
          </cell>
          <cell r="D731" t="str">
            <v>联想</v>
          </cell>
          <cell r="F731" t="str">
            <v>台</v>
          </cell>
          <cell r="G731" t="str">
            <v>199909</v>
          </cell>
          <cell r="H731" t="str">
            <v>199909</v>
          </cell>
          <cell r="I731">
            <v>6200</v>
          </cell>
          <cell r="J731">
            <v>4649.99</v>
          </cell>
          <cell r="K731">
            <v>6200</v>
          </cell>
          <cell r="L731">
            <v>4649.99</v>
          </cell>
          <cell r="M731">
            <v>4000</v>
          </cell>
          <cell r="N731">
            <v>50</v>
          </cell>
          <cell r="O731">
            <v>2000</v>
          </cell>
          <cell r="P731">
            <v>-56.989154815386698</v>
          </cell>
          <cell r="Q731" t="str">
            <v>总工办</v>
          </cell>
        </row>
        <row r="732">
          <cell r="B732" t="str">
            <v>001-0010167</v>
          </cell>
          <cell r="C732" t="str">
            <v>计算机</v>
          </cell>
          <cell r="D732" t="str">
            <v>联想</v>
          </cell>
          <cell r="F732" t="str">
            <v>台</v>
          </cell>
          <cell r="G732" t="str">
            <v>199909</v>
          </cell>
          <cell r="H732" t="str">
            <v>199909</v>
          </cell>
          <cell r="I732">
            <v>6200</v>
          </cell>
          <cell r="J732">
            <v>4649.99</v>
          </cell>
          <cell r="K732">
            <v>6200</v>
          </cell>
          <cell r="L732">
            <v>4649.99</v>
          </cell>
          <cell r="M732">
            <v>4000</v>
          </cell>
          <cell r="N732">
            <v>50</v>
          </cell>
          <cell r="O732">
            <v>2000</v>
          </cell>
          <cell r="P732">
            <v>-56.989154815386698</v>
          </cell>
          <cell r="Q732" t="str">
            <v>总工办</v>
          </cell>
        </row>
        <row r="733">
          <cell r="B733" t="str">
            <v>001-0010168</v>
          </cell>
          <cell r="C733" t="str">
            <v>计算机</v>
          </cell>
          <cell r="D733" t="str">
            <v>联想</v>
          </cell>
          <cell r="F733" t="str">
            <v>台</v>
          </cell>
          <cell r="G733" t="str">
            <v>199909</v>
          </cell>
          <cell r="H733" t="str">
            <v>199909</v>
          </cell>
          <cell r="I733">
            <v>6200</v>
          </cell>
          <cell r="J733">
            <v>4649.99</v>
          </cell>
          <cell r="K733">
            <v>6200</v>
          </cell>
          <cell r="L733">
            <v>4649.99</v>
          </cell>
          <cell r="M733">
            <v>4000</v>
          </cell>
          <cell r="N733">
            <v>50</v>
          </cell>
          <cell r="O733">
            <v>2000</v>
          </cell>
          <cell r="P733">
            <v>-56.989154815386698</v>
          </cell>
          <cell r="Q733" t="str">
            <v>总工办</v>
          </cell>
        </row>
        <row r="734">
          <cell r="B734" t="str">
            <v>001-0010169</v>
          </cell>
          <cell r="C734" t="str">
            <v>计算机</v>
          </cell>
          <cell r="D734" t="str">
            <v>联想</v>
          </cell>
          <cell r="F734" t="str">
            <v>台</v>
          </cell>
          <cell r="G734" t="str">
            <v>199909</v>
          </cell>
          <cell r="H734" t="str">
            <v>199909</v>
          </cell>
          <cell r="I734">
            <v>6200</v>
          </cell>
          <cell r="J734">
            <v>4649.99</v>
          </cell>
          <cell r="K734">
            <v>6200</v>
          </cell>
          <cell r="L734">
            <v>4649.99</v>
          </cell>
          <cell r="M734">
            <v>4000</v>
          </cell>
          <cell r="N734">
            <v>50</v>
          </cell>
          <cell r="O734">
            <v>2000</v>
          </cell>
          <cell r="P734">
            <v>-56.989154815386698</v>
          </cell>
          <cell r="Q734" t="str">
            <v>总工办</v>
          </cell>
        </row>
        <row r="735">
          <cell r="B735" t="str">
            <v>001-0010236</v>
          </cell>
          <cell r="C735" t="str">
            <v>计算机</v>
          </cell>
          <cell r="D735" t="str">
            <v>HPVEI8</v>
          </cell>
          <cell r="F735" t="str">
            <v>台</v>
          </cell>
          <cell r="G735" t="str">
            <v>199910</v>
          </cell>
          <cell r="H735" t="str">
            <v>199910</v>
          </cell>
          <cell r="I735">
            <v>11900</v>
          </cell>
          <cell r="J735">
            <v>9024.16</v>
          </cell>
          <cell r="K735">
            <v>11900</v>
          </cell>
          <cell r="L735">
            <v>9024.16</v>
          </cell>
          <cell r="M735">
            <v>8000</v>
          </cell>
          <cell r="N735">
            <v>50</v>
          </cell>
          <cell r="O735">
            <v>4000</v>
          </cell>
          <cell r="P735">
            <v>-55.674544777574866</v>
          </cell>
          <cell r="Q735" t="str">
            <v>总工办</v>
          </cell>
        </row>
        <row r="736">
          <cell r="B736" t="str">
            <v>001-0010502</v>
          </cell>
          <cell r="C736" t="str">
            <v>计算机</v>
          </cell>
          <cell r="D736" t="str">
            <v>DECPC MTE466EISA</v>
          </cell>
          <cell r="F736" t="str">
            <v>台</v>
          </cell>
          <cell r="G736" t="str">
            <v>199912</v>
          </cell>
          <cell r="H736" t="str">
            <v>199912</v>
          </cell>
          <cell r="I736">
            <v>34500</v>
          </cell>
          <cell r="J736">
            <v>26737.5</v>
          </cell>
          <cell r="K736">
            <v>34500</v>
          </cell>
          <cell r="L736">
            <v>26737.5</v>
          </cell>
          <cell r="M736">
            <v>14000</v>
          </cell>
          <cell r="N736">
            <v>50</v>
          </cell>
          <cell r="O736">
            <v>7000</v>
          </cell>
          <cell r="P736">
            <v>-73.819541841982243</v>
          </cell>
          <cell r="Q736" t="str">
            <v>总工办</v>
          </cell>
        </row>
        <row r="737">
          <cell r="B737" t="str">
            <v>001-0010503</v>
          </cell>
          <cell r="C737" t="str">
            <v>计算机</v>
          </cell>
          <cell r="D737" t="str">
            <v>DECPC MTE466EISA</v>
          </cell>
          <cell r="F737" t="str">
            <v>台</v>
          </cell>
          <cell r="G737" t="str">
            <v>199912</v>
          </cell>
          <cell r="H737" t="str">
            <v>199912</v>
          </cell>
          <cell r="I737">
            <v>34500</v>
          </cell>
          <cell r="J737">
            <v>26737.5</v>
          </cell>
          <cell r="K737">
            <v>34500</v>
          </cell>
          <cell r="L737">
            <v>26737.5</v>
          </cell>
          <cell r="M737">
            <v>14000</v>
          </cell>
          <cell r="N737">
            <v>50</v>
          </cell>
          <cell r="O737">
            <v>7000</v>
          </cell>
          <cell r="P737">
            <v>-73.819541841982243</v>
          </cell>
          <cell r="Q737" t="str">
            <v>总工办</v>
          </cell>
        </row>
        <row r="738">
          <cell r="B738" t="str">
            <v>001-0010504</v>
          </cell>
          <cell r="C738" t="str">
            <v>计算机</v>
          </cell>
          <cell r="D738" t="str">
            <v>ASTA+486/50/8M/340</v>
          </cell>
          <cell r="F738" t="str">
            <v>台</v>
          </cell>
          <cell r="G738" t="str">
            <v>199912</v>
          </cell>
          <cell r="H738" t="str">
            <v>199912</v>
          </cell>
          <cell r="I738">
            <v>14800</v>
          </cell>
          <cell r="J738">
            <v>11470.01</v>
          </cell>
          <cell r="K738">
            <v>14800</v>
          </cell>
          <cell r="L738">
            <v>11470.01</v>
          </cell>
          <cell r="M738">
            <v>8000</v>
          </cell>
          <cell r="N738">
            <v>50</v>
          </cell>
          <cell r="O738">
            <v>4000</v>
          </cell>
          <cell r="P738">
            <v>-65.126447143463693</v>
          </cell>
          <cell r="Q738" t="str">
            <v>总工办</v>
          </cell>
        </row>
        <row r="739">
          <cell r="B739" t="str">
            <v>001-0010505</v>
          </cell>
          <cell r="C739" t="str">
            <v>计算机</v>
          </cell>
          <cell r="D739" t="str">
            <v>ASTA+486/50/8M/340</v>
          </cell>
          <cell r="F739" t="str">
            <v>台</v>
          </cell>
          <cell r="G739" t="str">
            <v>199912</v>
          </cell>
          <cell r="H739" t="str">
            <v>199912</v>
          </cell>
          <cell r="I739">
            <v>14800</v>
          </cell>
          <cell r="J739">
            <v>11470.01</v>
          </cell>
          <cell r="K739">
            <v>14800</v>
          </cell>
          <cell r="L739">
            <v>11470.01</v>
          </cell>
          <cell r="M739">
            <v>8000</v>
          </cell>
          <cell r="N739">
            <v>50</v>
          </cell>
          <cell r="O739">
            <v>4000</v>
          </cell>
          <cell r="P739">
            <v>-65.126447143463693</v>
          </cell>
          <cell r="Q739" t="str">
            <v>总工办</v>
          </cell>
        </row>
        <row r="740">
          <cell r="B740" t="str">
            <v>001-0010506</v>
          </cell>
          <cell r="C740" t="str">
            <v>计算机</v>
          </cell>
          <cell r="D740" t="str">
            <v>ASTA+486/50/8M/340</v>
          </cell>
          <cell r="F740" t="str">
            <v>台</v>
          </cell>
          <cell r="G740" t="str">
            <v>199912</v>
          </cell>
          <cell r="H740" t="str">
            <v>199912</v>
          </cell>
          <cell r="I740">
            <v>14800</v>
          </cell>
          <cell r="J740">
            <v>11470.01</v>
          </cell>
          <cell r="K740">
            <v>14800</v>
          </cell>
          <cell r="L740">
            <v>11470.01</v>
          </cell>
          <cell r="M740">
            <v>8000</v>
          </cell>
          <cell r="N740">
            <v>50</v>
          </cell>
          <cell r="O740">
            <v>4000</v>
          </cell>
          <cell r="P740">
            <v>-65.126447143463693</v>
          </cell>
          <cell r="Q740" t="str">
            <v>总工办</v>
          </cell>
        </row>
        <row r="741">
          <cell r="B741" t="str">
            <v>001-0010507</v>
          </cell>
          <cell r="C741" t="str">
            <v>计算机</v>
          </cell>
          <cell r="D741" t="str">
            <v>ASTA+486/50/8M/340</v>
          </cell>
          <cell r="F741" t="str">
            <v>台</v>
          </cell>
          <cell r="G741" t="str">
            <v>199912</v>
          </cell>
          <cell r="H741" t="str">
            <v>199912</v>
          </cell>
          <cell r="I741">
            <v>14800</v>
          </cell>
          <cell r="J741">
            <v>11470.01</v>
          </cell>
          <cell r="K741">
            <v>14800</v>
          </cell>
          <cell r="L741">
            <v>11470.01</v>
          </cell>
          <cell r="M741">
            <v>8000</v>
          </cell>
          <cell r="N741">
            <v>50</v>
          </cell>
          <cell r="O741">
            <v>4000</v>
          </cell>
          <cell r="P741">
            <v>-65.126447143463693</v>
          </cell>
          <cell r="Q741" t="str">
            <v>总工办</v>
          </cell>
        </row>
        <row r="742">
          <cell r="B742" t="str">
            <v>001-0010508</v>
          </cell>
          <cell r="C742" t="str">
            <v>计算机</v>
          </cell>
          <cell r="D742" t="str">
            <v>ASTA+486/50/8M/340</v>
          </cell>
          <cell r="F742" t="str">
            <v>台</v>
          </cell>
          <cell r="G742" t="str">
            <v>199912</v>
          </cell>
          <cell r="H742" t="str">
            <v>199912</v>
          </cell>
          <cell r="I742">
            <v>14800</v>
          </cell>
          <cell r="J742">
            <v>11470.01</v>
          </cell>
          <cell r="K742">
            <v>14800</v>
          </cell>
          <cell r="L742">
            <v>11470.01</v>
          </cell>
          <cell r="M742">
            <v>8000</v>
          </cell>
          <cell r="N742">
            <v>50</v>
          </cell>
          <cell r="O742">
            <v>4000</v>
          </cell>
          <cell r="P742">
            <v>-65.126447143463693</v>
          </cell>
          <cell r="Q742" t="str">
            <v>总工办</v>
          </cell>
        </row>
        <row r="743">
          <cell r="B743" t="str">
            <v>001-0010509</v>
          </cell>
          <cell r="C743" t="str">
            <v>计算机</v>
          </cell>
          <cell r="D743" t="str">
            <v>ASTA+486/66/8M/340</v>
          </cell>
          <cell r="F743" t="str">
            <v>台</v>
          </cell>
          <cell r="G743" t="str">
            <v>199912</v>
          </cell>
          <cell r="H743" t="str">
            <v>199912</v>
          </cell>
          <cell r="I743">
            <v>14800</v>
          </cell>
          <cell r="J743">
            <v>11470.01</v>
          </cell>
          <cell r="K743">
            <v>14800</v>
          </cell>
          <cell r="L743">
            <v>11470.01</v>
          </cell>
          <cell r="M743">
            <v>8000</v>
          </cell>
          <cell r="N743">
            <v>50</v>
          </cell>
          <cell r="O743">
            <v>4000</v>
          </cell>
          <cell r="P743">
            <v>-65.126447143463693</v>
          </cell>
          <cell r="Q743" t="str">
            <v>总工办</v>
          </cell>
        </row>
        <row r="744">
          <cell r="B744" t="str">
            <v>001-0010510</v>
          </cell>
          <cell r="C744" t="str">
            <v>计算机</v>
          </cell>
          <cell r="D744" t="str">
            <v>HP 4/66 VL2</v>
          </cell>
          <cell r="F744" t="str">
            <v>台</v>
          </cell>
          <cell r="G744" t="str">
            <v>199912</v>
          </cell>
          <cell r="H744" t="str">
            <v>199912</v>
          </cell>
          <cell r="I744">
            <v>18000</v>
          </cell>
          <cell r="J744">
            <v>13950</v>
          </cell>
          <cell r="K744">
            <v>18000</v>
          </cell>
          <cell r="L744">
            <v>13950</v>
          </cell>
          <cell r="M744">
            <v>8000</v>
          </cell>
          <cell r="N744">
            <v>50</v>
          </cell>
          <cell r="O744">
            <v>4000</v>
          </cell>
          <cell r="P744">
            <v>-71.326164874551964</v>
          </cell>
          <cell r="Q744" t="str">
            <v>总工办</v>
          </cell>
        </row>
        <row r="745">
          <cell r="B745" t="str">
            <v>001-0010511</v>
          </cell>
          <cell r="C745" t="str">
            <v>计算机</v>
          </cell>
          <cell r="D745" t="str">
            <v>HP 4/66 VL2</v>
          </cell>
          <cell r="F745" t="str">
            <v>台</v>
          </cell>
          <cell r="G745" t="str">
            <v>199912</v>
          </cell>
          <cell r="H745" t="str">
            <v>199912</v>
          </cell>
          <cell r="I745">
            <v>18000</v>
          </cell>
          <cell r="J745">
            <v>13950</v>
          </cell>
          <cell r="K745">
            <v>18000</v>
          </cell>
          <cell r="L745">
            <v>13950</v>
          </cell>
          <cell r="M745">
            <v>8000</v>
          </cell>
          <cell r="N745">
            <v>50</v>
          </cell>
          <cell r="O745">
            <v>4000</v>
          </cell>
          <cell r="P745">
            <v>-71.326164874551964</v>
          </cell>
          <cell r="Q745" t="str">
            <v>总工办</v>
          </cell>
        </row>
        <row r="746">
          <cell r="B746" t="str">
            <v>001-0010512</v>
          </cell>
          <cell r="C746" t="str">
            <v>打印机</v>
          </cell>
          <cell r="D746" t="str">
            <v>激光EPSON  5200</v>
          </cell>
          <cell r="F746" t="str">
            <v>台</v>
          </cell>
          <cell r="G746" t="str">
            <v>199912</v>
          </cell>
          <cell r="H746" t="str">
            <v>199912</v>
          </cell>
          <cell r="I746">
            <v>8900</v>
          </cell>
          <cell r="J746">
            <v>6897.49</v>
          </cell>
          <cell r="K746">
            <v>8900</v>
          </cell>
          <cell r="L746">
            <v>6897.49</v>
          </cell>
          <cell r="M746">
            <v>8000</v>
          </cell>
          <cell r="N746">
            <v>60</v>
          </cell>
          <cell r="O746">
            <v>4800</v>
          </cell>
          <cell r="P746">
            <v>-30.409467791906909</v>
          </cell>
          <cell r="Q746" t="str">
            <v>总工办</v>
          </cell>
        </row>
        <row r="747">
          <cell r="B747" t="str">
            <v>001-0010513</v>
          </cell>
          <cell r="C747" t="str">
            <v>打印机</v>
          </cell>
          <cell r="D747" t="str">
            <v>激光EPSON  5200</v>
          </cell>
          <cell r="F747" t="str">
            <v>台</v>
          </cell>
          <cell r="G747" t="str">
            <v>199912</v>
          </cell>
          <cell r="H747" t="str">
            <v>199912</v>
          </cell>
          <cell r="I747">
            <v>8900</v>
          </cell>
          <cell r="J747">
            <v>6897.49</v>
          </cell>
          <cell r="K747">
            <v>8900</v>
          </cell>
          <cell r="L747">
            <v>6897.49</v>
          </cell>
          <cell r="M747">
            <v>8000</v>
          </cell>
          <cell r="N747">
            <v>60</v>
          </cell>
          <cell r="O747">
            <v>4800</v>
          </cell>
          <cell r="P747">
            <v>-30.409467791906909</v>
          </cell>
          <cell r="Q747" t="str">
            <v>总工办</v>
          </cell>
        </row>
        <row r="748">
          <cell r="B748" t="str">
            <v>001-0010514</v>
          </cell>
          <cell r="C748" t="str">
            <v>打印机</v>
          </cell>
          <cell r="D748" t="str">
            <v>激光HP 4V</v>
          </cell>
          <cell r="F748" t="str">
            <v>台</v>
          </cell>
          <cell r="G748" t="str">
            <v>199912</v>
          </cell>
          <cell r="H748" t="str">
            <v>199912</v>
          </cell>
          <cell r="I748">
            <v>19500</v>
          </cell>
          <cell r="J748">
            <v>15112.5</v>
          </cell>
          <cell r="K748">
            <v>19500</v>
          </cell>
          <cell r="L748">
            <v>15112.5</v>
          </cell>
          <cell r="M748">
            <v>15000</v>
          </cell>
          <cell r="N748">
            <v>60</v>
          </cell>
          <cell r="O748">
            <v>9000</v>
          </cell>
          <cell r="P748">
            <v>-40.446650124069478</v>
          </cell>
          <cell r="Q748" t="str">
            <v>总工办</v>
          </cell>
        </row>
        <row r="749">
          <cell r="B749" t="str">
            <v>001-0010515</v>
          </cell>
          <cell r="C749" t="str">
            <v>打印机</v>
          </cell>
          <cell r="D749" t="str">
            <v>彩色喷墨EPSON</v>
          </cell>
          <cell r="F749" t="str">
            <v>台</v>
          </cell>
          <cell r="G749" t="str">
            <v>199912</v>
          </cell>
          <cell r="H749" t="str">
            <v>199912</v>
          </cell>
          <cell r="I749">
            <v>7700</v>
          </cell>
          <cell r="J749">
            <v>5967.49</v>
          </cell>
          <cell r="K749">
            <v>7700</v>
          </cell>
          <cell r="L749">
            <v>5967.49</v>
          </cell>
          <cell r="M749">
            <v>5500</v>
          </cell>
          <cell r="N749">
            <v>60</v>
          </cell>
          <cell r="O749">
            <v>3300</v>
          </cell>
          <cell r="P749">
            <v>-44.700368161488328</v>
          </cell>
          <cell r="Q749" t="str">
            <v>总工办</v>
          </cell>
        </row>
        <row r="750">
          <cell r="B750" t="str">
            <v>001-0010516</v>
          </cell>
          <cell r="C750" t="str">
            <v>打印机</v>
          </cell>
          <cell r="D750" t="str">
            <v>彩色喷墨EPSON</v>
          </cell>
          <cell r="F750" t="str">
            <v>台</v>
          </cell>
          <cell r="G750" t="str">
            <v>199912</v>
          </cell>
          <cell r="H750" t="str">
            <v>199912</v>
          </cell>
          <cell r="I750">
            <v>7700</v>
          </cell>
          <cell r="J750">
            <v>5967.49</v>
          </cell>
          <cell r="K750">
            <v>7700</v>
          </cell>
          <cell r="L750">
            <v>5967.49</v>
          </cell>
          <cell r="M750">
            <v>5500</v>
          </cell>
          <cell r="N750">
            <v>60</v>
          </cell>
          <cell r="O750">
            <v>3300</v>
          </cell>
          <cell r="P750">
            <v>-44.700368161488328</v>
          </cell>
          <cell r="Q750" t="str">
            <v>总工办</v>
          </cell>
        </row>
        <row r="751">
          <cell r="B751" t="str">
            <v>001-0010517</v>
          </cell>
          <cell r="C751" t="str">
            <v>打印机</v>
          </cell>
          <cell r="D751" t="str">
            <v>彩色喷墨EPSON</v>
          </cell>
          <cell r="F751" t="str">
            <v>台</v>
          </cell>
          <cell r="G751" t="str">
            <v>199912</v>
          </cell>
          <cell r="H751" t="str">
            <v>199912</v>
          </cell>
          <cell r="I751">
            <v>7700</v>
          </cell>
          <cell r="J751">
            <v>5967.49</v>
          </cell>
          <cell r="K751">
            <v>7700</v>
          </cell>
          <cell r="L751">
            <v>5967.49</v>
          </cell>
          <cell r="M751">
            <v>5500</v>
          </cell>
          <cell r="N751">
            <v>60</v>
          </cell>
          <cell r="O751">
            <v>3300</v>
          </cell>
          <cell r="P751">
            <v>-44.700368161488328</v>
          </cell>
          <cell r="Q751" t="str">
            <v>总工办</v>
          </cell>
        </row>
        <row r="752">
          <cell r="B752" t="str">
            <v>001-0010518</v>
          </cell>
          <cell r="C752" t="str">
            <v>UPS电源</v>
          </cell>
          <cell r="D752" t="str">
            <v>Sandon UPS 500W</v>
          </cell>
          <cell r="F752" t="str">
            <v>台</v>
          </cell>
          <cell r="G752" t="str">
            <v>199912</v>
          </cell>
          <cell r="H752" t="str">
            <v>199912</v>
          </cell>
          <cell r="I752">
            <v>1100</v>
          </cell>
          <cell r="J752">
            <v>852.49</v>
          </cell>
          <cell r="K752">
            <v>1100</v>
          </cell>
          <cell r="L752">
            <v>852.49</v>
          </cell>
          <cell r="M752">
            <v>1000</v>
          </cell>
          <cell r="N752">
            <v>80</v>
          </cell>
          <cell r="O752">
            <v>800</v>
          </cell>
          <cell r="P752">
            <v>-6.1572569766214276</v>
          </cell>
          <cell r="Q752" t="str">
            <v>总工办</v>
          </cell>
        </row>
        <row r="753">
          <cell r="B753" t="str">
            <v>001-0010519</v>
          </cell>
          <cell r="C753" t="str">
            <v>UPS电源</v>
          </cell>
          <cell r="D753" t="str">
            <v>Sandon UPS 500W</v>
          </cell>
          <cell r="F753" t="str">
            <v>台</v>
          </cell>
          <cell r="G753" t="str">
            <v>199912</v>
          </cell>
          <cell r="H753" t="str">
            <v>199912</v>
          </cell>
          <cell r="I753">
            <v>1100</v>
          </cell>
          <cell r="J753">
            <v>852.49</v>
          </cell>
          <cell r="K753">
            <v>1100</v>
          </cell>
          <cell r="L753">
            <v>852.49</v>
          </cell>
          <cell r="M753">
            <v>1000</v>
          </cell>
          <cell r="N753">
            <v>80</v>
          </cell>
          <cell r="O753">
            <v>800</v>
          </cell>
          <cell r="P753">
            <v>-6.1572569766214276</v>
          </cell>
          <cell r="Q753" t="str">
            <v>总工办</v>
          </cell>
        </row>
        <row r="754">
          <cell r="B754" t="str">
            <v>001-0010520</v>
          </cell>
          <cell r="C754" t="str">
            <v>UPS电源</v>
          </cell>
          <cell r="D754" t="str">
            <v>Sandon UPS 500W</v>
          </cell>
          <cell r="F754" t="str">
            <v>台</v>
          </cell>
          <cell r="G754" t="str">
            <v>199912</v>
          </cell>
          <cell r="H754" t="str">
            <v>199912</v>
          </cell>
          <cell r="I754">
            <v>1100</v>
          </cell>
          <cell r="J754">
            <v>852.49</v>
          </cell>
          <cell r="K754">
            <v>1100</v>
          </cell>
          <cell r="L754">
            <v>852.49</v>
          </cell>
          <cell r="M754">
            <v>1000</v>
          </cell>
          <cell r="N754">
            <v>80</v>
          </cell>
          <cell r="O754">
            <v>800</v>
          </cell>
          <cell r="P754">
            <v>-6.1572569766214276</v>
          </cell>
          <cell r="Q754" t="str">
            <v>总工办</v>
          </cell>
        </row>
        <row r="755">
          <cell r="B755" t="str">
            <v>001-0010521</v>
          </cell>
          <cell r="C755" t="str">
            <v>UPS电源</v>
          </cell>
          <cell r="D755" t="str">
            <v>Sandon UPS 500W</v>
          </cell>
          <cell r="F755" t="str">
            <v>台</v>
          </cell>
          <cell r="G755" t="str">
            <v>199912</v>
          </cell>
          <cell r="H755" t="str">
            <v>199912</v>
          </cell>
          <cell r="I755">
            <v>1100</v>
          </cell>
          <cell r="J755">
            <v>852.49</v>
          </cell>
          <cell r="K755">
            <v>1100</v>
          </cell>
          <cell r="L755">
            <v>852.49</v>
          </cell>
          <cell r="M755">
            <v>1000</v>
          </cell>
          <cell r="N755">
            <v>80</v>
          </cell>
          <cell r="O755">
            <v>800</v>
          </cell>
          <cell r="P755">
            <v>-6.1572569766214276</v>
          </cell>
          <cell r="Q755" t="str">
            <v>总工办</v>
          </cell>
        </row>
        <row r="756">
          <cell r="B756" t="str">
            <v>001-0010522</v>
          </cell>
          <cell r="C756" t="str">
            <v>UPS电源</v>
          </cell>
          <cell r="D756" t="str">
            <v>Sandon UPS 500W</v>
          </cell>
          <cell r="F756" t="str">
            <v>台</v>
          </cell>
          <cell r="G756" t="str">
            <v>199912</v>
          </cell>
          <cell r="H756" t="str">
            <v>199912</v>
          </cell>
          <cell r="I756">
            <v>1100</v>
          </cell>
          <cell r="J756">
            <v>852.49</v>
          </cell>
          <cell r="K756">
            <v>1100</v>
          </cell>
          <cell r="L756">
            <v>852.49</v>
          </cell>
          <cell r="M756">
            <v>1000</v>
          </cell>
          <cell r="N756">
            <v>80</v>
          </cell>
          <cell r="O756">
            <v>800</v>
          </cell>
          <cell r="P756">
            <v>-6.1572569766214276</v>
          </cell>
          <cell r="Q756" t="str">
            <v>总工办</v>
          </cell>
        </row>
        <row r="757">
          <cell r="B757" t="str">
            <v>001-0010523</v>
          </cell>
          <cell r="C757" t="str">
            <v>UPS电源</v>
          </cell>
          <cell r="D757" t="str">
            <v>Sandon UPS 500W</v>
          </cell>
          <cell r="F757" t="str">
            <v>台</v>
          </cell>
          <cell r="G757" t="str">
            <v>199912</v>
          </cell>
          <cell r="H757" t="str">
            <v>199912</v>
          </cell>
          <cell r="I757">
            <v>1100</v>
          </cell>
          <cell r="J757">
            <v>852.49</v>
          </cell>
          <cell r="K757">
            <v>1100</v>
          </cell>
          <cell r="L757">
            <v>852.49</v>
          </cell>
          <cell r="M757">
            <v>1000</v>
          </cell>
          <cell r="N757">
            <v>80</v>
          </cell>
          <cell r="O757">
            <v>800</v>
          </cell>
          <cell r="P757">
            <v>-6.1572569766214276</v>
          </cell>
          <cell r="Q757" t="str">
            <v>总工办</v>
          </cell>
        </row>
        <row r="758">
          <cell r="B758" t="str">
            <v>001-0010524</v>
          </cell>
          <cell r="C758" t="str">
            <v>UPS电源</v>
          </cell>
          <cell r="D758" t="str">
            <v>Sandon UPS 500W</v>
          </cell>
          <cell r="F758" t="str">
            <v>台</v>
          </cell>
          <cell r="G758" t="str">
            <v>199912</v>
          </cell>
          <cell r="H758" t="str">
            <v>199912</v>
          </cell>
          <cell r="I758">
            <v>1100</v>
          </cell>
          <cell r="J758">
            <v>852.49</v>
          </cell>
          <cell r="K758">
            <v>1100</v>
          </cell>
          <cell r="L758">
            <v>852.49</v>
          </cell>
          <cell r="M758">
            <v>1000</v>
          </cell>
          <cell r="N758">
            <v>80</v>
          </cell>
          <cell r="O758">
            <v>800</v>
          </cell>
          <cell r="P758">
            <v>-6.1572569766214276</v>
          </cell>
          <cell r="Q758" t="str">
            <v>总工办</v>
          </cell>
        </row>
        <row r="759">
          <cell r="B759" t="str">
            <v>001-0010525</v>
          </cell>
          <cell r="C759" t="str">
            <v>UPS电源</v>
          </cell>
          <cell r="D759" t="str">
            <v>Sandon UPS 500W</v>
          </cell>
          <cell r="F759" t="str">
            <v>台</v>
          </cell>
          <cell r="G759" t="str">
            <v>199912</v>
          </cell>
          <cell r="H759" t="str">
            <v>199912</v>
          </cell>
          <cell r="I759">
            <v>1100</v>
          </cell>
          <cell r="J759">
            <v>852.49</v>
          </cell>
          <cell r="K759">
            <v>1100</v>
          </cell>
          <cell r="L759">
            <v>852.49</v>
          </cell>
          <cell r="M759">
            <v>1000</v>
          </cell>
          <cell r="N759">
            <v>80</v>
          </cell>
          <cell r="O759">
            <v>800</v>
          </cell>
          <cell r="P759">
            <v>-6.1572569766214276</v>
          </cell>
          <cell r="Q759" t="str">
            <v>总工办</v>
          </cell>
        </row>
        <row r="760">
          <cell r="B760" t="str">
            <v>001-0010526</v>
          </cell>
          <cell r="C760" t="str">
            <v>UPS电源</v>
          </cell>
          <cell r="D760" t="str">
            <v>Sandon UPS 500W</v>
          </cell>
          <cell r="F760" t="str">
            <v>台</v>
          </cell>
          <cell r="G760" t="str">
            <v>199912</v>
          </cell>
          <cell r="H760" t="str">
            <v>199912</v>
          </cell>
          <cell r="I760">
            <v>1100</v>
          </cell>
          <cell r="J760">
            <v>852.49</v>
          </cell>
          <cell r="K760">
            <v>1100</v>
          </cell>
          <cell r="L760">
            <v>852.49</v>
          </cell>
          <cell r="M760">
            <v>1000</v>
          </cell>
          <cell r="N760">
            <v>80</v>
          </cell>
          <cell r="O760">
            <v>800</v>
          </cell>
          <cell r="P760">
            <v>-6.1572569766214276</v>
          </cell>
          <cell r="Q760" t="str">
            <v>总工办</v>
          </cell>
        </row>
        <row r="761">
          <cell r="B761" t="str">
            <v>001-0010527</v>
          </cell>
          <cell r="C761" t="str">
            <v>UPS电源</v>
          </cell>
          <cell r="D761" t="str">
            <v>Sandon UPS 500W</v>
          </cell>
          <cell r="F761" t="str">
            <v>台</v>
          </cell>
          <cell r="G761" t="str">
            <v>199912</v>
          </cell>
          <cell r="H761" t="str">
            <v>199912</v>
          </cell>
          <cell r="I761">
            <v>1100</v>
          </cell>
          <cell r="J761">
            <v>852.49</v>
          </cell>
          <cell r="K761">
            <v>1100</v>
          </cell>
          <cell r="L761">
            <v>852.49</v>
          </cell>
          <cell r="M761">
            <v>1000</v>
          </cell>
          <cell r="N761">
            <v>80</v>
          </cell>
          <cell r="O761">
            <v>800</v>
          </cell>
          <cell r="P761">
            <v>-6.1572569766214276</v>
          </cell>
          <cell r="Q761" t="str">
            <v>总工办</v>
          </cell>
        </row>
        <row r="762">
          <cell r="B762" t="str">
            <v>001-0010530</v>
          </cell>
          <cell r="C762" t="str">
            <v>小宝装订机</v>
          </cell>
          <cell r="D762" t="str">
            <v>IBICO 瑞士</v>
          </cell>
          <cell r="F762" t="str">
            <v>台</v>
          </cell>
          <cell r="G762" t="str">
            <v>199912</v>
          </cell>
          <cell r="H762" t="str">
            <v>199912</v>
          </cell>
          <cell r="I762">
            <v>2900</v>
          </cell>
          <cell r="J762">
            <v>2247.4899999999998</v>
          </cell>
          <cell r="K762">
            <v>2900</v>
          </cell>
          <cell r="L762">
            <v>2247.4899999999998</v>
          </cell>
          <cell r="M762">
            <v>2600</v>
          </cell>
          <cell r="N762">
            <v>65</v>
          </cell>
          <cell r="O762">
            <v>1690</v>
          </cell>
          <cell r="P762">
            <v>-24.80500469412544</v>
          </cell>
          <cell r="Q762" t="str">
            <v>总工办</v>
          </cell>
        </row>
        <row r="763">
          <cell r="B763" t="str">
            <v>001-0010532</v>
          </cell>
          <cell r="C763" t="str">
            <v>集线器</v>
          </cell>
          <cell r="D763" t="str">
            <v/>
          </cell>
          <cell r="F763" t="str">
            <v>台</v>
          </cell>
          <cell r="G763" t="str">
            <v>199912</v>
          </cell>
          <cell r="H763" t="str">
            <v>199912</v>
          </cell>
          <cell r="I763">
            <v>2800</v>
          </cell>
          <cell r="J763">
            <v>2170.0100000000002</v>
          </cell>
          <cell r="K763">
            <v>2800</v>
          </cell>
          <cell r="L763">
            <v>2170.0100000000002</v>
          </cell>
          <cell r="M763">
            <v>2500</v>
          </cell>
          <cell r="N763">
            <v>65</v>
          </cell>
          <cell r="O763">
            <v>1625</v>
          </cell>
          <cell r="P763">
            <v>-25.115552462891884</v>
          </cell>
          <cell r="Q763" t="str">
            <v>总工办</v>
          </cell>
        </row>
        <row r="764">
          <cell r="B764" t="str">
            <v>001-0010535</v>
          </cell>
          <cell r="C764" t="str">
            <v>计算机</v>
          </cell>
          <cell r="D764" t="str">
            <v>AST 386 B3/33S</v>
          </cell>
          <cell r="F764" t="str">
            <v>台</v>
          </cell>
          <cell r="G764" t="str">
            <v>199912</v>
          </cell>
          <cell r="H764" t="str">
            <v>199912</v>
          </cell>
          <cell r="I764">
            <v>12000</v>
          </cell>
          <cell r="J764">
            <v>9300</v>
          </cell>
          <cell r="K764">
            <v>12000</v>
          </cell>
          <cell r="L764">
            <v>9300</v>
          </cell>
          <cell r="M764">
            <v>400</v>
          </cell>
          <cell r="N764">
            <v>100</v>
          </cell>
          <cell r="O764">
            <v>400</v>
          </cell>
          <cell r="P764">
            <v>-95.6989247311828</v>
          </cell>
          <cell r="Q764" t="str">
            <v>总工办</v>
          </cell>
        </row>
        <row r="765">
          <cell r="B765" t="str">
            <v>001-0010536</v>
          </cell>
          <cell r="C765" t="str">
            <v>计算机</v>
          </cell>
          <cell r="D765" t="str">
            <v>AST A +450D</v>
          </cell>
          <cell r="F765" t="str">
            <v>台</v>
          </cell>
          <cell r="G765" t="str">
            <v>199912</v>
          </cell>
          <cell r="H765" t="str">
            <v>199912</v>
          </cell>
          <cell r="I765">
            <v>18500</v>
          </cell>
          <cell r="J765">
            <v>14337.49</v>
          </cell>
          <cell r="K765">
            <v>18500</v>
          </cell>
          <cell r="L765">
            <v>14337.49</v>
          </cell>
          <cell r="M765">
            <v>9000</v>
          </cell>
          <cell r="N765">
            <v>50</v>
          </cell>
          <cell r="O765">
            <v>4500</v>
          </cell>
          <cell r="P765">
            <v>-68.613753174370132</v>
          </cell>
          <cell r="Q765" t="str">
            <v>总工办</v>
          </cell>
        </row>
        <row r="766">
          <cell r="B766" t="str">
            <v>001-0010537</v>
          </cell>
          <cell r="C766" t="str">
            <v>计算机</v>
          </cell>
          <cell r="D766" t="str">
            <v>AST A +450D</v>
          </cell>
          <cell r="F766" t="str">
            <v>台</v>
          </cell>
          <cell r="G766" t="str">
            <v>199912</v>
          </cell>
          <cell r="H766" t="str">
            <v>199912</v>
          </cell>
          <cell r="I766">
            <v>18500</v>
          </cell>
          <cell r="J766">
            <v>14337.49</v>
          </cell>
          <cell r="K766">
            <v>18500</v>
          </cell>
          <cell r="L766">
            <v>14337.49</v>
          </cell>
          <cell r="M766">
            <v>9000</v>
          </cell>
          <cell r="N766">
            <v>50</v>
          </cell>
          <cell r="O766">
            <v>4500</v>
          </cell>
          <cell r="P766">
            <v>-68.613753174370132</v>
          </cell>
          <cell r="Q766" t="str">
            <v>总工办</v>
          </cell>
        </row>
        <row r="767">
          <cell r="B767" t="str">
            <v>001-0010538</v>
          </cell>
          <cell r="C767" t="str">
            <v>计算机</v>
          </cell>
          <cell r="D767" t="str">
            <v>AST A +450D</v>
          </cell>
          <cell r="F767" t="str">
            <v>台</v>
          </cell>
          <cell r="G767" t="str">
            <v>199912</v>
          </cell>
          <cell r="H767" t="str">
            <v>199912</v>
          </cell>
          <cell r="I767">
            <v>18500</v>
          </cell>
          <cell r="J767">
            <v>14337.49</v>
          </cell>
          <cell r="K767">
            <v>18500</v>
          </cell>
          <cell r="L767">
            <v>14337.49</v>
          </cell>
          <cell r="M767">
            <v>9000</v>
          </cell>
          <cell r="N767">
            <v>50</v>
          </cell>
          <cell r="O767">
            <v>4500</v>
          </cell>
          <cell r="P767">
            <v>-68.613753174370132</v>
          </cell>
          <cell r="Q767" t="str">
            <v>总工办</v>
          </cell>
        </row>
        <row r="768">
          <cell r="B768" t="str">
            <v>001-0010539</v>
          </cell>
          <cell r="C768" t="str">
            <v>计算机</v>
          </cell>
          <cell r="D768" t="str">
            <v>AST A +450D</v>
          </cell>
          <cell r="F768" t="str">
            <v>台</v>
          </cell>
          <cell r="G768" t="str">
            <v>199912</v>
          </cell>
          <cell r="H768" t="str">
            <v>199912</v>
          </cell>
          <cell r="I768">
            <v>18500</v>
          </cell>
          <cell r="J768">
            <v>14337.49</v>
          </cell>
          <cell r="K768">
            <v>18500</v>
          </cell>
          <cell r="L768">
            <v>14337.49</v>
          </cell>
          <cell r="M768">
            <v>9000</v>
          </cell>
          <cell r="N768">
            <v>50</v>
          </cell>
          <cell r="O768">
            <v>4500</v>
          </cell>
          <cell r="P768">
            <v>-68.613753174370132</v>
          </cell>
          <cell r="Q768" t="str">
            <v>总工办</v>
          </cell>
        </row>
        <row r="769">
          <cell r="B769" t="str">
            <v>001-0010540</v>
          </cell>
          <cell r="C769" t="str">
            <v>计算机</v>
          </cell>
          <cell r="D769" t="str">
            <v>AST A +450D</v>
          </cell>
          <cell r="F769" t="str">
            <v>台</v>
          </cell>
          <cell r="G769" t="str">
            <v>199912</v>
          </cell>
          <cell r="H769" t="str">
            <v>199912</v>
          </cell>
          <cell r="I769">
            <v>18500</v>
          </cell>
          <cell r="J769">
            <v>14337.49</v>
          </cell>
          <cell r="K769">
            <v>18500</v>
          </cell>
          <cell r="L769">
            <v>14337.49</v>
          </cell>
          <cell r="M769">
            <v>9000</v>
          </cell>
          <cell r="N769">
            <v>50</v>
          </cell>
          <cell r="O769">
            <v>4500</v>
          </cell>
          <cell r="P769">
            <v>-68.613753174370132</v>
          </cell>
          <cell r="Q769" t="str">
            <v>总工办</v>
          </cell>
        </row>
        <row r="770">
          <cell r="B770" t="str">
            <v>001-0010541</v>
          </cell>
          <cell r="C770" t="str">
            <v>计算机</v>
          </cell>
          <cell r="D770" t="str">
            <v>AST A +450D</v>
          </cell>
          <cell r="F770" t="str">
            <v>台</v>
          </cell>
          <cell r="G770" t="str">
            <v>199912</v>
          </cell>
          <cell r="H770" t="str">
            <v>199912</v>
          </cell>
          <cell r="I770">
            <v>18500</v>
          </cell>
          <cell r="J770">
            <v>14337.49</v>
          </cell>
          <cell r="K770">
            <v>18500</v>
          </cell>
          <cell r="L770">
            <v>14337.49</v>
          </cell>
          <cell r="M770">
            <v>9000</v>
          </cell>
          <cell r="N770">
            <v>50</v>
          </cell>
          <cell r="O770">
            <v>4500</v>
          </cell>
          <cell r="P770">
            <v>-68.613753174370132</v>
          </cell>
          <cell r="Q770" t="str">
            <v>总工办</v>
          </cell>
        </row>
        <row r="771">
          <cell r="B771" t="str">
            <v>001-0010542</v>
          </cell>
          <cell r="C771" t="str">
            <v>计算机</v>
          </cell>
          <cell r="D771" t="str">
            <v>AST A +450D</v>
          </cell>
          <cell r="F771" t="str">
            <v>台</v>
          </cell>
          <cell r="G771" t="str">
            <v>199912</v>
          </cell>
          <cell r="H771" t="str">
            <v>199912</v>
          </cell>
          <cell r="I771">
            <v>18500</v>
          </cell>
          <cell r="J771">
            <v>14337.49</v>
          </cell>
          <cell r="K771">
            <v>18500</v>
          </cell>
          <cell r="L771">
            <v>14337.49</v>
          </cell>
          <cell r="M771">
            <v>9000</v>
          </cell>
          <cell r="N771">
            <v>50</v>
          </cell>
          <cell r="O771">
            <v>4500</v>
          </cell>
          <cell r="P771">
            <v>-68.613753174370132</v>
          </cell>
          <cell r="Q771" t="str">
            <v>总工办</v>
          </cell>
        </row>
        <row r="772">
          <cell r="B772" t="str">
            <v>001-0010543</v>
          </cell>
          <cell r="C772" t="str">
            <v>计算机</v>
          </cell>
          <cell r="D772" t="str">
            <v>AST A +450D</v>
          </cell>
          <cell r="F772" t="str">
            <v>台</v>
          </cell>
          <cell r="G772" t="str">
            <v>199912</v>
          </cell>
          <cell r="H772" t="str">
            <v>199912</v>
          </cell>
          <cell r="I772">
            <v>18500</v>
          </cell>
          <cell r="J772">
            <v>14337.49</v>
          </cell>
          <cell r="K772">
            <v>18500</v>
          </cell>
          <cell r="L772">
            <v>14337.49</v>
          </cell>
          <cell r="M772">
            <v>9000</v>
          </cell>
          <cell r="N772">
            <v>50</v>
          </cell>
          <cell r="O772">
            <v>4500</v>
          </cell>
          <cell r="P772">
            <v>-68.613753174370132</v>
          </cell>
          <cell r="Q772" t="str">
            <v>总工办</v>
          </cell>
        </row>
        <row r="773">
          <cell r="B773" t="str">
            <v>001-0010544</v>
          </cell>
          <cell r="C773" t="str">
            <v>计算机</v>
          </cell>
          <cell r="D773" t="str">
            <v>AST A +450D</v>
          </cell>
          <cell r="F773" t="str">
            <v>台</v>
          </cell>
          <cell r="G773" t="str">
            <v>199912</v>
          </cell>
          <cell r="H773" t="str">
            <v>199912</v>
          </cell>
          <cell r="I773">
            <v>18500</v>
          </cell>
          <cell r="J773">
            <v>14337.49</v>
          </cell>
          <cell r="K773">
            <v>18500</v>
          </cell>
          <cell r="L773">
            <v>14337.49</v>
          </cell>
          <cell r="M773">
            <v>9000</v>
          </cell>
          <cell r="N773">
            <v>50</v>
          </cell>
          <cell r="O773">
            <v>4500</v>
          </cell>
          <cell r="P773">
            <v>-68.613753174370132</v>
          </cell>
          <cell r="Q773" t="str">
            <v>总工办</v>
          </cell>
        </row>
        <row r="774">
          <cell r="B774" t="str">
            <v>001-0010545</v>
          </cell>
          <cell r="C774" t="str">
            <v>计算机</v>
          </cell>
          <cell r="D774" t="str">
            <v>AST A +450D</v>
          </cell>
          <cell r="F774" t="str">
            <v>台</v>
          </cell>
          <cell r="G774" t="str">
            <v>199912</v>
          </cell>
          <cell r="H774" t="str">
            <v>199912</v>
          </cell>
          <cell r="I774">
            <v>18500</v>
          </cell>
          <cell r="J774">
            <v>14337.49</v>
          </cell>
          <cell r="K774">
            <v>18500</v>
          </cell>
          <cell r="L774">
            <v>14337.49</v>
          </cell>
          <cell r="M774">
            <v>9000</v>
          </cell>
          <cell r="N774">
            <v>50</v>
          </cell>
          <cell r="O774">
            <v>4500</v>
          </cell>
          <cell r="P774">
            <v>-68.613753174370132</v>
          </cell>
          <cell r="Q774" t="str">
            <v>总工办</v>
          </cell>
        </row>
        <row r="775">
          <cell r="B775" t="str">
            <v>001-0010546</v>
          </cell>
          <cell r="C775" t="str">
            <v>计算机</v>
          </cell>
          <cell r="D775" t="str">
            <v>AST A +450D</v>
          </cell>
          <cell r="F775" t="str">
            <v>台</v>
          </cell>
          <cell r="G775" t="str">
            <v>199912</v>
          </cell>
          <cell r="H775" t="str">
            <v>199912</v>
          </cell>
          <cell r="I775">
            <v>18500</v>
          </cell>
          <cell r="J775">
            <v>14337.49</v>
          </cell>
          <cell r="K775">
            <v>18500</v>
          </cell>
          <cell r="L775">
            <v>14337.49</v>
          </cell>
          <cell r="M775">
            <v>9000</v>
          </cell>
          <cell r="N775">
            <v>50</v>
          </cell>
          <cell r="O775">
            <v>4500</v>
          </cell>
          <cell r="P775">
            <v>-68.613753174370132</v>
          </cell>
          <cell r="Q775" t="str">
            <v>总工办</v>
          </cell>
        </row>
        <row r="776">
          <cell r="B776" t="str">
            <v>001-0010547</v>
          </cell>
          <cell r="C776" t="str">
            <v>计算机</v>
          </cell>
          <cell r="D776" t="str">
            <v>AST A +450D</v>
          </cell>
          <cell r="F776" t="str">
            <v>台</v>
          </cell>
          <cell r="G776" t="str">
            <v>199912</v>
          </cell>
          <cell r="H776" t="str">
            <v>199912</v>
          </cell>
          <cell r="I776">
            <v>18500</v>
          </cell>
          <cell r="J776">
            <v>14337.49</v>
          </cell>
          <cell r="K776">
            <v>18500</v>
          </cell>
          <cell r="L776">
            <v>14337.49</v>
          </cell>
          <cell r="M776">
            <v>9000</v>
          </cell>
          <cell r="N776">
            <v>50</v>
          </cell>
          <cell r="O776">
            <v>4500</v>
          </cell>
          <cell r="P776">
            <v>-68.613753174370132</v>
          </cell>
          <cell r="Q776" t="str">
            <v>总工办</v>
          </cell>
        </row>
        <row r="777">
          <cell r="B777" t="str">
            <v>001-0010548</v>
          </cell>
          <cell r="C777" t="str">
            <v>计算机</v>
          </cell>
          <cell r="D777" t="str">
            <v>Compaq  486/66多媒体</v>
          </cell>
          <cell r="F777" t="str">
            <v>台</v>
          </cell>
          <cell r="G777" t="str">
            <v>199912</v>
          </cell>
          <cell r="H777" t="str">
            <v>199912</v>
          </cell>
          <cell r="I777">
            <v>18500</v>
          </cell>
          <cell r="J777">
            <v>14337.49</v>
          </cell>
          <cell r="K777">
            <v>18500</v>
          </cell>
          <cell r="L777">
            <v>14337.49</v>
          </cell>
          <cell r="M777">
            <v>9000</v>
          </cell>
          <cell r="N777">
            <v>50</v>
          </cell>
          <cell r="O777">
            <v>4500</v>
          </cell>
          <cell r="P777">
            <v>-68.613753174370132</v>
          </cell>
          <cell r="Q777" t="str">
            <v>总工办</v>
          </cell>
        </row>
        <row r="778">
          <cell r="B778" t="str">
            <v>001-0010556</v>
          </cell>
          <cell r="C778" t="str">
            <v>打印机</v>
          </cell>
          <cell r="D778" t="str">
            <v>EPSON stylus 1000</v>
          </cell>
          <cell r="F778" t="str">
            <v>台</v>
          </cell>
          <cell r="G778" t="str">
            <v>199912</v>
          </cell>
          <cell r="H778" t="str">
            <v>199912</v>
          </cell>
          <cell r="I778">
            <v>6000</v>
          </cell>
          <cell r="J778">
            <v>4650</v>
          </cell>
          <cell r="K778">
            <v>6000</v>
          </cell>
          <cell r="L778">
            <v>4650</v>
          </cell>
          <cell r="M778">
            <v>4800</v>
          </cell>
          <cell r="N778">
            <v>60</v>
          </cell>
          <cell r="O778">
            <v>2880</v>
          </cell>
          <cell r="P778">
            <v>-38.064516129032256</v>
          </cell>
          <cell r="Q778" t="str">
            <v>总工办</v>
          </cell>
        </row>
        <row r="779">
          <cell r="B779" t="str">
            <v>001-0010557</v>
          </cell>
          <cell r="C779" t="str">
            <v>打印机</v>
          </cell>
          <cell r="D779" t="str">
            <v>EPSON stylus 1000</v>
          </cell>
          <cell r="F779" t="str">
            <v>台</v>
          </cell>
          <cell r="G779" t="str">
            <v>199912</v>
          </cell>
          <cell r="H779" t="str">
            <v>199912</v>
          </cell>
          <cell r="I779">
            <v>6000</v>
          </cell>
          <cell r="J779">
            <v>4650</v>
          </cell>
          <cell r="K779">
            <v>6000</v>
          </cell>
          <cell r="L779">
            <v>4650</v>
          </cell>
          <cell r="M779">
            <v>4800</v>
          </cell>
          <cell r="N779">
            <v>60</v>
          </cell>
          <cell r="O779">
            <v>2880</v>
          </cell>
          <cell r="P779">
            <v>-38.064516129032256</v>
          </cell>
          <cell r="Q779" t="str">
            <v>总工办</v>
          </cell>
        </row>
        <row r="780">
          <cell r="B780" t="str">
            <v>001-0010558</v>
          </cell>
          <cell r="C780" t="str">
            <v>打印机</v>
          </cell>
          <cell r="D780" t="str">
            <v>EPSON stylus 1000</v>
          </cell>
          <cell r="F780" t="str">
            <v>台</v>
          </cell>
          <cell r="G780" t="str">
            <v>199912</v>
          </cell>
          <cell r="H780" t="str">
            <v>199912</v>
          </cell>
          <cell r="I780">
            <v>6000</v>
          </cell>
          <cell r="J780">
            <v>4650</v>
          </cell>
          <cell r="K780">
            <v>6000</v>
          </cell>
          <cell r="L780">
            <v>4650</v>
          </cell>
          <cell r="M780">
            <v>4800</v>
          </cell>
          <cell r="N780">
            <v>60</v>
          </cell>
          <cell r="O780">
            <v>2880</v>
          </cell>
          <cell r="P780">
            <v>-38.064516129032256</v>
          </cell>
          <cell r="Q780" t="str">
            <v>总工办</v>
          </cell>
        </row>
        <row r="781">
          <cell r="B781" t="str">
            <v>001-0010559</v>
          </cell>
          <cell r="C781" t="str">
            <v>打印机</v>
          </cell>
          <cell r="D781" t="str">
            <v>EPSON stylus 1000</v>
          </cell>
          <cell r="F781" t="str">
            <v>台</v>
          </cell>
          <cell r="G781" t="str">
            <v>199912</v>
          </cell>
          <cell r="H781" t="str">
            <v>199912</v>
          </cell>
          <cell r="I781">
            <v>6000</v>
          </cell>
          <cell r="J781">
            <v>4650</v>
          </cell>
          <cell r="K781">
            <v>6000</v>
          </cell>
          <cell r="L781">
            <v>4650</v>
          </cell>
          <cell r="M781">
            <v>4800</v>
          </cell>
          <cell r="N781">
            <v>60</v>
          </cell>
          <cell r="O781">
            <v>2880</v>
          </cell>
          <cell r="P781">
            <v>-38.064516129032256</v>
          </cell>
          <cell r="Q781" t="str">
            <v>总工办</v>
          </cell>
        </row>
        <row r="782">
          <cell r="B782" t="str">
            <v>001-0010560</v>
          </cell>
          <cell r="C782" t="str">
            <v>打印机</v>
          </cell>
          <cell r="D782" t="str">
            <v>EPSON stylus 1000</v>
          </cell>
          <cell r="F782" t="str">
            <v>台</v>
          </cell>
          <cell r="G782" t="str">
            <v>199912</v>
          </cell>
          <cell r="H782" t="str">
            <v>199912</v>
          </cell>
          <cell r="I782">
            <v>6000</v>
          </cell>
          <cell r="J782">
            <v>4650</v>
          </cell>
          <cell r="K782">
            <v>6000</v>
          </cell>
          <cell r="L782">
            <v>4650</v>
          </cell>
          <cell r="M782">
            <v>4800</v>
          </cell>
          <cell r="N782">
            <v>60</v>
          </cell>
          <cell r="O782">
            <v>2880</v>
          </cell>
          <cell r="P782">
            <v>-38.064516129032256</v>
          </cell>
          <cell r="Q782" t="str">
            <v>总工办</v>
          </cell>
        </row>
        <row r="783">
          <cell r="B783" t="str">
            <v>001-0010561</v>
          </cell>
          <cell r="C783" t="str">
            <v>打印机</v>
          </cell>
          <cell r="D783" t="str">
            <v>EPSON stylus 1000</v>
          </cell>
          <cell r="F783" t="str">
            <v>台</v>
          </cell>
          <cell r="G783" t="str">
            <v>199912</v>
          </cell>
          <cell r="H783" t="str">
            <v>199912</v>
          </cell>
          <cell r="I783">
            <v>6000</v>
          </cell>
          <cell r="J783">
            <v>4650</v>
          </cell>
          <cell r="K783">
            <v>6000</v>
          </cell>
          <cell r="L783">
            <v>4650</v>
          </cell>
          <cell r="M783">
            <v>4800</v>
          </cell>
          <cell r="N783">
            <v>60</v>
          </cell>
          <cell r="O783">
            <v>2880</v>
          </cell>
          <cell r="P783">
            <v>-38.064516129032256</v>
          </cell>
          <cell r="Q783" t="str">
            <v>总工办</v>
          </cell>
        </row>
        <row r="784">
          <cell r="B784" t="str">
            <v>001-0010562</v>
          </cell>
          <cell r="C784" t="str">
            <v>打印机</v>
          </cell>
          <cell r="D784" t="str">
            <v>EPSON stylus 1000</v>
          </cell>
          <cell r="F784" t="str">
            <v>台</v>
          </cell>
          <cell r="G784" t="str">
            <v>199912</v>
          </cell>
          <cell r="H784" t="str">
            <v>199912</v>
          </cell>
          <cell r="I784">
            <v>6000</v>
          </cell>
          <cell r="J784">
            <v>4650</v>
          </cell>
          <cell r="K784">
            <v>6000</v>
          </cell>
          <cell r="L784">
            <v>4650</v>
          </cell>
          <cell r="M784">
            <v>4800</v>
          </cell>
          <cell r="N784">
            <v>60</v>
          </cell>
          <cell r="O784">
            <v>2880</v>
          </cell>
          <cell r="P784">
            <v>-38.064516129032256</v>
          </cell>
          <cell r="Q784" t="str">
            <v>总工办</v>
          </cell>
        </row>
        <row r="785">
          <cell r="B785" t="str">
            <v>001-0010563</v>
          </cell>
          <cell r="C785" t="str">
            <v>打印机</v>
          </cell>
          <cell r="D785" t="str">
            <v>EPSON stylus 1000</v>
          </cell>
          <cell r="F785" t="str">
            <v>台</v>
          </cell>
          <cell r="G785" t="str">
            <v>199912</v>
          </cell>
          <cell r="H785" t="str">
            <v>199912</v>
          </cell>
          <cell r="I785">
            <v>6000</v>
          </cell>
          <cell r="J785">
            <v>4650</v>
          </cell>
          <cell r="K785">
            <v>6000</v>
          </cell>
          <cell r="L785">
            <v>4650</v>
          </cell>
          <cell r="M785">
            <v>4800</v>
          </cell>
          <cell r="N785">
            <v>60</v>
          </cell>
          <cell r="O785">
            <v>2880</v>
          </cell>
          <cell r="P785">
            <v>-38.064516129032256</v>
          </cell>
          <cell r="Q785" t="str">
            <v>总工办</v>
          </cell>
        </row>
        <row r="786">
          <cell r="B786" t="str">
            <v>001-0010564</v>
          </cell>
          <cell r="C786" t="str">
            <v>打印机</v>
          </cell>
          <cell r="D786" t="str">
            <v>EPSON stylus 1000</v>
          </cell>
          <cell r="F786" t="str">
            <v>台</v>
          </cell>
          <cell r="G786" t="str">
            <v>199912</v>
          </cell>
          <cell r="H786" t="str">
            <v>199912</v>
          </cell>
          <cell r="I786">
            <v>6000</v>
          </cell>
          <cell r="J786">
            <v>4650</v>
          </cell>
          <cell r="K786">
            <v>6000</v>
          </cell>
          <cell r="L786">
            <v>4650</v>
          </cell>
          <cell r="M786">
            <v>4800</v>
          </cell>
          <cell r="N786">
            <v>60</v>
          </cell>
          <cell r="O786">
            <v>2880</v>
          </cell>
          <cell r="P786">
            <v>-38.064516129032256</v>
          </cell>
          <cell r="Q786" t="str">
            <v>总工办</v>
          </cell>
        </row>
        <row r="787">
          <cell r="B787" t="str">
            <v>001-0010565</v>
          </cell>
          <cell r="C787" t="str">
            <v>打印机</v>
          </cell>
          <cell r="D787" t="str">
            <v>EPSON stylus 1000</v>
          </cell>
          <cell r="F787" t="str">
            <v>台</v>
          </cell>
          <cell r="G787" t="str">
            <v>199912</v>
          </cell>
          <cell r="H787" t="str">
            <v>199912</v>
          </cell>
          <cell r="I787">
            <v>6000</v>
          </cell>
          <cell r="J787">
            <v>4650</v>
          </cell>
          <cell r="K787">
            <v>6000</v>
          </cell>
          <cell r="L787">
            <v>4650</v>
          </cell>
          <cell r="M787">
            <v>4800</v>
          </cell>
          <cell r="N787">
            <v>60</v>
          </cell>
          <cell r="O787">
            <v>2880</v>
          </cell>
          <cell r="P787">
            <v>-38.064516129032256</v>
          </cell>
          <cell r="Q787" t="str">
            <v>总工办</v>
          </cell>
        </row>
        <row r="788">
          <cell r="B788" t="str">
            <v>001-0010566</v>
          </cell>
          <cell r="C788" t="str">
            <v>打印机</v>
          </cell>
          <cell r="D788" t="str">
            <v>EPSON stylus 1000</v>
          </cell>
          <cell r="F788" t="str">
            <v>台</v>
          </cell>
          <cell r="G788" t="str">
            <v>199912</v>
          </cell>
          <cell r="H788" t="str">
            <v>199912</v>
          </cell>
          <cell r="I788">
            <v>6000</v>
          </cell>
          <cell r="J788">
            <v>4650</v>
          </cell>
          <cell r="K788">
            <v>6000</v>
          </cell>
          <cell r="L788">
            <v>4650</v>
          </cell>
          <cell r="M788">
            <v>4800</v>
          </cell>
          <cell r="N788">
            <v>60</v>
          </cell>
          <cell r="O788">
            <v>2880</v>
          </cell>
          <cell r="P788">
            <v>-38.064516129032256</v>
          </cell>
          <cell r="Q788" t="str">
            <v>总工办</v>
          </cell>
        </row>
        <row r="789">
          <cell r="B789" t="str">
            <v>001-0010567</v>
          </cell>
          <cell r="C789" t="str">
            <v>打印机</v>
          </cell>
          <cell r="D789" t="str">
            <v>EPSON LQ-1600K（进口）</v>
          </cell>
          <cell r="F789" t="str">
            <v>台</v>
          </cell>
          <cell r="G789" t="str">
            <v>199912</v>
          </cell>
          <cell r="H789" t="str">
            <v>199912</v>
          </cell>
          <cell r="I789">
            <v>4800</v>
          </cell>
          <cell r="J789">
            <v>3720</v>
          </cell>
          <cell r="K789">
            <v>4800</v>
          </cell>
          <cell r="L789">
            <v>3720</v>
          </cell>
          <cell r="M789">
            <v>3200</v>
          </cell>
          <cell r="N789">
            <v>60</v>
          </cell>
          <cell r="O789">
            <v>1920</v>
          </cell>
          <cell r="P789">
            <v>-48.387096774193552</v>
          </cell>
          <cell r="Q789" t="str">
            <v>总工办</v>
          </cell>
        </row>
        <row r="790">
          <cell r="B790" t="str">
            <v>001-0010568</v>
          </cell>
          <cell r="C790" t="str">
            <v>打印机</v>
          </cell>
          <cell r="D790" t="str">
            <v>EPSON LQ-1600K（进口）</v>
          </cell>
          <cell r="F790" t="str">
            <v>台</v>
          </cell>
          <cell r="G790" t="str">
            <v>199912</v>
          </cell>
          <cell r="H790" t="str">
            <v>199912</v>
          </cell>
          <cell r="I790">
            <v>4800</v>
          </cell>
          <cell r="J790">
            <v>3720</v>
          </cell>
          <cell r="K790">
            <v>4800</v>
          </cell>
          <cell r="L790">
            <v>3720</v>
          </cell>
          <cell r="M790">
            <v>3200</v>
          </cell>
          <cell r="N790">
            <v>60</v>
          </cell>
          <cell r="O790">
            <v>1920</v>
          </cell>
          <cell r="P790">
            <v>-48.387096774193552</v>
          </cell>
          <cell r="Q790" t="str">
            <v>总工办</v>
          </cell>
        </row>
        <row r="791">
          <cell r="B791" t="str">
            <v>001-0010569</v>
          </cell>
          <cell r="C791" t="str">
            <v>打印机</v>
          </cell>
          <cell r="D791" t="str">
            <v>EPSON LQ-1600K（进口）</v>
          </cell>
          <cell r="F791" t="str">
            <v>台</v>
          </cell>
          <cell r="G791" t="str">
            <v>199912</v>
          </cell>
          <cell r="H791" t="str">
            <v>199912</v>
          </cell>
          <cell r="I791">
            <v>4800</v>
          </cell>
          <cell r="J791">
            <v>3720</v>
          </cell>
          <cell r="K791">
            <v>4800</v>
          </cell>
          <cell r="L791">
            <v>3720</v>
          </cell>
          <cell r="M791">
            <v>3200</v>
          </cell>
          <cell r="N791">
            <v>60</v>
          </cell>
          <cell r="O791">
            <v>1920</v>
          </cell>
          <cell r="P791">
            <v>-48.387096774193552</v>
          </cell>
          <cell r="Q791" t="str">
            <v>总工办</v>
          </cell>
        </row>
        <row r="792">
          <cell r="B792" t="str">
            <v>001-0010570</v>
          </cell>
          <cell r="C792" t="str">
            <v>打印机</v>
          </cell>
          <cell r="D792" t="str">
            <v>EPSON LQ-1600K（进口）</v>
          </cell>
          <cell r="F792" t="str">
            <v>台</v>
          </cell>
          <cell r="G792" t="str">
            <v>199912</v>
          </cell>
          <cell r="H792" t="str">
            <v>199912</v>
          </cell>
          <cell r="I792">
            <v>4800</v>
          </cell>
          <cell r="J792">
            <v>3720</v>
          </cell>
          <cell r="K792">
            <v>4800</v>
          </cell>
          <cell r="L792">
            <v>3720</v>
          </cell>
          <cell r="M792">
            <v>3200</v>
          </cell>
          <cell r="N792">
            <v>60</v>
          </cell>
          <cell r="O792">
            <v>1920</v>
          </cell>
          <cell r="P792">
            <v>-48.387096774193552</v>
          </cell>
          <cell r="Q792" t="str">
            <v>总工办</v>
          </cell>
        </row>
        <row r="793">
          <cell r="B793" t="str">
            <v>001-0010571</v>
          </cell>
          <cell r="C793" t="str">
            <v>打印机</v>
          </cell>
          <cell r="D793" t="str">
            <v>EPSON LQ-1600K（进口）</v>
          </cell>
          <cell r="F793" t="str">
            <v>台</v>
          </cell>
          <cell r="G793" t="str">
            <v>199912</v>
          </cell>
          <cell r="H793" t="str">
            <v>199912</v>
          </cell>
          <cell r="I793">
            <v>4800</v>
          </cell>
          <cell r="J793">
            <v>3720</v>
          </cell>
          <cell r="K793">
            <v>4800</v>
          </cell>
          <cell r="L793">
            <v>3720</v>
          </cell>
          <cell r="M793">
            <v>3200</v>
          </cell>
          <cell r="N793">
            <v>60</v>
          </cell>
          <cell r="O793">
            <v>1920</v>
          </cell>
          <cell r="P793">
            <v>-48.387096774193552</v>
          </cell>
          <cell r="Q793" t="str">
            <v>总工办</v>
          </cell>
        </row>
        <row r="794">
          <cell r="B794" t="str">
            <v>001-0010572</v>
          </cell>
          <cell r="C794" t="str">
            <v>打印机</v>
          </cell>
          <cell r="D794" t="str">
            <v>EPSON LQ-1600K（进口）</v>
          </cell>
          <cell r="F794" t="str">
            <v>台</v>
          </cell>
          <cell r="G794" t="str">
            <v>199912</v>
          </cell>
          <cell r="H794" t="str">
            <v>199912</v>
          </cell>
          <cell r="I794">
            <v>4800</v>
          </cell>
          <cell r="J794">
            <v>3720</v>
          </cell>
          <cell r="K794">
            <v>4800</v>
          </cell>
          <cell r="L794">
            <v>3720</v>
          </cell>
          <cell r="M794">
            <v>3200</v>
          </cell>
          <cell r="N794">
            <v>60</v>
          </cell>
          <cell r="O794">
            <v>1920</v>
          </cell>
          <cell r="P794">
            <v>-48.387096774193552</v>
          </cell>
          <cell r="Q794" t="str">
            <v>总工办</v>
          </cell>
        </row>
        <row r="795">
          <cell r="B795" t="str">
            <v>001-0010573</v>
          </cell>
          <cell r="C795" t="str">
            <v>打印机</v>
          </cell>
          <cell r="D795" t="str">
            <v>EPSON LQ-1600K（进口）</v>
          </cell>
          <cell r="F795" t="str">
            <v>台</v>
          </cell>
          <cell r="G795" t="str">
            <v>199912</v>
          </cell>
          <cell r="H795" t="str">
            <v>199912</v>
          </cell>
          <cell r="I795">
            <v>4800</v>
          </cell>
          <cell r="J795">
            <v>3720</v>
          </cell>
          <cell r="K795">
            <v>4800</v>
          </cell>
          <cell r="L795">
            <v>3720</v>
          </cell>
          <cell r="M795">
            <v>3200</v>
          </cell>
          <cell r="N795">
            <v>60</v>
          </cell>
          <cell r="O795">
            <v>1920</v>
          </cell>
          <cell r="P795">
            <v>-48.387096774193552</v>
          </cell>
          <cell r="Q795" t="str">
            <v>总工办</v>
          </cell>
        </row>
        <row r="796">
          <cell r="B796" t="str">
            <v>001-0010574</v>
          </cell>
          <cell r="C796" t="str">
            <v>不间断电源</v>
          </cell>
          <cell r="D796" t="str">
            <v>SANTAK UPS-500W</v>
          </cell>
          <cell r="F796" t="str">
            <v>台</v>
          </cell>
          <cell r="G796" t="str">
            <v>199912</v>
          </cell>
          <cell r="H796" t="str">
            <v>199912</v>
          </cell>
          <cell r="I796">
            <v>1200</v>
          </cell>
          <cell r="J796">
            <v>930</v>
          </cell>
          <cell r="K796">
            <v>1200</v>
          </cell>
          <cell r="L796">
            <v>930</v>
          </cell>
          <cell r="M796">
            <v>1000</v>
          </cell>
          <cell r="N796">
            <v>80</v>
          </cell>
          <cell r="O796">
            <v>800</v>
          </cell>
          <cell r="P796">
            <v>-13.978494623655912</v>
          </cell>
          <cell r="Q796" t="str">
            <v>总工办</v>
          </cell>
        </row>
        <row r="797">
          <cell r="B797" t="str">
            <v>001-0010575</v>
          </cell>
          <cell r="C797" t="str">
            <v>不间断电源</v>
          </cell>
          <cell r="D797" t="str">
            <v>SANTAK UPS-500W</v>
          </cell>
          <cell r="F797" t="str">
            <v>台</v>
          </cell>
          <cell r="G797" t="str">
            <v>199912</v>
          </cell>
          <cell r="H797" t="str">
            <v>199912</v>
          </cell>
          <cell r="I797">
            <v>1200</v>
          </cell>
          <cell r="J797">
            <v>930</v>
          </cell>
          <cell r="K797">
            <v>1200</v>
          </cell>
          <cell r="L797">
            <v>930</v>
          </cell>
          <cell r="M797">
            <v>1000</v>
          </cell>
          <cell r="N797">
            <v>80</v>
          </cell>
          <cell r="O797">
            <v>800</v>
          </cell>
          <cell r="P797">
            <v>-13.978494623655912</v>
          </cell>
          <cell r="Q797" t="str">
            <v>总工办</v>
          </cell>
        </row>
        <row r="798">
          <cell r="B798" t="str">
            <v>001-0010576</v>
          </cell>
          <cell r="C798" t="str">
            <v>不间断电源</v>
          </cell>
          <cell r="D798" t="str">
            <v>SANTAK UPS-500W</v>
          </cell>
          <cell r="F798" t="str">
            <v>台</v>
          </cell>
          <cell r="G798" t="str">
            <v>199912</v>
          </cell>
          <cell r="H798" t="str">
            <v>199912</v>
          </cell>
          <cell r="I798">
            <v>1200</v>
          </cell>
          <cell r="J798">
            <v>930</v>
          </cell>
          <cell r="K798">
            <v>1200</v>
          </cell>
          <cell r="L798">
            <v>930</v>
          </cell>
          <cell r="M798">
            <v>1000</v>
          </cell>
          <cell r="N798">
            <v>80</v>
          </cell>
          <cell r="O798">
            <v>800</v>
          </cell>
          <cell r="P798">
            <v>-13.978494623655912</v>
          </cell>
          <cell r="Q798" t="str">
            <v>总工办</v>
          </cell>
        </row>
        <row r="799">
          <cell r="B799" t="str">
            <v>001-0010577</v>
          </cell>
          <cell r="C799" t="str">
            <v>不间断电源</v>
          </cell>
          <cell r="D799" t="str">
            <v>SANTAK UPS-500W</v>
          </cell>
          <cell r="F799" t="str">
            <v>台</v>
          </cell>
          <cell r="G799" t="str">
            <v>199912</v>
          </cell>
          <cell r="H799" t="str">
            <v>199912</v>
          </cell>
          <cell r="I799">
            <v>1200</v>
          </cell>
          <cell r="J799">
            <v>930</v>
          </cell>
          <cell r="K799">
            <v>1200</v>
          </cell>
          <cell r="L799">
            <v>930</v>
          </cell>
          <cell r="M799">
            <v>1000</v>
          </cell>
          <cell r="N799">
            <v>80</v>
          </cell>
          <cell r="O799">
            <v>800</v>
          </cell>
          <cell r="P799">
            <v>-13.978494623655912</v>
          </cell>
          <cell r="Q799" t="str">
            <v>总工办</v>
          </cell>
        </row>
        <row r="800">
          <cell r="B800" t="str">
            <v>001-0010578</v>
          </cell>
          <cell r="C800" t="str">
            <v>不间断电源</v>
          </cell>
          <cell r="D800" t="str">
            <v>SANTAK UPS-500W</v>
          </cell>
          <cell r="F800" t="str">
            <v>台</v>
          </cell>
          <cell r="G800" t="str">
            <v>199912</v>
          </cell>
          <cell r="H800" t="str">
            <v>199912</v>
          </cell>
          <cell r="I800">
            <v>1200</v>
          </cell>
          <cell r="J800">
            <v>930</v>
          </cell>
          <cell r="K800">
            <v>1200</v>
          </cell>
          <cell r="L800">
            <v>930</v>
          </cell>
          <cell r="M800">
            <v>1000</v>
          </cell>
          <cell r="N800">
            <v>80</v>
          </cell>
          <cell r="O800">
            <v>800</v>
          </cell>
          <cell r="P800">
            <v>-13.978494623655912</v>
          </cell>
          <cell r="Q800" t="str">
            <v>总工办</v>
          </cell>
        </row>
        <row r="801">
          <cell r="B801" t="str">
            <v>001-0010579</v>
          </cell>
          <cell r="C801" t="str">
            <v>不间断电源</v>
          </cell>
          <cell r="D801" t="str">
            <v>SANTAK UPS-500W</v>
          </cell>
          <cell r="F801" t="str">
            <v>台</v>
          </cell>
          <cell r="G801" t="str">
            <v>199912</v>
          </cell>
          <cell r="H801" t="str">
            <v>199912</v>
          </cell>
          <cell r="I801">
            <v>1200</v>
          </cell>
          <cell r="J801">
            <v>930</v>
          </cell>
          <cell r="K801">
            <v>1200</v>
          </cell>
          <cell r="L801">
            <v>930</v>
          </cell>
          <cell r="M801">
            <v>1000</v>
          </cell>
          <cell r="N801">
            <v>80</v>
          </cell>
          <cell r="O801">
            <v>800</v>
          </cell>
          <cell r="P801">
            <v>-13.978494623655912</v>
          </cell>
          <cell r="Q801" t="str">
            <v>总工办</v>
          </cell>
        </row>
        <row r="802">
          <cell r="B802" t="str">
            <v>001-0010580</v>
          </cell>
          <cell r="C802" t="str">
            <v>不间断电源</v>
          </cell>
          <cell r="D802" t="str">
            <v>SANTAK UPS-500W</v>
          </cell>
          <cell r="F802" t="str">
            <v>台</v>
          </cell>
          <cell r="G802" t="str">
            <v>199912</v>
          </cell>
          <cell r="H802" t="str">
            <v>199912</v>
          </cell>
          <cell r="I802">
            <v>1200</v>
          </cell>
          <cell r="J802">
            <v>930</v>
          </cell>
          <cell r="K802">
            <v>1200</v>
          </cell>
          <cell r="L802">
            <v>930</v>
          </cell>
          <cell r="M802">
            <v>1000</v>
          </cell>
          <cell r="N802">
            <v>80</v>
          </cell>
          <cell r="O802">
            <v>800</v>
          </cell>
          <cell r="P802">
            <v>-13.978494623655912</v>
          </cell>
          <cell r="Q802" t="str">
            <v>总工办</v>
          </cell>
        </row>
        <row r="803">
          <cell r="B803" t="str">
            <v>001-0010581</v>
          </cell>
          <cell r="C803" t="str">
            <v>不间断电源</v>
          </cell>
          <cell r="D803" t="str">
            <v>SANTAK UPS-500W</v>
          </cell>
          <cell r="F803" t="str">
            <v>台</v>
          </cell>
          <cell r="G803" t="str">
            <v>199912</v>
          </cell>
          <cell r="H803" t="str">
            <v>199912</v>
          </cell>
          <cell r="I803">
            <v>1200</v>
          </cell>
          <cell r="J803">
            <v>930</v>
          </cell>
          <cell r="K803">
            <v>1200</v>
          </cell>
          <cell r="L803">
            <v>930</v>
          </cell>
          <cell r="M803">
            <v>1000</v>
          </cell>
          <cell r="N803">
            <v>80</v>
          </cell>
          <cell r="O803">
            <v>800</v>
          </cell>
          <cell r="P803">
            <v>-13.978494623655912</v>
          </cell>
          <cell r="Q803" t="str">
            <v>总工办</v>
          </cell>
        </row>
        <row r="804">
          <cell r="B804" t="str">
            <v>001-0010582</v>
          </cell>
          <cell r="C804" t="str">
            <v>不间断电源</v>
          </cell>
          <cell r="D804" t="str">
            <v>SANTAK UPS-500W</v>
          </cell>
          <cell r="F804" t="str">
            <v>台</v>
          </cell>
          <cell r="G804" t="str">
            <v>199912</v>
          </cell>
          <cell r="H804" t="str">
            <v>199912</v>
          </cell>
          <cell r="I804">
            <v>1200</v>
          </cell>
          <cell r="J804">
            <v>930</v>
          </cell>
          <cell r="K804">
            <v>1200</v>
          </cell>
          <cell r="L804">
            <v>930</v>
          </cell>
          <cell r="M804">
            <v>1000</v>
          </cell>
          <cell r="N804">
            <v>80</v>
          </cell>
          <cell r="O804">
            <v>800</v>
          </cell>
          <cell r="P804">
            <v>-13.978494623655912</v>
          </cell>
          <cell r="Q804" t="str">
            <v>总工办</v>
          </cell>
        </row>
        <row r="805">
          <cell r="B805" t="str">
            <v>001-0010583</v>
          </cell>
          <cell r="C805" t="str">
            <v>不间断电源</v>
          </cell>
          <cell r="D805" t="str">
            <v>SANTAK UPS-500W</v>
          </cell>
          <cell r="F805" t="str">
            <v>台</v>
          </cell>
          <cell r="G805" t="str">
            <v>199912</v>
          </cell>
          <cell r="H805" t="str">
            <v>199912</v>
          </cell>
          <cell r="I805">
            <v>1200</v>
          </cell>
          <cell r="J805">
            <v>930</v>
          </cell>
          <cell r="K805">
            <v>1200</v>
          </cell>
          <cell r="L805">
            <v>930</v>
          </cell>
          <cell r="M805">
            <v>1000</v>
          </cell>
          <cell r="N805">
            <v>80</v>
          </cell>
          <cell r="O805">
            <v>800</v>
          </cell>
          <cell r="P805">
            <v>-13.978494623655912</v>
          </cell>
          <cell r="Q805" t="str">
            <v>总工办</v>
          </cell>
        </row>
        <row r="806">
          <cell r="B806" t="str">
            <v>001-0010587</v>
          </cell>
          <cell r="C806" t="str">
            <v>计算机</v>
          </cell>
          <cell r="D806" t="str">
            <v>COMPAQ   pl4/25s/4/120</v>
          </cell>
          <cell r="F806" t="str">
            <v>台</v>
          </cell>
          <cell r="G806" t="str">
            <v>199912</v>
          </cell>
          <cell r="H806" t="str">
            <v>199912</v>
          </cell>
          <cell r="I806">
            <v>14000</v>
          </cell>
          <cell r="J806">
            <v>10849.99</v>
          </cell>
          <cell r="K806">
            <v>14000</v>
          </cell>
          <cell r="L806">
            <v>10849.99</v>
          </cell>
          <cell r="M806">
            <v>6500</v>
          </cell>
          <cell r="N806">
            <v>50</v>
          </cell>
          <cell r="O806">
            <v>3250</v>
          </cell>
          <cell r="P806">
            <v>-70.046055341986488</v>
          </cell>
          <cell r="Q806" t="str">
            <v>总工办</v>
          </cell>
        </row>
        <row r="807">
          <cell r="B807" t="str">
            <v>001-0010588</v>
          </cell>
          <cell r="C807" t="str">
            <v>计算机</v>
          </cell>
          <cell r="D807" t="str">
            <v>COMPAQ   pl4/25s/4/120</v>
          </cell>
          <cell r="F807" t="str">
            <v>台</v>
          </cell>
          <cell r="G807" t="str">
            <v>199912</v>
          </cell>
          <cell r="H807" t="str">
            <v>199912</v>
          </cell>
          <cell r="I807">
            <v>14000</v>
          </cell>
          <cell r="J807">
            <v>10849.99</v>
          </cell>
          <cell r="K807">
            <v>14000</v>
          </cell>
          <cell r="L807">
            <v>10849.99</v>
          </cell>
          <cell r="M807">
            <v>6500</v>
          </cell>
          <cell r="N807">
            <v>50</v>
          </cell>
          <cell r="O807">
            <v>3250</v>
          </cell>
          <cell r="P807">
            <v>-70.046055341986488</v>
          </cell>
          <cell r="Q807" t="str">
            <v>总工办</v>
          </cell>
        </row>
        <row r="808">
          <cell r="B808" t="str">
            <v>001-0010589</v>
          </cell>
          <cell r="C808" t="str">
            <v>计算机</v>
          </cell>
          <cell r="D808" t="str">
            <v>COMPAQ   pl4/25s/4/120</v>
          </cell>
          <cell r="F808" t="str">
            <v>台</v>
          </cell>
          <cell r="G808" t="str">
            <v>199912</v>
          </cell>
          <cell r="H808" t="str">
            <v>199912</v>
          </cell>
          <cell r="I808">
            <v>14000</v>
          </cell>
          <cell r="J808">
            <v>10849.99</v>
          </cell>
          <cell r="K808">
            <v>14000</v>
          </cell>
          <cell r="L808">
            <v>10849.99</v>
          </cell>
          <cell r="M808">
            <v>6500</v>
          </cell>
          <cell r="N808">
            <v>50</v>
          </cell>
          <cell r="O808">
            <v>3250</v>
          </cell>
          <cell r="P808">
            <v>-70.046055341986488</v>
          </cell>
          <cell r="Q808" t="str">
            <v>总工办</v>
          </cell>
        </row>
        <row r="809">
          <cell r="B809" t="str">
            <v>001-0010590</v>
          </cell>
          <cell r="C809" t="str">
            <v>计算机</v>
          </cell>
          <cell r="D809" t="str">
            <v>COMPAQ   pl4/25s/4/120</v>
          </cell>
          <cell r="F809" t="str">
            <v>台</v>
          </cell>
          <cell r="G809" t="str">
            <v>199912</v>
          </cell>
          <cell r="H809" t="str">
            <v>199912</v>
          </cell>
          <cell r="I809">
            <v>14000</v>
          </cell>
          <cell r="J809">
            <v>10849.99</v>
          </cell>
          <cell r="K809">
            <v>14000</v>
          </cell>
          <cell r="L809">
            <v>10849.99</v>
          </cell>
          <cell r="M809">
            <v>6500</v>
          </cell>
          <cell r="N809">
            <v>50</v>
          </cell>
          <cell r="O809">
            <v>3250</v>
          </cell>
          <cell r="P809">
            <v>-70.046055341986488</v>
          </cell>
          <cell r="Q809" t="str">
            <v>总工办</v>
          </cell>
        </row>
        <row r="810">
          <cell r="B810" t="str">
            <v>001-0010591</v>
          </cell>
          <cell r="C810" t="str">
            <v>计算机</v>
          </cell>
          <cell r="D810" t="str">
            <v>COMPAQ   pl4/25s/4/120</v>
          </cell>
          <cell r="F810" t="str">
            <v>台</v>
          </cell>
          <cell r="G810" t="str">
            <v>199912</v>
          </cell>
          <cell r="H810" t="str">
            <v>199912</v>
          </cell>
          <cell r="I810">
            <v>14000</v>
          </cell>
          <cell r="J810">
            <v>10849.99</v>
          </cell>
          <cell r="K810">
            <v>14000</v>
          </cell>
          <cell r="L810">
            <v>10849.99</v>
          </cell>
          <cell r="M810">
            <v>6500</v>
          </cell>
          <cell r="N810">
            <v>50</v>
          </cell>
          <cell r="O810">
            <v>3250</v>
          </cell>
          <cell r="P810">
            <v>-70.046055341986488</v>
          </cell>
          <cell r="Q810" t="str">
            <v>总工办</v>
          </cell>
        </row>
        <row r="811">
          <cell r="B811" t="str">
            <v>001-0010592</v>
          </cell>
          <cell r="C811" t="str">
            <v>速印机</v>
          </cell>
          <cell r="D811" t="str">
            <v>超霸550</v>
          </cell>
          <cell r="F811" t="str">
            <v>台</v>
          </cell>
          <cell r="G811" t="str">
            <v>199912</v>
          </cell>
          <cell r="H811" t="str">
            <v>199912</v>
          </cell>
          <cell r="I811">
            <v>14500</v>
          </cell>
          <cell r="J811">
            <v>11237.51</v>
          </cell>
          <cell r="K811">
            <v>14500</v>
          </cell>
          <cell r="L811">
            <v>11237.51</v>
          </cell>
          <cell r="M811">
            <v>14000</v>
          </cell>
          <cell r="N811">
            <v>75</v>
          </cell>
          <cell r="O811">
            <v>10500</v>
          </cell>
          <cell r="P811">
            <v>-6.5629307560126779</v>
          </cell>
          <cell r="Q811" t="str">
            <v>总工办</v>
          </cell>
        </row>
        <row r="812">
          <cell r="B812" t="str">
            <v>001-0010593</v>
          </cell>
          <cell r="C812" t="str">
            <v>速印机</v>
          </cell>
          <cell r="D812" t="str">
            <v>超霸550</v>
          </cell>
          <cell r="F812" t="str">
            <v>台</v>
          </cell>
          <cell r="G812" t="str">
            <v>199912</v>
          </cell>
          <cell r="H812" t="str">
            <v>199912</v>
          </cell>
          <cell r="I812">
            <v>14500</v>
          </cell>
          <cell r="J812">
            <v>11237.51</v>
          </cell>
          <cell r="K812">
            <v>14500</v>
          </cell>
          <cell r="L812">
            <v>11237.51</v>
          </cell>
          <cell r="M812">
            <v>14000</v>
          </cell>
          <cell r="N812">
            <v>75</v>
          </cell>
          <cell r="O812">
            <v>10500</v>
          </cell>
          <cell r="P812">
            <v>-6.5629307560126779</v>
          </cell>
          <cell r="Q812" t="str">
            <v>总工办</v>
          </cell>
        </row>
        <row r="813">
          <cell r="B813" t="str">
            <v>001-0010594</v>
          </cell>
          <cell r="C813" t="str">
            <v>复印机</v>
          </cell>
          <cell r="D813" t="str">
            <v>理光4495</v>
          </cell>
          <cell r="F813" t="str">
            <v>台</v>
          </cell>
          <cell r="G813" t="str">
            <v>199912</v>
          </cell>
          <cell r="H813" t="str">
            <v>199912</v>
          </cell>
          <cell r="I813">
            <v>38500</v>
          </cell>
          <cell r="J813">
            <v>29837.51</v>
          </cell>
          <cell r="K813">
            <v>38500</v>
          </cell>
          <cell r="L813">
            <v>29837.51</v>
          </cell>
          <cell r="M813">
            <v>32000</v>
          </cell>
          <cell r="N813">
            <v>60</v>
          </cell>
          <cell r="O813">
            <v>19200</v>
          </cell>
          <cell r="P813">
            <v>-35.65146689519333</v>
          </cell>
          <cell r="Q813" t="str">
            <v>总工办</v>
          </cell>
        </row>
        <row r="814">
          <cell r="B814" t="str">
            <v>001-0010598</v>
          </cell>
          <cell r="C814" t="str">
            <v>计算机</v>
          </cell>
          <cell r="D814" t="str">
            <v>AST B3/33S</v>
          </cell>
          <cell r="F814" t="str">
            <v>台</v>
          </cell>
          <cell r="G814" t="str">
            <v>199912</v>
          </cell>
          <cell r="H814" t="str">
            <v>199912</v>
          </cell>
          <cell r="I814">
            <v>16000</v>
          </cell>
          <cell r="J814">
            <v>12400.01</v>
          </cell>
          <cell r="K814">
            <v>16000</v>
          </cell>
          <cell r="L814">
            <v>12400.01</v>
          </cell>
          <cell r="M814">
            <v>12000</v>
          </cell>
          <cell r="N814">
            <v>50</v>
          </cell>
          <cell r="O814">
            <v>6000</v>
          </cell>
          <cell r="P814">
            <v>-51.612942247627224</v>
          </cell>
          <cell r="Q814" t="str">
            <v>总工办</v>
          </cell>
        </row>
        <row r="815">
          <cell r="B815" t="str">
            <v>001-0010599</v>
          </cell>
          <cell r="C815" t="str">
            <v>计算机</v>
          </cell>
          <cell r="D815" t="str">
            <v>AST B3/33S</v>
          </cell>
          <cell r="F815" t="str">
            <v>台</v>
          </cell>
          <cell r="G815" t="str">
            <v>199912</v>
          </cell>
          <cell r="H815" t="str">
            <v>199912</v>
          </cell>
          <cell r="I815">
            <v>16000</v>
          </cell>
          <cell r="J815">
            <v>12400.01</v>
          </cell>
          <cell r="K815">
            <v>16000</v>
          </cell>
          <cell r="L815">
            <v>12400.01</v>
          </cell>
          <cell r="M815">
            <v>12000</v>
          </cell>
          <cell r="N815">
            <v>50</v>
          </cell>
          <cell r="O815">
            <v>6000</v>
          </cell>
          <cell r="P815">
            <v>-51.612942247627224</v>
          </cell>
          <cell r="Q815" t="str">
            <v>总工办</v>
          </cell>
        </row>
        <row r="816">
          <cell r="B816" t="str">
            <v>001-0010600</v>
          </cell>
          <cell r="C816" t="str">
            <v>计算机</v>
          </cell>
          <cell r="D816" t="str">
            <v>AST B3/33S</v>
          </cell>
          <cell r="F816" t="str">
            <v>台</v>
          </cell>
          <cell r="G816" t="str">
            <v>199912</v>
          </cell>
          <cell r="H816" t="str">
            <v>199912</v>
          </cell>
          <cell r="I816">
            <v>16000</v>
          </cell>
          <cell r="J816">
            <v>12400.01</v>
          </cell>
          <cell r="K816">
            <v>16000</v>
          </cell>
          <cell r="L816">
            <v>12400.01</v>
          </cell>
          <cell r="M816">
            <v>12000</v>
          </cell>
          <cell r="N816">
            <v>50</v>
          </cell>
          <cell r="O816">
            <v>6000</v>
          </cell>
          <cell r="P816">
            <v>-51.612942247627224</v>
          </cell>
          <cell r="Q816" t="str">
            <v>总工办</v>
          </cell>
        </row>
        <row r="817">
          <cell r="B817" t="str">
            <v>001-0010601</v>
          </cell>
          <cell r="C817" t="str">
            <v>调制解调器</v>
          </cell>
          <cell r="D817" t="str">
            <v/>
          </cell>
          <cell r="F817" t="str">
            <v>台</v>
          </cell>
          <cell r="G817" t="str">
            <v>199912</v>
          </cell>
          <cell r="H817" t="str">
            <v>199912</v>
          </cell>
          <cell r="I817">
            <v>5000</v>
          </cell>
          <cell r="J817">
            <v>3874.99</v>
          </cell>
          <cell r="K817">
            <v>5000</v>
          </cell>
          <cell r="L817">
            <v>3874.99</v>
          </cell>
          <cell r="M817">
            <v>4500</v>
          </cell>
          <cell r="N817">
            <v>75</v>
          </cell>
          <cell r="O817">
            <v>3375</v>
          </cell>
          <cell r="P817">
            <v>-12.903001040002678</v>
          </cell>
          <cell r="Q817" t="str">
            <v>总工办</v>
          </cell>
        </row>
        <row r="818">
          <cell r="B818" t="str">
            <v>001-0010602</v>
          </cell>
          <cell r="C818" t="str">
            <v>调制解调器</v>
          </cell>
          <cell r="D818" t="str">
            <v/>
          </cell>
          <cell r="F818" t="str">
            <v>台</v>
          </cell>
          <cell r="G818" t="str">
            <v>199912</v>
          </cell>
          <cell r="H818" t="str">
            <v>199912</v>
          </cell>
          <cell r="I818">
            <v>5000</v>
          </cell>
          <cell r="J818">
            <v>3874.99</v>
          </cell>
          <cell r="K818">
            <v>5000</v>
          </cell>
          <cell r="L818">
            <v>3874.99</v>
          </cell>
          <cell r="M818">
            <v>4500</v>
          </cell>
          <cell r="N818">
            <v>75</v>
          </cell>
          <cell r="O818">
            <v>3375</v>
          </cell>
          <cell r="P818">
            <v>-12.903001040002678</v>
          </cell>
          <cell r="Q818" t="str">
            <v>总工办</v>
          </cell>
        </row>
        <row r="819">
          <cell r="B819" t="str">
            <v>001-0010604</v>
          </cell>
          <cell r="C819" t="str">
            <v>调制解调器</v>
          </cell>
          <cell r="D819" t="str">
            <v>MODEN 24C</v>
          </cell>
          <cell r="F819" t="str">
            <v>台</v>
          </cell>
          <cell r="G819" t="str">
            <v>199912</v>
          </cell>
          <cell r="H819" t="str">
            <v>199912</v>
          </cell>
          <cell r="I819">
            <v>4900</v>
          </cell>
          <cell r="J819">
            <v>3797.51</v>
          </cell>
          <cell r="K819">
            <v>4900</v>
          </cell>
          <cell r="L819">
            <v>3797.51</v>
          </cell>
          <cell r="M819">
            <v>4500</v>
          </cell>
          <cell r="N819">
            <v>75</v>
          </cell>
          <cell r="O819">
            <v>3375</v>
          </cell>
          <cell r="P819">
            <v>-11.125974651811324</v>
          </cell>
          <cell r="Q819" t="str">
            <v>总工办</v>
          </cell>
        </row>
        <row r="820">
          <cell r="B820" t="str">
            <v>001-0010605</v>
          </cell>
          <cell r="C820" t="str">
            <v>打印机</v>
          </cell>
          <cell r="D820" t="str">
            <v>LQ-1600</v>
          </cell>
          <cell r="F820" t="str">
            <v>台</v>
          </cell>
          <cell r="G820" t="str">
            <v>199912</v>
          </cell>
          <cell r="H820" t="str">
            <v>199912</v>
          </cell>
          <cell r="I820">
            <v>4500.01</v>
          </cell>
          <cell r="J820">
            <v>3487.51</v>
          </cell>
          <cell r="K820">
            <v>4500.01</v>
          </cell>
          <cell r="L820">
            <v>3487.51</v>
          </cell>
          <cell r="M820">
            <v>3200</v>
          </cell>
          <cell r="N820">
            <v>60</v>
          </cell>
          <cell r="O820">
            <v>1920</v>
          </cell>
          <cell r="P820">
            <v>-44.946394418940741</v>
          </cell>
          <cell r="Q820" t="str">
            <v>总工办</v>
          </cell>
        </row>
        <row r="821">
          <cell r="B821" t="str">
            <v>001-0010606</v>
          </cell>
          <cell r="C821" t="str">
            <v>打印机</v>
          </cell>
          <cell r="D821" t="str">
            <v>LQ-1600</v>
          </cell>
          <cell r="F821" t="str">
            <v>台</v>
          </cell>
          <cell r="G821" t="str">
            <v>199912</v>
          </cell>
          <cell r="H821" t="str">
            <v>199912</v>
          </cell>
          <cell r="I821">
            <v>4500.01</v>
          </cell>
          <cell r="J821">
            <v>3487.51</v>
          </cell>
          <cell r="K821">
            <v>4500.01</v>
          </cell>
          <cell r="L821">
            <v>3487.51</v>
          </cell>
          <cell r="M821">
            <v>3200</v>
          </cell>
          <cell r="N821">
            <v>60</v>
          </cell>
          <cell r="O821">
            <v>1920</v>
          </cell>
          <cell r="P821">
            <v>-44.946394418940741</v>
          </cell>
          <cell r="Q821" t="str">
            <v>总工办</v>
          </cell>
        </row>
        <row r="822">
          <cell r="B822" t="str">
            <v>001-0010607</v>
          </cell>
          <cell r="C822" t="str">
            <v>笔神919汉卡轻印刷系统</v>
          </cell>
          <cell r="D822" t="str">
            <v/>
          </cell>
          <cell r="F822" t="str">
            <v>台</v>
          </cell>
          <cell r="G822" t="str">
            <v>199912</v>
          </cell>
          <cell r="H822" t="str">
            <v>199912</v>
          </cell>
          <cell r="I822">
            <v>16500.04</v>
          </cell>
          <cell r="J822">
            <v>12787.54</v>
          </cell>
          <cell r="K822">
            <v>16500.04</v>
          </cell>
          <cell r="L822">
            <v>12787.54</v>
          </cell>
          <cell r="M822">
            <v>15000</v>
          </cell>
          <cell r="N822">
            <v>80</v>
          </cell>
          <cell r="O822">
            <v>12000</v>
          </cell>
          <cell r="P822">
            <v>-6.1586513121366639</v>
          </cell>
          <cell r="Q822" t="str">
            <v>总工办</v>
          </cell>
        </row>
        <row r="823">
          <cell r="B823" t="str">
            <v>001-0010608</v>
          </cell>
          <cell r="C823" t="str">
            <v>打印机</v>
          </cell>
          <cell r="D823" t="str">
            <v>佳能激光B4</v>
          </cell>
          <cell r="F823" t="str">
            <v>台</v>
          </cell>
          <cell r="G823" t="str">
            <v>199912</v>
          </cell>
          <cell r="H823" t="str">
            <v>199912</v>
          </cell>
          <cell r="I823">
            <v>14000</v>
          </cell>
          <cell r="J823">
            <v>10849.99</v>
          </cell>
          <cell r="K823">
            <v>14000</v>
          </cell>
          <cell r="L823">
            <v>10849.99</v>
          </cell>
          <cell r="M823">
            <v>12000</v>
          </cell>
          <cell r="N823">
            <v>60</v>
          </cell>
          <cell r="O823">
            <v>7200</v>
          </cell>
          <cell r="P823">
            <v>-33.640491834554688</v>
          </cell>
          <cell r="Q823" t="str">
            <v>总工办</v>
          </cell>
        </row>
        <row r="824">
          <cell r="B824" t="str">
            <v>001-0010609</v>
          </cell>
          <cell r="C824" t="str">
            <v>金山汉卡</v>
          </cell>
          <cell r="D824" t="str">
            <v>6.0NT</v>
          </cell>
          <cell r="F824" t="str">
            <v>台</v>
          </cell>
          <cell r="G824" t="str">
            <v>199912</v>
          </cell>
          <cell r="H824" t="str">
            <v>199912</v>
          </cell>
          <cell r="I824">
            <v>3200</v>
          </cell>
          <cell r="J824">
            <v>2479.9899999999998</v>
          </cell>
          <cell r="K824">
            <v>3200</v>
          </cell>
          <cell r="L824">
            <v>2479.9899999999998</v>
          </cell>
          <cell r="M824">
            <v>3000</v>
          </cell>
          <cell r="N824">
            <v>50</v>
          </cell>
          <cell r="O824">
            <v>1500</v>
          </cell>
          <cell r="P824">
            <v>-39.51588514469816</v>
          </cell>
          <cell r="Q824" t="str">
            <v>总工办</v>
          </cell>
        </row>
        <row r="825">
          <cell r="B825" t="str">
            <v>001-0010610</v>
          </cell>
          <cell r="C825" t="str">
            <v>金山汉卡</v>
          </cell>
          <cell r="D825" t="str">
            <v>6.0NT</v>
          </cell>
          <cell r="F825" t="str">
            <v>台</v>
          </cell>
          <cell r="G825" t="str">
            <v>199912</v>
          </cell>
          <cell r="H825" t="str">
            <v>199912</v>
          </cell>
          <cell r="I825">
            <v>3200</v>
          </cell>
          <cell r="J825">
            <v>2479.9899999999998</v>
          </cell>
          <cell r="K825">
            <v>3200</v>
          </cell>
          <cell r="L825">
            <v>2479.9899999999998</v>
          </cell>
          <cell r="M825">
            <v>3000</v>
          </cell>
          <cell r="N825">
            <v>50</v>
          </cell>
          <cell r="O825">
            <v>1500</v>
          </cell>
          <cell r="P825">
            <v>-39.51588514469816</v>
          </cell>
          <cell r="Q825" t="str">
            <v>总工办</v>
          </cell>
        </row>
        <row r="826">
          <cell r="B826" t="str">
            <v>001-0010611</v>
          </cell>
          <cell r="C826" t="str">
            <v>真彩色扫描仪</v>
          </cell>
          <cell r="D826" t="str">
            <v>HP 1600DPI</v>
          </cell>
          <cell r="F826" t="str">
            <v>台</v>
          </cell>
          <cell r="G826" t="str">
            <v>199912</v>
          </cell>
          <cell r="H826" t="str">
            <v>199912</v>
          </cell>
          <cell r="I826">
            <v>18500</v>
          </cell>
          <cell r="J826">
            <v>14337.49</v>
          </cell>
          <cell r="K826">
            <v>18500</v>
          </cell>
          <cell r="L826">
            <v>14337.49</v>
          </cell>
          <cell r="M826">
            <v>6500</v>
          </cell>
          <cell r="N826">
            <v>60</v>
          </cell>
          <cell r="O826">
            <v>3900</v>
          </cell>
          <cell r="P826">
            <v>-72.798586084454115</v>
          </cell>
          <cell r="Q826" t="str">
            <v>总工办</v>
          </cell>
        </row>
        <row r="827">
          <cell r="B827" t="str">
            <v>001-0010612</v>
          </cell>
          <cell r="C827" t="str">
            <v>网络终端机</v>
          </cell>
          <cell r="D827" t="str">
            <v>AST 4/133</v>
          </cell>
          <cell r="F827" t="str">
            <v>台</v>
          </cell>
          <cell r="G827" t="str">
            <v>199912</v>
          </cell>
          <cell r="H827" t="str">
            <v>199912</v>
          </cell>
          <cell r="I827">
            <v>23000</v>
          </cell>
          <cell r="J827">
            <v>17824.990000000002</v>
          </cell>
          <cell r="K827">
            <v>23000</v>
          </cell>
          <cell r="L827">
            <v>17824.990000000002</v>
          </cell>
          <cell r="M827">
            <v>6500</v>
          </cell>
          <cell r="N827">
            <v>60</v>
          </cell>
          <cell r="O827">
            <v>3900</v>
          </cell>
          <cell r="P827">
            <v>-78.120604836243942</v>
          </cell>
          <cell r="Q827" t="str">
            <v>总工办</v>
          </cell>
        </row>
        <row r="828">
          <cell r="B828" t="str">
            <v>001-0010613</v>
          </cell>
          <cell r="C828" t="str">
            <v>网络终端机</v>
          </cell>
          <cell r="D828" t="str">
            <v>AST 4/133</v>
          </cell>
          <cell r="F828" t="str">
            <v>台</v>
          </cell>
          <cell r="G828" t="str">
            <v>199912</v>
          </cell>
          <cell r="H828" t="str">
            <v>199912</v>
          </cell>
          <cell r="I828">
            <v>23000</v>
          </cell>
          <cell r="J828">
            <v>17824.990000000002</v>
          </cell>
          <cell r="K828">
            <v>23000</v>
          </cell>
          <cell r="L828">
            <v>17824.990000000002</v>
          </cell>
          <cell r="M828">
            <v>6500</v>
          </cell>
          <cell r="N828">
            <v>60</v>
          </cell>
          <cell r="O828">
            <v>3900</v>
          </cell>
          <cell r="P828">
            <v>-78.120604836243942</v>
          </cell>
          <cell r="Q828" t="str">
            <v>总工办</v>
          </cell>
        </row>
        <row r="829">
          <cell r="B829" t="str">
            <v>001-0010614</v>
          </cell>
          <cell r="C829" t="str">
            <v>网络主机</v>
          </cell>
          <cell r="D829" t="str">
            <v>DZC 450</v>
          </cell>
          <cell r="F829" t="str">
            <v>台</v>
          </cell>
          <cell r="G829" t="str">
            <v>199912</v>
          </cell>
          <cell r="H829" t="str">
            <v>199912</v>
          </cell>
          <cell r="I829">
            <v>31500.03</v>
          </cell>
          <cell r="J829">
            <v>24412.53</v>
          </cell>
          <cell r="K829">
            <v>31500.03</v>
          </cell>
          <cell r="L829">
            <v>24412.53</v>
          </cell>
          <cell r="M829">
            <v>28000</v>
          </cell>
          <cell r="N829">
            <v>75</v>
          </cell>
          <cell r="O829">
            <v>21000</v>
          </cell>
          <cell r="P829">
            <v>-13.978600333517251</v>
          </cell>
          <cell r="Q829" t="str">
            <v>总工办</v>
          </cell>
        </row>
        <row r="830">
          <cell r="B830" t="str">
            <v>001-0010615</v>
          </cell>
          <cell r="C830" t="str">
            <v>图形图象拷贝卡</v>
          </cell>
          <cell r="D830" t="str">
            <v/>
          </cell>
          <cell r="F830" t="str">
            <v>台</v>
          </cell>
          <cell r="G830" t="str">
            <v>199912</v>
          </cell>
          <cell r="H830" t="str">
            <v>199912</v>
          </cell>
          <cell r="I830">
            <v>4500.01</v>
          </cell>
          <cell r="J830">
            <v>3487.51</v>
          </cell>
          <cell r="K830">
            <v>4500.01</v>
          </cell>
          <cell r="L830">
            <v>3487.51</v>
          </cell>
          <cell r="M830">
            <v>4100</v>
          </cell>
          <cell r="N830">
            <v>50</v>
          </cell>
          <cell r="O830">
            <v>2050</v>
          </cell>
          <cell r="P830">
            <v>-41.218806541056516</v>
          </cell>
          <cell r="Q830" t="str">
            <v>总工办</v>
          </cell>
        </row>
        <row r="831">
          <cell r="B831" t="str">
            <v>001-0010616</v>
          </cell>
          <cell r="C831" t="str">
            <v>UPS电源</v>
          </cell>
          <cell r="D831" t="str">
            <v>500w</v>
          </cell>
          <cell r="F831" t="str">
            <v>台</v>
          </cell>
          <cell r="G831" t="str">
            <v>199912</v>
          </cell>
          <cell r="H831" t="str">
            <v>199912</v>
          </cell>
          <cell r="I831">
            <v>1287</v>
          </cell>
          <cell r="J831">
            <v>997.41</v>
          </cell>
          <cell r="K831">
            <v>1287</v>
          </cell>
          <cell r="L831">
            <v>997.41</v>
          </cell>
          <cell r="M831">
            <v>1100</v>
          </cell>
          <cell r="N831">
            <v>80</v>
          </cell>
          <cell r="O831">
            <v>880</v>
          </cell>
          <cell r="P831">
            <v>-11.771488154319686</v>
          </cell>
          <cell r="Q831" t="str">
            <v>总工办</v>
          </cell>
        </row>
        <row r="832">
          <cell r="B832" t="str">
            <v>001-0010617</v>
          </cell>
          <cell r="C832" t="str">
            <v>UPS电源</v>
          </cell>
          <cell r="D832" t="str">
            <v>500w</v>
          </cell>
          <cell r="F832" t="str">
            <v>台</v>
          </cell>
          <cell r="G832" t="str">
            <v>199912</v>
          </cell>
          <cell r="H832" t="str">
            <v>199912</v>
          </cell>
          <cell r="I832">
            <v>1287</v>
          </cell>
          <cell r="J832">
            <v>997.41</v>
          </cell>
          <cell r="K832">
            <v>1287</v>
          </cell>
          <cell r="L832">
            <v>997.41</v>
          </cell>
          <cell r="M832">
            <v>1100</v>
          </cell>
          <cell r="N832">
            <v>80</v>
          </cell>
          <cell r="O832">
            <v>880</v>
          </cell>
          <cell r="P832">
            <v>-11.771488154319686</v>
          </cell>
          <cell r="Q832" t="str">
            <v>总工办</v>
          </cell>
        </row>
        <row r="833">
          <cell r="B833" t="str">
            <v>001-0010618</v>
          </cell>
          <cell r="C833" t="str">
            <v>UPS电源</v>
          </cell>
          <cell r="D833" t="str">
            <v>500w</v>
          </cell>
          <cell r="F833" t="str">
            <v>台</v>
          </cell>
          <cell r="G833" t="str">
            <v>199912</v>
          </cell>
          <cell r="H833" t="str">
            <v>199912</v>
          </cell>
          <cell r="I833">
            <v>1287</v>
          </cell>
          <cell r="J833">
            <v>997.41</v>
          </cell>
          <cell r="K833">
            <v>1287</v>
          </cell>
          <cell r="L833">
            <v>997.41</v>
          </cell>
          <cell r="M833">
            <v>1100</v>
          </cell>
          <cell r="N833">
            <v>80</v>
          </cell>
          <cell r="O833">
            <v>880</v>
          </cell>
          <cell r="P833">
            <v>-11.771488154319686</v>
          </cell>
          <cell r="Q833" t="str">
            <v>总工办</v>
          </cell>
        </row>
        <row r="834">
          <cell r="B834" t="str">
            <v>001-0010620</v>
          </cell>
          <cell r="C834" t="str">
            <v>计算机</v>
          </cell>
          <cell r="D834" t="str">
            <v>DEC 486</v>
          </cell>
          <cell r="F834" t="str">
            <v>台</v>
          </cell>
          <cell r="G834" t="str">
            <v>199912</v>
          </cell>
          <cell r="H834" t="str">
            <v>199912</v>
          </cell>
          <cell r="I834">
            <v>26200</v>
          </cell>
          <cell r="J834">
            <v>20305.009999999998</v>
          </cell>
          <cell r="K834">
            <v>26200</v>
          </cell>
          <cell r="L834">
            <v>20305.009999999998</v>
          </cell>
          <cell r="M834">
            <v>6500</v>
          </cell>
          <cell r="N834">
            <v>50</v>
          </cell>
          <cell r="O834">
            <v>3250</v>
          </cell>
          <cell r="P834">
            <v>-83.994098008324045</v>
          </cell>
          <cell r="Q834" t="str">
            <v>总工办</v>
          </cell>
        </row>
        <row r="835">
          <cell r="B835" t="str">
            <v>001-0010621</v>
          </cell>
          <cell r="C835" t="str">
            <v>计算机</v>
          </cell>
          <cell r="D835" t="str">
            <v>DEC 486</v>
          </cell>
          <cell r="F835" t="str">
            <v>台</v>
          </cell>
          <cell r="G835" t="str">
            <v>199912</v>
          </cell>
          <cell r="H835" t="str">
            <v>199912</v>
          </cell>
          <cell r="I835">
            <v>26200</v>
          </cell>
          <cell r="J835">
            <v>20305.009999999998</v>
          </cell>
          <cell r="K835">
            <v>26200</v>
          </cell>
          <cell r="L835">
            <v>20305.009999999998</v>
          </cell>
          <cell r="M835">
            <v>6500</v>
          </cell>
          <cell r="N835">
            <v>50</v>
          </cell>
          <cell r="O835">
            <v>3250</v>
          </cell>
          <cell r="P835">
            <v>-83.994098008324045</v>
          </cell>
          <cell r="Q835" t="str">
            <v>总工办</v>
          </cell>
        </row>
        <row r="836">
          <cell r="B836" t="str">
            <v>001-0010622</v>
          </cell>
          <cell r="C836" t="str">
            <v>北大方正 93A系统</v>
          </cell>
          <cell r="D836" t="str">
            <v/>
          </cell>
          <cell r="F836" t="str">
            <v>台</v>
          </cell>
          <cell r="G836" t="str">
            <v>199912</v>
          </cell>
          <cell r="H836" t="str">
            <v>199912</v>
          </cell>
          <cell r="I836">
            <v>50000</v>
          </cell>
          <cell r="J836">
            <v>38749.99</v>
          </cell>
          <cell r="K836">
            <v>50000</v>
          </cell>
          <cell r="L836">
            <v>38749.99</v>
          </cell>
          <cell r="M836">
            <v>40000</v>
          </cell>
          <cell r="N836">
            <v>50</v>
          </cell>
          <cell r="O836">
            <v>20000</v>
          </cell>
          <cell r="P836">
            <v>-48.387083454731211</v>
          </cell>
          <cell r="Q836" t="str">
            <v>总工办</v>
          </cell>
        </row>
        <row r="837">
          <cell r="B837" t="str">
            <v>001-0010623</v>
          </cell>
          <cell r="C837" t="str">
            <v>北大方正 93A系统</v>
          </cell>
          <cell r="D837" t="str">
            <v/>
          </cell>
          <cell r="F837" t="str">
            <v>台</v>
          </cell>
          <cell r="G837" t="str">
            <v>199912</v>
          </cell>
          <cell r="H837" t="str">
            <v>199912</v>
          </cell>
          <cell r="I837">
            <v>50000</v>
          </cell>
          <cell r="J837">
            <v>38749.99</v>
          </cell>
          <cell r="K837">
            <v>50000</v>
          </cell>
          <cell r="L837">
            <v>38749.99</v>
          </cell>
          <cell r="M837">
            <v>40000</v>
          </cell>
          <cell r="N837">
            <v>50</v>
          </cell>
          <cell r="O837">
            <v>20000</v>
          </cell>
          <cell r="P837">
            <v>-48.387083454731211</v>
          </cell>
          <cell r="Q837" t="str">
            <v>总工办</v>
          </cell>
        </row>
        <row r="838">
          <cell r="B838" t="str">
            <v>001-0010624</v>
          </cell>
          <cell r="C838" t="str">
            <v>RA5900一体化速印机</v>
          </cell>
          <cell r="D838" t="str">
            <v/>
          </cell>
          <cell r="F838" t="str">
            <v>台</v>
          </cell>
          <cell r="G838" t="str">
            <v>199912</v>
          </cell>
          <cell r="H838" t="str">
            <v>199912</v>
          </cell>
          <cell r="I838">
            <v>76000</v>
          </cell>
          <cell r="J838">
            <v>58900.01</v>
          </cell>
          <cell r="K838">
            <v>76000</v>
          </cell>
          <cell r="L838">
            <v>58900.01</v>
          </cell>
          <cell r="M838">
            <v>70000</v>
          </cell>
          <cell r="N838">
            <v>80</v>
          </cell>
          <cell r="O838">
            <v>56000</v>
          </cell>
          <cell r="P838">
            <v>-4.9236154628836255</v>
          </cell>
          <cell r="Q838" t="str">
            <v>总工办</v>
          </cell>
        </row>
        <row r="839">
          <cell r="B839" t="str">
            <v>001-0010625</v>
          </cell>
          <cell r="C839" t="str">
            <v>切纸机</v>
          </cell>
          <cell r="D839" t="str">
            <v>上海飞达QZ420</v>
          </cell>
          <cell r="F839" t="str">
            <v>台</v>
          </cell>
          <cell r="G839" t="str">
            <v>199912</v>
          </cell>
          <cell r="H839" t="str">
            <v>199912</v>
          </cell>
          <cell r="I839">
            <v>5800</v>
          </cell>
          <cell r="J839">
            <v>4495.01</v>
          </cell>
          <cell r="K839">
            <v>5800</v>
          </cell>
          <cell r="L839">
            <v>4495.01</v>
          </cell>
          <cell r="M839">
            <v>5300</v>
          </cell>
          <cell r="N839">
            <v>80</v>
          </cell>
          <cell r="O839">
            <v>4240</v>
          </cell>
          <cell r="P839">
            <v>-5.6731798149503607</v>
          </cell>
          <cell r="Q839" t="str">
            <v>总工办</v>
          </cell>
        </row>
        <row r="840">
          <cell r="B840" t="str">
            <v>001-0010626</v>
          </cell>
          <cell r="C840" t="str">
            <v>装订机</v>
          </cell>
          <cell r="D840" t="str">
            <v>日本106</v>
          </cell>
          <cell r="F840" t="str">
            <v>台</v>
          </cell>
          <cell r="G840" t="str">
            <v>199912</v>
          </cell>
          <cell r="H840" t="str">
            <v>199912</v>
          </cell>
          <cell r="I840">
            <v>5200</v>
          </cell>
          <cell r="J840">
            <v>4030.01</v>
          </cell>
          <cell r="K840">
            <v>5200</v>
          </cell>
          <cell r="L840">
            <v>4030.01</v>
          </cell>
          <cell r="M840">
            <v>5000</v>
          </cell>
          <cell r="N840">
            <v>60</v>
          </cell>
          <cell r="O840">
            <v>3000</v>
          </cell>
          <cell r="P840">
            <v>-25.558497373455651</v>
          </cell>
          <cell r="Q840" t="str">
            <v>总工办</v>
          </cell>
        </row>
        <row r="841">
          <cell r="B841" t="str">
            <v>001-0010627</v>
          </cell>
          <cell r="C841" t="str">
            <v>碎纸机</v>
          </cell>
          <cell r="D841" t="str">
            <v>奥士达905</v>
          </cell>
          <cell r="F841" t="str">
            <v>台</v>
          </cell>
          <cell r="G841" t="str">
            <v>199912</v>
          </cell>
          <cell r="H841" t="str">
            <v>199912</v>
          </cell>
          <cell r="I841">
            <v>4600</v>
          </cell>
          <cell r="J841">
            <v>3565.01</v>
          </cell>
          <cell r="K841">
            <v>4600</v>
          </cell>
          <cell r="L841">
            <v>3565.01</v>
          </cell>
          <cell r="M841">
            <v>4100</v>
          </cell>
          <cell r="N841">
            <v>80</v>
          </cell>
          <cell r="O841">
            <v>3280</v>
          </cell>
          <cell r="P841">
            <v>-7.9946479813520916</v>
          </cell>
          <cell r="Q841" t="str">
            <v>总工办</v>
          </cell>
        </row>
        <row r="842">
          <cell r="B842" t="str">
            <v>001-0010628</v>
          </cell>
          <cell r="C842" t="str">
            <v>汉卡</v>
          </cell>
          <cell r="D842" t="str">
            <v/>
          </cell>
          <cell r="F842" t="str">
            <v>台</v>
          </cell>
          <cell r="G842" t="str">
            <v>199912</v>
          </cell>
          <cell r="H842" t="str">
            <v>199912</v>
          </cell>
          <cell r="I842">
            <v>3800</v>
          </cell>
          <cell r="J842">
            <v>2944.99</v>
          </cell>
          <cell r="K842">
            <v>3800</v>
          </cell>
          <cell r="L842">
            <v>2944.99</v>
          </cell>
          <cell r="M842">
            <v>3400</v>
          </cell>
          <cell r="N842">
            <v>50</v>
          </cell>
          <cell r="O842">
            <v>1700</v>
          </cell>
          <cell r="P842">
            <v>-42.27484643411352</v>
          </cell>
          <cell r="Q842" t="str">
            <v>总工办</v>
          </cell>
        </row>
        <row r="843">
          <cell r="B843" t="str">
            <v>001-0010629</v>
          </cell>
          <cell r="C843" t="str">
            <v>网卡</v>
          </cell>
          <cell r="D843" t="str">
            <v>3C501</v>
          </cell>
          <cell r="F843" t="str">
            <v>台</v>
          </cell>
          <cell r="G843" t="str">
            <v>199912</v>
          </cell>
          <cell r="H843" t="str">
            <v>199912</v>
          </cell>
          <cell r="I843">
            <v>2500</v>
          </cell>
          <cell r="J843">
            <v>1937.51</v>
          </cell>
          <cell r="K843">
            <v>2500</v>
          </cell>
          <cell r="L843">
            <v>1937.51</v>
          </cell>
          <cell r="M843">
            <v>2200</v>
          </cell>
          <cell r="N843">
            <v>50</v>
          </cell>
          <cell r="O843">
            <v>1100</v>
          </cell>
          <cell r="P843">
            <v>-43.22609947819624</v>
          </cell>
          <cell r="Q843" t="str">
            <v>总工办</v>
          </cell>
        </row>
        <row r="844">
          <cell r="B844" t="str">
            <v>001-0010630</v>
          </cell>
          <cell r="C844" t="str">
            <v>网卡</v>
          </cell>
          <cell r="D844" t="str">
            <v>3C501</v>
          </cell>
          <cell r="F844" t="str">
            <v>台</v>
          </cell>
          <cell r="G844" t="str">
            <v>199912</v>
          </cell>
          <cell r="H844" t="str">
            <v>199912</v>
          </cell>
          <cell r="I844">
            <v>2500</v>
          </cell>
          <cell r="J844">
            <v>1937.51</v>
          </cell>
          <cell r="K844">
            <v>2500</v>
          </cell>
          <cell r="L844">
            <v>1937.51</v>
          </cell>
          <cell r="M844">
            <v>2200</v>
          </cell>
          <cell r="N844">
            <v>50</v>
          </cell>
          <cell r="O844">
            <v>1100</v>
          </cell>
          <cell r="P844">
            <v>-43.22609947819624</v>
          </cell>
          <cell r="Q844" t="str">
            <v>总工办</v>
          </cell>
        </row>
        <row r="845">
          <cell r="B845" t="str">
            <v>001-0010631</v>
          </cell>
          <cell r="C845" t="str">
            <v>网卡</v>
          </cell>
          <cell r="D845" t="str">
            <v>3C501</v>
          </cell>
          <cell r="F845" t="str">
            <v>台</v>
          </cell>
          <cell r="G845" t="str">
            <v>199912</v>
          </cell>
          <cell r="H845" t="str">
            <v>199912</v>
          </cell>
          <cell r="I845">
            <v>2500</v>
          </cell>
          <cell r="J845">
            <v>1937.51</v>
          </cell>
          <cell r="K845">
            <v>2500</v>
          </cell>
          <cell r="L845">
            <v>1937.51</v>
          </cell>
          <cell r="M845">
            <v>2200</v>
          </cell>
          <cell r="N845">
            <v>50</v>
          </cell>
          <cell r="O845">
            <v>1100</v>
          </cell>
          <cell r="P845">
            <v>-43.22609947819624</v>
          </cell>
          <cell r="Q845" t="str">
            <v>总工办</v>
          </cell>
        </row>
        <row r="846">
          <cell r="B846" t="str">
            <v>001-0010632</v>
          </cell>
          <cell r="C846" t="str">
            <v>网卡</v>
          </cell>
          <cell r="D846" t="str">
            <v>3C501</v>
          </cell>
          <cell r="F846" t="str">
            <v>台</v>
          </cell>
          <cell r="G846" t="str">
            <v>199912</v>
          </cell>
          <cell r="H846" t="str">
            <v>199912</v>
          </cell>
          <cell r="I846">
            <v>2500</v>
          </cell>
          <cell r="J846">
            <v>1937.51</v>
          </cell>
          <cell r="K846">
            <v>2500</v>
          </cell>
          <cell r="L846">
            <v>1937.51</v>
          </cell>
          <cell r="M846">
            <v>2200</v>
          </cell>
          <cell r="N846">
            <v>50</v>
          </cell>
          <cell r="O846">
            <v>1100</v>
          </cell>
          <cell r="P846">
            <v>-43.22609947819624</v>
          </cell>
          <cell r="Q846" t="str">
            <v>总工办</v>
          </cell>
        </row>
        <row r="847">
          <cell r="B847" t="str">
            <v>001-0010633</v>
          </cell>
          <cell r="C847" t="str">
            <v>网卡</v>
          </cell>
          <cell r="D847" t="str">
            <v>3C503</v>
          </cell>
          <cell r="F847" t="str">
            <v>台</v>
          </cell>
          <cell r="G847" t="str">
            <v>199912</v>
          </cell>
          <cell r="H847" t="str">
            <v>199912</v>
          </cell>
          <cell r="I847">
            <v>2500</v>
          </cell>
          <cell r="J847">
            <v>1937.51</v>
          </cell>
          <cell r="K847">
            <v>2500</v>
          </cell>
          <cell r="L847">
            <v>1937.51</v>
          </cell>
          <cell r="M847">
            <v>2200</v>
          </cell>
          <cell r="N847">
            <v>50</v>
          </cell>
          <cell r="O847">
            <v>1100</v>
          </cell>
          <cell r="P847">
            <v>-43.22609947819624</v>
          </cell>
          <cell r="Q847" t="str">
            <v>总工办</v>
          </cell>
        </row>
        <row r="848">
          <cell r="B848" t="str">
            <v>001-0010634</v>
          </cell>
          <cell r="C848" t="str">
            <v>网卡</v>
          </cell>
          <cell r="D848" t="str">
            <v>3C503</v>
          </cell>
          <cell r="F848" t="str">
            <v>台</v>
          </cell>
          <cell r="G848" t="str">
            <v>199912</v>
          </cell>
          <cell r="H848" t="str">
            <v>199912</v>
          </cell>
          <cell r="I848">
            <v>2500</v>
          </cell>
          <cell r="J848">
            <v>1937.51</v>
          </cell>
          <cell r="K848">
            <v>2500</v>
          </cell>
          <cell r="L848">
            <v>1937.51</v>
          </cell>
          <cell r="M848">
            <v>2200</v>
          </cell>
          <cell r="N848">
            <v>50</v>
          </cell>
          <cell r="O848">
            <v>1100</v>
          </cell>
          <cell r="P848">
            <v>-43.22609947819624</v>
          </cell>
          <cell r="Q848" t="str">
            <v>总工办</v>
          </cell>
        </row>
        <row r="849">
          <cell r="B849" t="str">
            <v>001-0010635</v>
          </cell>
          <cell r="C849" t="str">
            <v>中继器</v>
          </cell>
          <cell r="D849" t="str">
            <v>3C588</v>
          </cell>
          <cell r="F849" t="str">
            <v>台</v>
          </cell>
          <cell r="G849" t="str">
            <v>199912</v>
          </cell>
          <cell r="H849" t="str">
            <v>199912</v>
          </cell>
          <cell r="I849">
            <v>9500</v>
          </cell>
          <cell r="J849">
            <v>7362.49</v>
          </cell>
          <cell r="K849">
            <v>9500</v>
          </cell>
          <cell r="L849">
            <v>7362.49</v>
          </cell>
          <cell r="M849">
            <v>8500</v>
          </cell>
          <cell r="N849">
            <v>60</v>
          </cell>
          <cell r="O849">
            <v>5100</v>
          </cell>
          <cell r="P849">
            <v>-30.729956848837826</v>
          </cell>
          <cell r="Q849" t="str">
            <v>总工办</v>
          </cell>
        </row>
        <row r="850">
          <cell r="B850" t="str">
            <v>001-0010636</v>
          </cell>
          <cell r="C850" t="str">
            <v>汉卡</v>
          </cell>
          <cell r="D850" t="str">
            <v>LXV</v>
          </cell>
          <cell r="F850" t="str">
            <v>台</v>
          </cell>
          <cell r="G850" t="str">
            <v>199912</v>
          </cell>
          <cell r="H850" t="str">
            <v>199912</v>
          </cell>
          <cell r="I850">
            <v>2600</v>
          </cell>
          <cell r="J850">
            <v>2014.99</v>
          </cell>
          <cell r="K850">
            <v>2600</v>
          </cell>
          <cell r="L850">
            <v>2014.99</v>
          </cell>
          <cell r="M850">
            <v>1700</v>
          </cell>
          <cell r="N850">
            <v>50</v>
          </cell>
          <cell r="O850">
            <v>850</v>
          </cell>
          <cell r="P850">
            <v>-57.816167822172815</v>
          </cell>
          <cell r="Q850" t="str">
            <v>总工办</v>
          </cell>
        </row>
        <row r="851">
          <cell r="B851" t="str">
            <v>001-0010637</v>
          </cell>
          <cell r="C851" t="str">
            <v>汉卡</v>
          </cell>
          <cell r="D851" t="str">
            <v>LXV</v>
          </cell>
          <cell r="F851" t="str">
            <v>台</v>
          </cell>
          <cell r="G851" t="str">
            <v>199912</v>
          </cell>
          <cell r="H851" t="str">
            <v>199912</v>
          </cell>
          <cell r="I851">
            <v>2600</v>
          </cell>
          <cell r="J851">
            <v>2014.99</v>
          </cell>
          <cell r="K851">
            <v>2600</v>
          </cell>
          <cell r="L851">
            <v>2014.99</v>
          </cell>
          <cell r="M851">
            <v>1700</v>
          </cell>
          <cell r="N851">
            <v>50</v>
          </cell>
          <cell r="O851">
            <v>850</v>
          </cell>
          <cell r="P851">
            <v>-57.816167822172815</v>
          </cell>
          <cell r="Q851" t="str">
            <v>总工办</v>
          </cell>
        </row>
        <row r="852">
          <cell r="B852" t="str">
            <v>001-0010638</v>
          </cell>
          <cell r="C852" t="str">
            <v>汉卡</v>
          </cell>
          <cell r="D852" t="str">
            <v>LXV</v>
          </cell>
          <cell r="F852" t="str">
            <v>台</v>
          </cell>
          <cell r="G852" t="str">
            <v>199912</v>
          </cell>
          <cell r="H852" t="str">
            <v>199912</v>
          </cell>
          <cell r="I852">
            <v>2600</v>
          </cell>
          <cell r="J852">
            <v>2014.99</v>
          </cell>
          <cell r="K852">
            <v>2600</v>
          </cell>
          <cell r="L852">
            <v>2014.99</v>
          </cell>
          <cell r="M852">
            <v>1700</v>
          </cell>
          <cell r="N852">
            <v>50</v>
          </cell>
          <cell r="O852">
            <v>850</v>
          </cell>
          <cell r="P852">
            <v>-57.816167822172815</v>
          </cell>
          <cell r="Q852" t="str">
            <v>总工办</v>
          </cell>
        </row>
        <row r="853">
          <cell r="B853" t="str">
            <v>001-0010639</v>
          </cell>
          <cell r="C853" t="str">
            <v>汉卡</v>
          </cell>
          <cell r="D853" t="str">
            <v>LXV</v>
          </cell>
          <cell r="F853" t="str">
            <v>台</v>
          </cell>
          <cell r="G853" t="str">
            <v>199912</v>
          </cell>
          <cell r="H853" t="str">
            <v>199912</v>
          </cell>
          <cell r="I853">
            <v>1733.33</v>
          </cell>
          <cell r="J853">
            <v>1343.35</v>
          </cell>
          <cell r="K853">
            <v>1733.33</v>
          </cell>
          <cell r="L853">
            <v>1343.35</v>
          </cell>
          <cell r="M853">
            <v>1700</v>
          </cell>
          <cell r="N853">
            <v>50</v>
          </cell>
          <cell r="O853">
            <v>850</v>
          </cell>
          <cell r="P853">
            <v>-36.725350802099229</v>
          </cell>
          <cell r="Q853" t="str">
            <v>总工办</v>
          </cell>
        </row>
        <row r="854">
          <cell r="B854" t="str">
            <v>001-0010640</v>
          </cell>
          <cell r="C854" t="str">
            <v>汉卡</v>
          </cell>
          <cell r="D854" t="str">
            <v>LXV</v>
          </cell>
          <cell r="F854" t="str">
            <v>台</v>
          </cell>
          <cell r="G854" t="str">
            <v>199912</v>
          </cell>
          <cell r="H854" t="str">
            <v>199912</v>
          </cell>
          <cell r="I854">
            <v>1733.33</v>
          </cell>
          <cell r="J854">
            <v>1343.35</v>
          </cell>
          <cell r="K854">
            <v>1733.33</v>
          </cell>
          <cell r="L854">
            <v>1343.35</v>
          </cell>
          <cell r="M854">
            <v>1700</v>
          </cell>
          <cell r="N854">
            <v>50</v>
          </cell>
          <cell r="O854">
            <v>850</v>
          </cell>
          <cell r="P854">
            <v>-36.725350802099229</v>
          </cell>
          <cell r="Q854" t="str">
            <v>总工办</v>
          </cell>
        </row>
        <row r="855">
          <cell r="B855" t="str">
            <v>001-0010641</v>
          </cell>
          <cell r="C855" t="str">
            <v>汉卡</v>
          </cell>
          <cell r="D855" t="str">
            <v>LXV</v>
          </cell>
          <cell r="F855" t="str">
            <v>台</v>
          </cell>
          <cell r="G855" t="str">
            <v>199912</v>
          </cell>
          <cell r="H855" t="str">
            <v>199912</v>
          </cell>
          <cell r="I855">
            <v>1733.34</v>
          </cell>
          <cell r="J855">
            <v>1343.36</v>
          </cell>
          <cell r="K855">
            <v>1733.34</v>
          </cell>
          <cell r="L855">
            <v>1343.36</v>
          </cell>
          <cell r="M855">
            <v>1700</v>
          </cell>
          <cell r="N855">
            <v>50</v>
          </cell>
          <cell r="O855">
            <v>850</v>
          </cell>
          <cell r="P855">
            <v>-36.725821819914238</v>
          </cell>
          <cell r="Q855" t="str">
            <v>总工办</v>
          </cell>
        </row>
        <row r="856">
          <cell r="B856" t="str">
            <v>001-0010642</v>
          </cell>
          <cell r="C856" t="str">
            <v>打印机</v>
          </cell>
          <cell r="D856" t="str">
            <v>LQ1600K</v>
          </cell>
          <cell r="F856" t="str">
            <v>台</v>
          </cell>
          <cell r="G856" t="str">
            <v>199912</v>
          </cell>
          <cell r="H856" t="str">
            <v>199912</v>
          </cell>
          <cell r="I856">
            <v>5000</v>
          </cell>
          <cell r="J856">
            <v>3874.99</v>
          </cell>
          <cell r="K856">
            <v>5000</v>
          </cell>
          <cell r="L856">
            <v>3874.99</v>
          </cell>
          <cell r="M856">
            <v>3200</v>
          </cell>
          <cell r="N856">
            <v>60</v>
          </cell>
          <cell r="O856">
            <v>1920</v>
          </cell>
          <cell r="P856">
            <v>-50.451485036090418</v>
          </cell>
          <cell r="Q856" t="str">
            <v>总工办</v>
          </cell>
        </row>
        <row r="857">
          <cell r="B857" t="str">
            <v>001-0010643</v>
          </cell>
          <cell r="C857" t="str">
            <v>打印机</v>
          </cell>
          <cell r="D857" t="str">
            <v>LQ1600K</v>
          </cell>
          <cell r="F857" t="str">
            <v>台</v>
          </cell>
          <cell r="G857" t="str">
            <v>199912</v>
          </cell>
          <cell r="H857" t="str">
            <v>199912</v>
          </cell>
          <cell r="I857">
            <v>5000</v>
          </cell>
          <cell r="J857">
            <v>3874.99</v>
          </cell>
          <cell r="K857">
            <v>5000</v>
          </cell>
          <cell r="L857">
            <v>3874.99</v>
          </cell>
          <cell r="M857">
            <v>3200</v>
          </cell>
          <cell r="N857">
            <v>60</v>
          </cell>
          <cell r="O857">
            <v>1920</v>
          </cell>
          <cell r="P857">
            <v>-50.451485036090418</v>
          </cell>
          <cell r="Q857" t="str">
            <v>总工办</v>
          </cell>
        </row>
        <row r="858">
          <cell r="B858" t="str">
            <v>001-0010644</v>
          </cell>
          <cell r="C858" t="str">
            <v>打印机</v>
          </cell>
          <cell r="D858" t="str">
            <v>LQ1600K</v>
          </cell>
          <cell r="F858" t="str">
            <v>台</v>
          </cell>
          <cell r="G858" t="str">
            <v>199912</v>
          </cell>
          <cell r="H858" t="str">
            <v>199912</v>
          </cell>
          <cell r="I858">
            <v>5000</v>
          </cell>
          <cell r="J858">
            <v>3874.99</v>
          </cell>
          <cell r="K858">
            <v>5000</v>
          </cell>
          <cell r="L858">
            <v>3874.99</v>
          </cell>
          <cell r="M858">
            <v>3200</v>
          </cell>
          <cell r="N858">
            <v>60</v>
          </cell>
          <cell r="O858">
            <v>1920</v>
          </cell>
          <cell r="P858">
            <v>-50.451485036090418</v>
          </cell>
          <cell r="Q858" t="str">
            <v>总工办</v>
          </cell>
        </row>
        <row r="859">
          <cell r="B859" t="str">
            <v>001-0010645</v>
          </cell>
          <cell r="C859" t="str">
            <v>打印机</v>
          </cell>
          <cell r="D859" t="str">
            <v>LQ1600K</v>
          </cell>
          <cell r="F859" t="str">
            <v>台</v>
          </cell>
          <cell r="G859" t="str">
            <v>199912</v>
          </cell>
          <cell r="H859" t="str">
            <v>199912</v>
          </cell>
          <cell r="I859">
            <v>5000</v>
          </cell>
          <cell r="J859">
            <v>3874.99</v>
          </cell>
          <cell r="K859">
            <v>5000</v>
          </cell>
          <cell r="L859">
            <v>3874.99</v>
          </cell>
          <cell r="M859">
            <v>3200</v>
          </cell>
          <cell r="N859">
            <v>60</v>
          </cell>
          <cell r="O859">
            <v>1920</v>
          </cell>
          <cell r="P859">
            <v>-50.451485036090418</v>
          </cell>
          <cell r="Q859" t="str">
            <v>总工办</v>
          </cell>
        </row>
        <row r="860">
          <cell r="B860" t="str">
            <v>001-0010647</v>
          </cell>
          <cell r="C860" t="str">
            <v>计算机</v>
          </cell>
          <cell r="D860" t="str">
            <v>LX386</v>
          </cell>
          <cell r="F860" t="str">
            <v>台</v>
          </cell>
          <cell r="G860" t="str">
            <v>199912</v>
          </cell>
          <cell r="H860" t="str">
            <v>199912</v>
          </cell>
          <cell r="I860">
            <v>41950</v>
          </cell>
          <cell r="J860">
            <v>32511.26</v>
          </cell>
          <cell r="K860">
            <v>41950</v>
          </cell>
          <cell r="L860">
            <v>32511.26</v>
          </cell>
          <cell r="M860">
            <v>33000</v>
          </cell>
          <cell r="N860">
            <v>50</v>
          </cell>
          <cell r="O860">
            <v>16500</v>
          </cell>
          <cell r="P860">
            <v>-49.24835272456373</v>
          </cell>
          <cell r="Q860" t="str">
            <v>总工办</v>
          </cell>
        </row>
        <row r="861">
          <cell r="B861" t="str">
            <v>001-0010648</v>
          </cell>
          <cell r="C861" t="str">
            <v>计算机</v>
          </cell>
          <cell r="D861" t="str">
            <v>LX386</v>
          </cell>
          <cell r="F861" t="str">
            <v>台</v>
          </cell>
          <cell r="G861" t="str">
            <v>199912</v>
          </cell>
          <cell r="H861" t="str">
            <v>199912</v>
          </cell>
          <cell r="I861">
            <v>41950</v>
          </cell>
          <cell r="J861">
            <v>32511.26</v>
          </cell>
          <cell r="K861">
            <v>41950</v>
          </cell>
          <cell r="L861">
            <v>32511.26</v>
          </cell>
          <cell r="M861">
            <v>33000</v>
          </cell>
          <cell r="N861">
            <v>50</v>
          </cell>
          <cell r="O861">
            <v>16500</v>
          </cell>
          <cell r="P861">
            <v>-49.24835272456373</v>
          </cell>
          <cell r="Q861" t="str">
            <v>总工办</v>
          </cell>
        </row>
        <row r="862">
          <cell r="B862" t="str">
            <v>001-0010649</v>
          </cell>
          <cell r="C862" t="str">
            <v>计算机</v>
          </cell>
          <cell r="D862" t="str">
            <v>LX286</v>
          </cell>
          <cell r="F862" t="str">
            <v>台</v>
          </cell>
          <cell r="G862" t="str">
            <v>199912</v>
          </cell>
          <cell r="H862" t="str">
            <v>199912</v>
          </cell>
          <cell r="I862">
            <v>20000</v>
          </cell>
          <cell r="J862">
            <v>15499.99</v>
          </cell>
          <cell r="K862">
            <v>20000</v>
          </cell>
          <cell r="L862">
            <v>15499.99</v>
          </cell>
          <cell r="M862">
            <v>16000</v>
          </cell>
          <cell r="N862">
            <v>50</v>
          </cell>
          <cell r="O862">
            <v>8000</v>
          </cell>
          <cell r="P862">
            <v>-48.387063475524819</v>
          </cell>
          <cell r="Q862" t="str">
            <v>总工办</v>
          </cell>
        </row>
        <row r="863">
          <cell r="B863" t="str">
            <v>001-0010650</v>
          </cell>
          <cell r="C863" t="str">
            <v>计算机</v>
          </cell>
          <cell r="D863" t="str">
            <v>LX286</v>
          </cell>
          <cell r="F863" t="str">
            <v>台</v>
          </cell>
          <cell r="G863" t="str">
            <v>199912</v>
          </cell>
          <cell r="H863" t="str">
            <v>199912</v>
          </cell>
          <cell r="I863">
            <v>20000</v>
          </cell>
          <cell r="J863">
            <v>15499.99</v>
          </cell>
          <cell r="K863">
            <v>20000</v>
          </cell>
          <cell r="L863">
            <v>15499.99</v>
          </cell>
          <cell r="M863">
            <v>16000</v>
          </cell>
          <cell r="N863">
            <v>50</v>
          </cell>
          <cell r="O863">
            <v>8000</v>
          </cell>
          <cell r="P863">
            <v>-48.387063475524819</v>
          </cell>
          <cell r="Q863" t="str">
            <v>总工办</v>
          </cell>
        </row>
        <row r="864">
          <cell r="B864" t="str">
            <v>001-0010655</v>
          </cell>
          <cell r="C864" t="str">
            <v>打印机</v>
          </cell>
          <cell r="D864" t="str">
            <v>LQ-1600K</v>
          </cell>
          <cell r="F864" t="str">
            <v>台</v>
          </cell>
          <cell r="G864" t="str">
            <v>199912</v>
          </cell>
          <cell r="H864" t="str">
            <v>199912</v>
          </cell>
          <cell r="I864">
            <v>5500</v>
          </cell>
          <cell r="J864">
            <v>4262.51</v>
          </cell>
          <cell r="K864">
            <v>5500</v>
          </cell>
          <cell r="L864">
            <v>4262.51</v>
          </cell>
          <cell r="M864">
            <v>3200</v>
          </cell>
          <cell r="N864">
            <v>60</v>
          </cell>
          <cell r="O864">
            <v>1920</v>
          </cell>
          <cell r="P864">
            <v>-54.956117405003155</v>
          </cell>
          <cell r="Q864" t="str">
            <v>总工办</v>
          </cell>
        </row>
        <row r="865">
          <cell r="B865" t="str">
            <v>001-0010656</v>
          </cell>
          <cell r="C865" t="str">
            <v>UPS电源</v>
          </cell>
          <cell r="D865" t="str">
            <v>500V</v>
          </cell>
          <cell r="F865" t="str">
            <v>台</v>
          </cell>
          <cell r="G865" t="str">
            <v>199912</v>
          </cell>
          <cell r="H865" t="str">
            <v>199912</v>
          </cell>
          <cell r="I865">
            <v>2100</v>
          </cell>
          <cell r="J865">
            <v>1627.5</v>
          </cell>
          <cell r="K865">
            <v>2100</v>
          </cell>
          <cell r="L865">
            <v>1627.5</v>
          </cell>
          <cell r="M865">
            <v>1900</v>
          </cell>
          <cell r="N865">
            <v>80</v>
          </cell>
          <cell r="O865">
            <v>1520</v>
          </cell>
          <cell r="P865">
            <v>-6.6052227342549923</v>
          </cell>
          <cell r="Q865" t="str">
            <v>总工办</v>
          </cell>
        </row>
        <row r="866">
          <cell r="B866" t="str">
            <v>001-0010657</v>
          </cell>
          <cell r="C866" t="str">
            <v>汉卡</v>
          </cell>
          <cell r="D866" t="str">
            <v>联想V型</v>
          </cell>
          <cell r="F866" t="str">
            <v>台</v>
          </cell>
          <cell r="G866" t="str">
            <v>199912</v>
          </cell>
          <cell r="H866" t="str">
            <v>199912</v>
          </cell>
          <cell r="I866">
            <v>3100</v>
          </cell>
          <cell r="J866">
            <v>2402.5100000000002</v>
          </cell>
          <cell r="K866">
            <v>3100</v>
          </cell>
          <cell r="L866">
            <v>2402.5100000000002</v>
          </cell>
          <cell r="M866">
            <v>3000</v>
          </cell>
          <cell r="N866">
            <v>50</v>
          </cell>
          <cell r="O866">
            <v>1500</v>
          </cell>
          <cell r="P866">
            <v>-37.565296294292224</v>
          </cell>
          <cell r="Q866" t="str">
            <v>总工办</v>
          </cell>
        </row>
        <row r="867">
          <cell r="B867" t="str">
            <v>001-0010658</v>
          </cell>
          <cell r="C867" t="str">
            <v>计算机</v>
          </cell>
          <cell r="D867" t="str">
            <v>CCOMPA   386/25E</v>
          </cell>
          <cell r="F867" t="str">
            <v>台</v>
          </cell>
          <cell r="G867" t="str">
            <v>199912</v>
          </cell>
          <cell r="H867" t="str">
            <v>199912</v>
          </cell>
          <cell r="I867">
            <v>53215.4</v>
          </cell>
          <cell r="J867">
            <v>41241.94</v>
          </cell>
          <cell r="K867">
            <v>53215.4</v>
          </cell>
          <cell r="L867">
            <v>41241.94</v>
          </cell>
          <cell r="M867">
            <v>41000</v>
          </cell>
          <cell r="N867">
            <v>50</v>
          </cell>
          <cell r="O867">
            <v>20500</v>
          </cell>
          <cell r="P867">
            <v>-50.293317918604217</v>
          </cell>
          <cell r="Q867" t="str">
            <v>总工办</v>
          </cell>
        </row>
        <row r="868">
          <cell r="B868" t="str">
            <v>001-0010659</v>
          </cell>
          <cell r="C868" t="str">
            <v>计算机</v>
          </cell>
          <cell r="D868" t="str">
            <v>CCOMPA   386/25E</v>
          </cell>
          <cell r="F868" t="str">
            <v>台</v>
          </cell>
          <cell r="G868" t="str">
            <v>199912</v>
          </cell>
          <cell r="H868" t="str">
            <v>199912</v>
          </cell>
          <cell r="I868">
            <v>43000</v>
          </cell>
          <cell r="J868">
            <v>33325.01</v>
          </cell>
          <cell r="K868">
            <v>43000</v>
          </cell>
          <cell r="L868">
            <v>33325.01</v>
          </cell>
          <cell r="M868">
            <v>34000</v>
          </cell>
          <cell r="N868">
            <v>50</v>
          </cell>
          <cell r="O868">
            <v>17000</v>
          </cell>
          <cell r="P868">
            <v>-48.987262119351207</v>
          </cell>
          <cell r="Q868" t="str">
            <v>总工办</v>
          </cell>
        </row>
        <row r="869">
          <cell r="B869" t="str">
            <v>001-0010660</v>
          </cell>
          <cell r="C869" t="str">
            <v>打印机</v>
          </cell>
          <cell r="D869" t="str">
            <v>彩色  NEC P6300</v>
          </cell>
          <cell r="F869" t="str">
            <v>台</v>
          </cell>
          <cell r="G869" t="str">
            <v>199912</v>
          </cell>
          <cell r="H869" t="str">
            <v>199912</v>
          </cell>
          <cell r="I869">
            <v>7000</v>
          </cell>
          <cell r="J869">
            <v>5425.01</v>
          </cell>
          <cell r="K869">
            <v>7000</v>
          </cell>
          <cell r="L869">
            <v>5425.01</v>
          </cell>
          <cell r="M869">
            <v>6500</v>
          </cell>
          <cell r="N869">
            <v>60</v>
          </cell>
          <cell r="O869">
            <v>3900</v>
          </cell>
          <cell r="P869">
            <v>-28.110731593121489</v>
          </cell>
          <cell r="Q869" t="str">
            <v>总工办</v>
          </cell>
        </row>
        <row r="870">
          <cell r="B870" t="str">
            <v>001-0010661</v>
          </cell>
          <cell r="C870" t="str">
            <v>计算机</v>
          </cell>
          <cell r="D870" t="str">
            <v>AST386</v>
          </cell>
          <cell r="F870" t="str">
            <v>台</v>
          </cell>
          <cell r="G870" t="str">
            <v>199912</v>
          </cell>
          <cell r="H870" t="str">
            <v>199912</v>
          </cell>
          <cell r="I870">
            <v>35000</v>
          </cell>
          <cell r="J870">
            <v>27124.99</v>
          </cell>
          <cell r="K870">
            <v>35000</v>
          </cell>
          <cell r="L870">
            <v>27124.99</v>
          </cell>
          <cell r="M870">
            <v>25000</v>
          </cell>
          <cell r="N870">
            <v>50</v>
          </cell>
          <cell r="O870">
            <v>12500</v>
          </cell>
          <cell r="P870">
            <v>-53.917033702132244</v>
          </cell>
          <cell r="Q870" t="str">
            <v>总工办</v>
          </cell>
        </row>
        <row r="871">
          <cell r="B871" t="str">
            <v>001-0010662</v>
          </cell>
          <cell r="C871" t="str">
            <v>计算机</v>
          </cell>
          <cell r="D871" t="str">
            <v>AST386</v>
          </cell>
          <cell r="F871" t="str">
            <v>台</v>
          </cell>
          <cell r="G871" t="str">
            <v>199912</v>
          </cell>
          <cell r="H871" t="str">
            <v>199912</v>
          </cell>
          <cell r="I871">
            <v>35000</v>
          </cell>
          <cell r="J871">
            <v>27124.99</v>
          </cell>
          <cell r="K871">
            <v>35000</v>
          </cell>
          <cell r="L871">
            <v>27124.99</v>
          </cell>
          <cell r="M871">
            <v>25000</v>
          </cell>
          <cell r="N871">
            <v>50</v>
          </cell>
          <cell r="O871">
            <v>12500</v>
          </cell>
          <cell r="P871">
            <v>-53.917033702132244</v>
          </cell>
          <cell r="Q871" t="str">
            <v>总工办</v>
          </cell>
        </row>
        <row r="872">
          <cell r="B872" t="str">
            <v>001-0010663</v>
          </cell>
          <cell r="C872" t="str">
            <v>计算机</v>
          </cell>
          <cell r="D872" t="str">
            <v>AST386</v>
          </cell>
          <cell r="F872" t="str">
            <v>台</v>
          </cell>
          <cell r="G872" t="str">
            <v>199912</v>
          </cell>
          <cell r="H872" t="str">
            <v>199912</v>
          </cell>
          <cell r="I872">
            <v>35000</v>
          </cell>
          <cell r="J872">
            <v>27124.99</v>
          </cell>
          <cell r="K872">
            <v>35000</v>
          </cell>
          <cell r="L872">
            <v>27124.99</v>
          </cell>
          <cell r="M872">
            <v>25000</v>
          </cell>
          <cell r="N872">
            <v>50</v>
          </cell>
          <cell r="O872">
            <v>12500</v>
          </cell>
          <cell r="P872">
            <v>-53.917033702132244</v>
          </cell>
          <cell r="Q872" t="str">
            <v>总工办</v>
          </cell>
        </row>
        <row r="873">
          <cell r="B873" t="str">
            <v>001-0010664</v>
          </cell>
          <cell r="C873" t="str">
            <v>打印机</v>
          </cell>
          <cell r="D873" t="str">
            <v>LQ-1600</v>
          </cell>
          <cell r="F873" t="str">
            <v>台</v>
          </cell>
          <cell r="G873" t="str">
            <v>199912</v>
          </cell>
          <cell r="H873" t="str">
            <v>199912</v>
          </cell>
          <cell r="I873">
            <v>4900</v>
          </cell>
          <cell r="J873">
            <v>3797.51</v>
          </cell>
          <cell r="K873">
            <v>4900</v>
          </cell>
          <cell r="L873">
            <v>3797.51</v>
          </cell>
          <cell r="M873">
            <v>3200</v>
          </cell>
          <cell r="N873">
            <v>60</v>
          </cell>
          <cell r="O873">
            <v>1920</v>
          </cell>
          <cell r="P873">
            <v>-49.440554468585994</v>
          </cell>
          <cell r="Q873" t="str">
            <v>总工办</v>
          </cell>
        </row>
        <row r="874">
          <cell r="B874" t="str">
            <v>001-0010665</v>
          </cell>
          <cell r="C874" t="str">
            <v>打印机</v>
          </cell>
          <cell r="D874" t="str">
            <v>LQ-1600</v>
          </cell>
          <cell r="F874" t="str">
            <v>台</v>
          </cell>
          <cell r="G874" t="str">
            <v>199912</v>
          </cell>
          <cell r="H874" t="str">
            <v>199912</v>
          </cell>
          <cell r="I874">
            <v>4900</v>
          </cell>
          <cell r="J874">
            <v>3797.51</v>
          </cell>
          <cell r="K874">
            <v>4900</v>
          </cell>
          <cell r="L874">
            <v>3797.51</v>
          </cell>
          <cell r="M874">
            <v>3200</v>
          </cell>
          <cell r="N874">
            <v>60</v>
          </cell>
          <cell r="O874">
            <v>1920</v>
          </cell>
          <cell r="P874">
            <v>-49.440554468585994</v>
          </cell>
          <cell r="Q874" t="str">
            <v>总工办</v>
          </cell>
        </row>
        <row r="875">
          <cell r="B875" t="str">
            <v>001-0010666</v>
          </cell>
          <cell r="C875" t="str">
            <v>打印机</v>
          </cell>
          <cell r="D875" t="str">
            <v>LQ-1600</v>
          </cell>
          <cell r="F875" t="str">
            <v>台</v>
          </cell>
          <cell r="G875" t="str">
            <v>199912</v>
          </cell>
          <cell r="H875" t="str">
            <v>199912</v>
          </cell>
          <cell r="I875">
            <v>4900</v>
          </cell>
          <cell r="J875">
            <v>3797.51</v>
          </cell>
          <cell r="K875">
            <v>4900</v>
          </cell>
          <cell r="L875">
            <v>3797.51</v>
          </cell>
          <cell r="M875">
            <v>3200</v>
          </cell>
          <cell r="N875">
            <v>60</v>
          </cell>
          <cell r="O875">
            <v>1920</v>
          </cell>
          <cell r="P875">
            <v>-49.440554468585994</v>
          </cell>
          <cell r="Q875" t="str">
            <v>总工办</v>
          </cell>
        </row>
        <row r="876">
          <cell r="B876" t="str">
            <v>001-0011414</v>
          </cell>
          <cell r="C876" t="str">
            <v>去湿机</v>
          </cell>
          <cell r="D876" t="str">
            <v>日本火岛ODH-360BM</v>
          </cell>
          <cell r="F876" t="str">
            <v>台</v>
          </cell>
          <cell r="G876" t="str">
            <v>200007</v>
          </cell>
          <cell r="H876" t="str">
            <v>200007</v>
          </cell>
          <cell r="I876">
            <v>4300</v>
          </cell>
          <cell r="J876">
            <v>3788.28</v>
          </cell>
          <cell r="K876">
            <v>4300</v>
          </cell>
          <cell r="L876">
            <v>3788.28</v>
          </cell>
          <cell r="M876">
            <v>4100</v>
          </cell>
          <cell r="N876">
            <v>85</v>
          </cell>
          <cell r="O876">
            <v>3485</v>
          </cell>
          <cell r="P876">
            <v>-8.0057440315921777</v>
          </cell>
          <cell r="Q876" t="str">
            <v>总工办</v>
          </cell>
        </row>
        <row r="877">
          <cell r="B877" t="str">
            <v>001-0011753</v>
          </cell>
          <cell r="C877" t="str">
            <v>计算机</v>
          </cell>
          <cell r="D877" t="str">
            <v>DELL</v>
          </cell>
          <cell r="F877" t="str">
            <v>台</v>
          </cell>
          <cell r="G877" t="str">
            <v>200012</v>
          </cell>
          <cell r="H877" t="str">
            <v>200012</v>
          </cell>
          <cell r="I877">
            <v>12800</v>
          </cell>
          <cell r="J877">
            <v>11199.99</v>
          </cell>
          <cell r="K877">
            <v>12800</v>
          </cell>
          <cell r="L877">
            <v>11199.99</v>
          </cell>
          <cell r="M877">
            <v>11000</v>
          </cell>
          <cell r="N877">
            <v>75</v>
          </cell>
          <cell r="O877">
            <v>8250</v>
          </cell>
          <cell r="P877">
            <v>-26.339219945732097</v>
          </cell>
          <cell r="Q877" t="str">
            <v>总工办</v>
          </cell>
        </row>
        <row r="878">
          <cell r="B878" t="str">
            <v>001-0018087</v>
          </cell>
          <cell r="C878" t="str">
            <v>图形工作站</v>
          </cell>
          <cell r="D878" t="str">
            <v>PAPPLE</v>
          </cell>
          <cell r="F878" t="str">
            <v>台</v>
          </cell>
          <cell r="G878" t="str">
            <v>200108</v>
          </cell>
          <cell r="H878" t="str">
            <v>200108</v>
          </cell>
          <cell r="I878">
            <v>55180</v>
          </cell>
          <cell r="J878">
            <v>55180</v>
          </cell>
          <cell r="K878">
            <v>55180</v>
          </cell>
          <cell r="L878">
            <v>55180</v>
          </cell>
          <cell r="M878">
            <v>55000</v>
          </cell>
          <cell r="N878">
            <v>95</v>
          </cell>
          <cell r="O878">
            <v>52250</v>
          </cell>
          <cell r="P878">
            <v>-5.3098948894526998</v>
          </cell>
          <cell r="Q878" t="str">
            <v>总工办</v>
          </cell>
        </row>
        <row r="879">
          <cell r="B879" t="str">
            <v>001-0018602</v>
          </cell>
          <cell r="C879" t="str">
            <v>扫描仪</v>
          </cell>
          <cell r="D879" t="str">
            <v>MUSTEK 630</v>
          </cell>
          <cell r="F879" t="str">
            <v>台</v>
          </cell>
          <cell r="G879" t="str">
            <v>200109</v>
          </cell>
          <cell r="H879" t="str">
            <v>200109</v>
          </cell>
          <cell r="I879">
            <v>4500</v>
          </cell>
          <cell r="J879">
            <v>4265.6099999999997</v>
          </cell>
          <cell r="K879">
            <v>4500</v>
          </cell>
          <cell r="L879">
            <v>4265.6099999999997</v>
          </cell>
          <cell r="M879">
            <v>4000</v>
          </cell>
          <cell r="N879">
            <v>95</v>
          </cell>
          <cell r="O879">
            <v>3800</v>
          </cell>
          <cell r="P879">
            <v>-10.915437651355838</v>
          </cell>
          <cell r="Q879" t="str">
            <v>总工办</v>
          </cell>
        </row>
        <row r="880">
          <cell r="B880" t="str">
            <v>001-0018617</v>
          </cell>
          <cell r="C880" t="str">
            <v>打印机</v>
          </cell>
          <cell r="D880" t="str">
            <v>HP6L</v>
          </cell>
          <cell r="F880" t="str">
            <v>台</v>
          </cell>
          <cell r="G880" t="str">
            <v>200109</v>
          </cell>
          <cell r="H880" t="str">
            <v>200109</v>
          </cell>
          <cell r="I880">
            <v>3090</v>
          </cell>
          <cell r="J880">
            <v>2929.06</v>
          </cell>
          <cell r="K880">
            <v>3090</v>
          </cell>
          <cell r="L880">
            <v>2929.06</v>
          </cell>
          <cell r="M880">
            <v>2800</v>
          </cell>
          <cell r="N880">
            <v>90</v>
          </cell>
          <cell r="O880">
            <v>2520</v>
          </cell>
          <cell r="P880">
            <v>-13.965572572770785</v>
          </cell>
          <cell r="Q880" t="str">
            <v>总工办</v>
          </cell>
        </row>
        <row r="881">
          <cell r="B881" t="str">
            <v>001-0018618</v>
          </cell>
          <cell r="C881" t="str">
            <v>打印机</v>
          </cell>
          <cell r="D881" t="str">
            <v>HP6L</v>
          </cell>
          <cell r="F881" t="str">
            <v>台</v>
          </cell>
          <cell r="G881" t="str">
            <v>200109</v>
          </cell>
          <cell r="H881" t="str">
            <v>200109</v>
          </cell>
          <cell r="I881">
            <v>3090</v>
          </cell>
          <cell r="J881">
            <v>2929.06</v>
          </cell>
          <cell r="K881">
            <v>3090</v>
          </cell>
          <cell r="L881">
            <v>2929.06</v>
          </cell>
          <cell r="M881">
            <v>2800</v>
          </cell>
          <cell r="N881">
            <v>90</v>
          </cell>
          <cell r="O881">
            <v>2520</v>
          </cell>
          <cell r="P881">
            <v>-13.965572572770785</v>
          </cell>
          <cell r="Q881" t="str">
            <v>总工办</v>
          </cell>
        </row>
        <row r="882">
          <cell r="B882" t="str">
            <v>001-0018619</v>
          </cell>
          <cell r="C882" t="str">
            <v>打印机</v>
          </cell>
          <cell r="D882" t="str">
            <v>HP6L</v>
          </cell>
          <cell r="F882" t="str">
            <v>台</v>
          </cell>
          <cell r="G882" t="str">
            <v>200109</v>
          </cell>
          <cell r="H882" t="str">
            <v>200109</v>
          </cell>
          <cell r="I882">
            <v>3090</v>
          </cell>
          <cell r="J882">
            <v>2929.06</v>
          </cell>
          <cell r="K882">
            <v>3090</v>
          </cell>
          <cell r="L882">
            <v>2929.06</v>
          </cell>
          <cell r="M882">
            <v>2800</v>
          </cell>
          <cell r="N882">
            <v>90</v>
          </cell>
          <cell r="O882">
            <v>2520</v>
          </cell>
          <cell r="P882">
            <v>-13.965572572770785</v>
          </cell>
          <cell r="Q882" t="str">
            <v>总工办</v>
          </cell>
        </row>
        <row r="883">
          <cell r="B883" t="str">
            <v>001-0019964</v>
          </cell>
          <cell r="C883" t="str">
            <v>C300软件</v>
          </cell>
          <cell r="D883" t="str">
            <v/>
          </cell>
          <cell r="F883" t="str">
            <v>套</v>
          </cell>
          <cell r="G883" t="str">
            <v>200112</v>
          </cell>
          <cell r="H883" t="str">
            <v>200112</v>
          </cell>
          <cell r="I883">
            <v>46765</v>
          </cell>
          <cell r="J883">
            <v>45985.58</v>
          </cell>
          <cell r="K883">
            <v>46765</v>
          </cell>
          <cell r="L883">
            <v>45985.58</v>
          </cell>
          <cell r="M883">
            <v>46000</v>
          </cell>
          <cell r="N883">
            <v>95</v>
          </cell>
          <cell r="O883">
            <v>43700</v>
          </cell>
          <cell r="P883">
            <v>-4.9702102267710915</v>
          </cell>
          <cell r="Q883" t="str">
            <v>总工办</v>
          </cell>
        </row>
        <row r="884">
          <cell r="B884" t="str">
            <v>001-0020344</v>
          </cell>
          <cell r="C884" t="str">
            <v>电动订书机</v>
          </cell>
          <cell r="D884" t="str">
            <v>瑞特106</v>
          </cell>
          <cell r="F884" t="str">
            <v>台</v>
          </cell>
          <cell r="G884" t="str">
            <v>200112</v>
          </cell>
          <cell r="H884" t="str">
            <v>200112</v>
          </cell>
          <cell r="I884">
            <v>2950</v>
          </cell>
          <cell r="J884">
            <v>2950</v>
          </cell>
          <cell r="K884">
            <v>2950</v>
          </cell>
          <cell r="L884">
            <v>2950</v>
          </cell>
          <cell r="M884">
            <v>2950</v>
          </cell>
          <cell r="N884">
            <v>95</v>
          </cell>
          <cell r="O884">
            <v>2802.5</v>
          </cell>
          <cell r="P884">
            <v>-5</v>
          </cell>
          <cell r="Q884" t="str">
            <v>总工办</v>
          </cell>
        </row>
        <row r="885">
          <cell r="B885" t="str">
            <v>001-0020782</v>
          </cell>
          <cell r="C885" t="str">
            <v>消毒柜</v>
          </cell>
          <cell r="D885" t="str">
            <v/>
          </cell>
          <cell r="F885" t="str">
            <v>台</v>
          </cell>
          <cell r="G885" t="str">
            <v>200110</v>
          </cell>
          <cell r="H885" t="str">
            <v>200110</v>
          </cell>
          <cell r="I885">
            <v>3598</v>
          </cell>
          <cell r="J885">
            <v>3598</v>
          </cell>
          <cell r="K885">
            <v>3598</v>
          </cell>
          <cell r="L885">
            <v>3598</v>
          </cell>
          <cell r="M885">
            <v>3500</v>
          </cell>
          <cell r="N885">
            <v>95</v>
          </cell>
          <cell r="O885">
            <v>3325</v>
          </cell>
          <cell r="P885">
            <v>-7.5875486381322954</v>
          </cell>
          <cell r="Q885" t="str">
            <v>总工办</v>
          </cell>
        </row>
        <row r="886">
          <cell r="B886" t="str">
            <v>001-0020783</v>
          </cell>
          <cell r="C886" t="str">
            <v>防磁柜</v>
          </cell>
          <cell r="D886" t="str">
            <v/>
          </cell>
          <cell r="F886" t="str">
            <v>台</v>
          </cell>
          <cell r="G886" t="str">
            <v>200110</v>
          </cell>
          <cell r="H886" t="str">
            <v>200110</v>
          </cell>
          <cell r="I886">
            <v>8049.6</v>
          </cell>
          <cell r="J886">
            <v>8049.6</v>
          </cell>
          <cell r="K886">
            <v>8049.6</v>
          </cell>
          <cell r="L886">
            <v>8049.6</v>
          </cell>
          <cell r="M886">
            <v>8000</v>
          </cell>
          <cell r="N886">
            <v>95</v>
          </cell>
          <cell r="O886">
            <v>7600</v>
          </cell>
          <cell r="P886">
            <v>-5.5853707016497758</v>
          </cell>
          <cell r="Q886" t="str">
            <v>总工办</v>
          </cell>
        </row>
        <row r="887">
          <cell r="B887" t="str">
            <v>001-0020784</v>
          </cell>
          <cell r="C887" t="str">
            <v>防磁柜</v>
          </cell>
          <cell r="D887" t="str">
            <v/>
          </cell>
          <cell r="F887" t="str">
            <v>台</v>
          </cell>
          <cell r="G887" t="str">
            <v>200110</v>
          </cell>
          <cell r="H887" t="str">
            <v>200110</v>
          </cell>
          <cell r="I887">
            <v>8049.6</v>
          </cell>
          <cell r="J887">
            <v>8049.6</v>
          </cell>
          <cell r="K887">
            <v>8049.6</v>
          </cell>
          <cell r="L887">
            <v>8049.6</v>
          </cell>
          <cell r="M887">
            <v>8000</v>
          </cell>
          <cell r="N887">
            <v>95</v>
          </cell>
          <cell r="O887">
            <v>7600</v>
          </cell>
          <cell r="P887">
            <v>-5.5853707016497758</v>
          </cell>
          <cell r="Q887" t="str">
            <v>总工办</v>
          </cell>
        </row>
        <row r="888">
          <cell r="B888" t="str">
            <v>001-0020785</v>
          </cell>
          <cell r="C888" t="str">
            <v>防磁柜</v>
          </cell>
          <cell r="D888" t="str">
            <v/>
          </cell>
          <cell r="F888" t="str">
            <v>台</v>
          </cell>
          <cell r="G888" t="str">
            <v>200110</v>
          </cell>
          <cell r="H888" t="str">
            <v>200110</v>
          </cell>
          <cell r="I888">
            <v>8049.6</v>
          </cell>
          <cell r="J888">
            <v>8049.6</v>
          </cell>
          <cell r="K888">
            <v>8049.6</v>
          </cell>
          <cell r="L888">
            <v>8049.6</v>
          </cell>
          <cell r="M888">
            <v>8000</v>
          </cell>
          <cell r="N888">
            <v>95</v>
          </cell>
          <cell r="O888">
            <v>7600</v>
          </cell>
          <cell r="P888">
            <v>-5.5853707016497758</v>
          </cell>
          <cell r="Q888" t="str">
            <v>总工办</v>
          </cell>
        </row>
        <row r="889">
          <cell r="B889" t="str">
            <v>001-0020786</v>
          </cell>
          <cell r="C889" t="str">
            <v>防磁柜</v>
          </cell>
          <cell r="D889" t="str">
            <v/>
          </cell>
          <cell r="F889" t="str">
            <v>台</v>
          </cell>
          <cell r="G889" t="str">
            <v>200110</v>
          </cell>
          <cell r="H889" t="str">
            <v>200110</v>
          </cell>
          <cell r="I889">
            <v>8049.6</v>
          </cell>
          <cell r="J889">
            <v>8049.6</v>
          </cell>
          <cell r="K889">
            <v>8049.6</v>
          </cell>
          <cell r="L889">
            <v>8049.6</v>
          </cell>
          <cell r="M889">
            <v>8000</v>
          </cell>
          <cell r="N889">
            <v>95</v>
          </cell>
          <cell r="O889">
            <v>7600</v>
          </cell>
          <cell r="P889">
            <v>-5.5853707016497758</v>
          </cell>
          <cell r="Q889" t="str">
            <v>总工办</v>
          </cell>
        </row>
        <row r="890">
          <cell r="B890" t="str">
            <v>001-0020787</v>
          </cell>
          <cell r="C890" t="str">
            <v>防磁柜</v>
          </cell>
          <cell r="D890" t="str">
            <v/>
          </cell>
          <cell r="F890" t="str">
            <v>台</v>
          </cell>
          <cell r="G890" t="str">
            <v>200110</v>
          </cell>
          <cell r="H890" t="str">
            <v>200110</v>
          </cell>
          <cell r="I890">
            <v>8049.6</v>
          </cell>
          <cell r="J890">
            <v>8049.6</v>
          </cell>
          <cell r="K890">
            <v>8049.6</v>
          </cell>
          <cell r="L890">
            <v>8049.6</v>
          </cell>
          <cell r="M890">
            <v>8000</v>
          </cell>
          <cell r="N890">
            <v>95</v>
          </cell>
          <cell r="O890">
            <v>7600</v>
          </cell>
          <cell r="P890">
            <v>-5.5853707016497758</v>
          </cell>
          <cell r="Q890" t="str">
            <v>总工办</v>
          </cell>
        </row>
        <row r="891">
          <cell r="B891" t="str">
            <v>001-0020788</v>
          </cell>
          <cell r="C891" t="str">
            <v>防磁柜</v>
          </cell>
          <cell r="D891" t="str">
            <v/>
          </cell>
          <cell r="F891" t="str">
            <v>台</v>
          </cell>
          <cell r="G891" t="str">
            <v>200110</v>
          </cell>
          <cell r="H891" t="str">
            <v>200110</v>
          </cell>
          <cell r="I891">
            <v>8049.6</v>
          </cell>
          <cell r="J891">
            <v>8049.6</v>
          </cell>
          <cell r="K891">
            <v>8049.6</v>
          </cell>
          <cell r="L891">
            <v>8049.6</v>
          </cell>
          <cell r="M891">
            <v>8000</v>
          </cell>
          <cell r="N891">
            <v>95</v>
          </cell>
          <cell r="O891">
            <v>7600</v>
          </cell>
          <cell r="P891">
            <v>-5.5853707016497758</v>
          </cell>
          <cell r="Q891" t="str">
            <v>总工办</v>
          </cell>
        </row>
        <row r="892">
          <cell r="B892" t="str">
            <v>001-0007184</v>
          </cell>
          <cell r="C892" t="str">
            <v>传真机</v>
          </cell>
          <cell r="D892" t="str">
            <v>5F-17</v>
          </cell>
          <cell r="E892" t="str">
            <v/>
          </cell>
          <cell r="F892" t="str">
            <v>台</v>
          </cell>
          <cell r="G892" t="str">
            <v>199507</v>
          </cell>
          <cell r="H892" t="str">
            <v>199507</v>
          </cell>
          <cell r="I892">
            <v>17702</v>
          </cell>
          <cell r="J892">
            <v>11801.33</v>
          </cell>
          <cell r="K892">
            <v>17702</v>
          </cell>
          <cell r="L892">
            <v>11801.33</v>
          </cell>
          <cell r="M892">
            <v>8500</v>
          </cell>
          <cell r="N892">
            <v>15</v>
          </cell>
          <cell r="O892">
            <v>1275</v>
          </cell>
          <cell r="P892">
            <v>-89.196132978232114</v>
          </cell>
          <cell r="Q892" t="str">
            <v>船闸管理局</v>
          </cell>
        </row>
        <row r="893">
          <cell r="B893" t="str">
            <v>001-0003920</v>
          </cell>
          <cell r="C893" t="str">
            <v>冰柜</v>
          </cell>
          <cell r="D893" t="str">
            <v>1M3</v>
          </cell>
          <cell r="E893" t="str">
            <v/>
          </cell>
          <cell r="F893" t="str">
            <v>台</v>
          </cell>
          <cell r="G893" t="str">
            <v>199110</v>
          </cell>
          <cell r="H893" t="str">
            <v>199110</v>
          </cell>
          <cell r="I893">
            <v>10824.91</v>
          </cell>
          <cell r="J893">
            <v>2773.88</v>
          </cell>
          <cell r="K893">
            <v>10824.91</v>
          </cell>
          <cell r="L893">
            <v>2773.88</v>
          </cell>
          <cell r="M893">
            <v>8000</v>
          </cell>
          <cell r="N893">
            <v>15</v>
          </cell>
          <cell r="O893">
            <v>1200</v>
          </cell>
          <cell r="P893">
            <v>-56.739296580962403</v>
          </cell>
          <cell r="Q893" t="str">
            <v>武警消防</v>
          </cell>
        </row>
        <row r="894">
          <cell r="B894" t="str">
            <v>001-0003921</v>
          </cell>
          <cell r="C894" t="str">
            <v>冰柜</v>
          </cell>
          <cell r="D894" t="str">
            <v>600升</v>
          </cell>
          <cell r="E894" t="str">
            <v/>
          </cell>
          <cell r="F894" t="str">
            <v>台</v>
          </cell>
          <cell r="G894" t="str">
            <v>199110</v>
          </cell>
          <cell r="H894" t="str">
            <v>199110</v>
          </cell>
          <cell r="I894">
            <v>9361.75</v>
          </cell>
          <cell r="J894">
            <v>2398.9499999999998</v>
          </cell>
          <cell r="K894">
            <v>9361.75</v>
          </cell>
          <cell r="L894">
            <v>2398.9499999999998</v>
          </cell>
          <cell r="M894">
            <v>7000</v>
          </cell>
          <cell r="N894">
            <v>15</v>
          </cell>
          <cell r="O894">
            <v>1050</v>
          </cell>
          <cell r="P894">
            <v>-56.230850997311322</v>
          </cell>
          <cell r="Q894" t="str">
            <v>武警消防</v>
          </cell>
        </row>
        <row r="895">
          <cell r="B895" t="str">
            <v>001-0018006</v>
          </cell>
          <cell r="C895" t="str">
            <v>空调</v>
          </cell>
          <cell r="D895" t="str">
            <v>海尔KFLD-71LW</v>
          </cell>
          <cell r="F895" t="str">
            <v>台</v>
          </cell>
          <cell r="G895" t="str">
            <v>200107</v>
          </cell>
          <cell r="H895" t="str">
            <v>200107</v>
          </cell>
          <cell r="I895">
            <v>8195</v>
          </cell>
          <cell r="J895">
            <v>8195</v>
          </cell>
          <cell r="K895">
            <v>8195</v>
          </cell>
          <cell r="L895">
            <v>8195</v>
          </cell>
          <cell r="M895">
            <v>7800</v>
          </cell>
          <cell r="N895">
            <v>90</v>
          </cell>
          <cell r="O895">
            <v>7020</v>
          </cell>
          <cell r="P895">
            <v>-14.338010982306285</v>
          </cell>
        </row>
        <row r="896">
          <cell r="B896" t="str">
            <v>001-0018007</v>
          </cell>
          <cell r="C896" t="str">
            <v>空调</v>
          </cell>
          <cell r="D896" t="str">
            <v>海尔KFLD-71LW</v>
          </cell>
          <cell r="F896" t="str">
            <v>台</v>
          </cell>
          <cell r="G896" t="str">
            <v>200107</v>
          </cell>
          <cell r="H896" t="str">
            <v>200107</v>
          </cell>
          <cell r="I896">
            <v>8195</v>
          </cell>
          <cell r="J896">
            <v>8195</v>
          </cell>
          <cell r="K896">
            <v>8195</v>
          </cell>
          <cell r="L896">
            <v>8195</v>
          </cell>
          <cell r="M896">
            <v>7800</v>
          </cell>
          <cell r="N896">
            <v>90</v>
          </cell>
          <cell r="O896">
            <v>7020</v>
          </cell>
          <cell r="P896">
            <v>-14.338010982306285</v>
          </cell>
        </row>
        <row r="897">
          <cell r="B897" t="str">
            <v>001-0018008</v>
          </cell>
          <cell r="C897" t="str">
            <v>空调</v>
          </cell>
          <cell r="D897" t="str">
            <v>海尔KFLD-71LW</v>
          </cell>
          <cell r="F897" t="str">
            <v>台</v>
          </cell>
          <cell r="G897" t="str">
            <v>200107</v>
          </cell>
          <cell r="H897" t="str">
            <v>200107</v>
          </cell>
          <cell r="I897">
            <v>8195</v>
          </cell>
          <cell r="J897">
            <v>8195</v>
          </cell>
          <cell r="K897">
            <v>8195</v>
          </cell>
          <cell r="L897">
            <v>8195</v>
          </cell>
          <cell r="M897">
            <v>7800</v>
          </cell>
          <cell r="N897">
            <v>90</v>
          </cell>
          <cell r="O897">
            <v>7020</v>
          </cell>
          <cell r="P897">
            <v>-14.338010982306285</v>
          </cell>
        </row>
        <row r="898">
          <cell r="B898" t="str">
            <v>001-0018009</v>
          </cell>
          <cell r="C898" t="str">
            <v>空调</v>
          </cell>
          <cell r="D898" t="str">
            <v>海尔KFLD-71LW</v>
          </cell>
          <cell r="F898" t="str">
            <v>台</v>
          </cell>
          <cell r="G898" t="str">
            <v>200107</v>
          </cell>
          <cell r="H898" t="str">
            <v>200107</v>
          </cell>
          <cell r="I898">
            <v>8195</v>
          </cell>
          <cell r="J898">
            <v>8195</v>
          </cell>
          <cell r="K898">
            <v>8195</v>
          </cell>
          <cell r="L898">
            <v>8195</v>
          </cell>
          <cell r="M898">
            <v>7800</v>
          </cell>
          <cell r="N898">
            <v>90</v>
          </cell>
          <cell r="O898">
            <v>7020</v>
          </cell>
          <cell r="P898">
            <v>-14.338010982306285</v>
          </cell>
        </row>
        <row r="899">
          <cell r="B899" t="str">
            <v>001-0018010</v>
          </cell>
          <cell r="C899" t="str">
            <v>空调</v>
          </cell>
          <cell r="D899" t="str">
            <v>海尔KFLD-71LW</v>
          </cell>
          <cell r="F899" t="str">
            <v>台</v>
          </cell>
          <cell r="G899" t="str">
            <v>200107</v>
          </cell>
          <cell r="H899" t="str">
            <v>200107</v>
          </cell>
          <cell r="I899">
            <v>8195</v>
          </cell>
          <cell r="J899">
            <v>8195</v>
          </cell>
          <cell r="K899">
            <v>8195</v>
          </cell>
          <cell r="L899">
            <v>8195</v>
          </cell>
          <cell r="M899">
            <v>7800</v>
          </cell>
          <cell r="N899">
            <v>90</v>
          </cell>
          <cell r="O899">
            <v>7020</v>
          </cell>
          <cell r="P899">
            <v>-14.338010982306285</v>
          </cell>
        </row>
        <row r="900">
          <cell r="B900" t="str">
            <v>001-0010182</v>
          </cell>
          <cell r="C900" t="str">
            <v>计算机</v>
          </cell>
          <cell r="D900" t="str">
            <v>HP  B8153A</v>
          </cell>
          <cell r="F900" t="str">
            <v>台</v>
          </cell>
          <cell r="G900" t="str">
            <v>199909</v>
          </cell>
          <cell r="H900" t="str">
            <v>199909</v>
          </cell>
          <cell r="I900">
            <v>16000</v>
          </cell>
          <cell r="J900">
            <v>12000.01</v>
          </cell>
          <cell r="K900">
            <v>16000</v>
          </cell>
          <cell r="L900">
            <v>12000.01</v>
          </cell>
          <cell r="M900">
            <v>13000</v>
          </cell>
          <cell r="N900">
            <v>50</v>
          </cell>
          <cell r="O900">
            <v>6500</v>
          </cell>
          <cell r="P900">
            <v>-45.833378472184606</v>
          </cell>
        </row>
        <row r="901">
          <cell r="B901" t="str">
            <v>001-0011480</v>
          </cell>
          <cell r="C901" t="str">
            <v>数码复印机</v>
          </cell>
          <cell r="D901" t="str">
            <v>基士得耶340型</v>
          </cell>
          <cell r="F901" t="str">
            <v>台</v>
          </cell>
          <cell r="G901" t="str">
            <v>200009</v>
          </cell>
          <cell r="H901" t="str">
            <v>200009</v>
          </cell>
          <cell r="I901">
            <v>45800</v>
          </cell>
          <cell r="J901">
            <v>37212.51</v>
          </cell>
          <cell r="K901">
            <v>45800</v>
          </cell>
          <cell r="L901">
            <v>37212.51</v>
          </cell>
          <cell r="M901">
            <v>43000</v>
          </cell>
          <cell r="N901">
            <v>70</v>
          </cell>
          <cell r="O901">
            <v>30100</v>
          </cell>
          <cell r="P901">
            <v>-19.113222945724438</v>
          </cell>
        </row>
        <row r="902">
          <cell r="B902" t="str">
            <v>001-0011481</v>
          </cell>
          <cell r="C902" t="str">
            <v>计算机</v>
          </cell>
          <cell r="D902" t="str">
            <v>HP D9788A</v>
          </cell>
          <cell r="F902" t="str">
            <v>台</v>
          </cell>
          <cell r="G902" t="str">
            <v>200009</v>
          </cell>
          <cell r="H902" t="str">
            <v>200009</v>
          </cell>
          <cell r="I902">
            <v>11000</v>
          </cell>
          <cell r="J902">
            <v>9349.99</v>
          </cell>
          <cell r="K902">
            <v>11000</v>
          </cell>
          <cell r="L902">
            <v>9349.99</v>
          </cell>
          <cell r="M902">
            <v>11000</v>
          </cell>
          <cell r="N902">
            <v>80</v>
          </cell>
          <cell r="O902">
            <v>8800</v>
          </cell>
          <cell r="P902">
            <v>-5.882252280483721</v>
          </cell>
        </row>
        <row r="903">
          <cell r="B903" t="str">
            <v>001-0011482</v>
          </cell>
          <cell r="C903" t="str">
            <v>计算机</v>
          </cell>
          <cell r="D903" t="str">
            <v>HP D9788A</v>
          </cell>
          <cell r="F903" t="str">
            <v>台</v>
          </cell>
          <cell r="G903" t="str">
            <v>200009</v>
          </cell>
          <cell r="H903" t="str">
            <v>200009</v>
          </cell>
          <cell r="I903">
            <v>11000</v>
          </cell>
          <cell r="J903">
            <v>9349.99</v>
          </cell>
          <cell r="K903">
            <v>11000</v>
          </cell>
          <cell r="L903">
            <v>9349.99</v>
          </cell>
          <cell r="M903">
            <v>11000</v>
          </cell>
          <cell r="N903">
            <v>80</v>
          </cell>
          <cell r="O903">
            <v>8800</v>
          </cell>
          <cell r="P903">
            <v>-5.882252280483721</v>
          </cell>
        </row>
        <row r="904">
          <cell r="B904" t="str">
            <v>001-0011524</v>
          </cell>
          <cell r="C904" t="str">
            <v>彩色激光打印机</v>
          </cell>
          <cell r="D904" t="str">
            <v>HPA3</v>
          </cell>
          <cell r="F904" t="str">
            <v>台</v>
          </cell>
          <cell r="G904" t="str">
            <v>200009</v>
          </cell>
          <cell r="H904" t="str">
            <v>200009</v>
          </cell>
          <cell r="I904">
            <v>48500</v>
          </cell>
          <cell r="J904">
            <v>39406.239999999998</v>
          </cell>
          <cell r="K904">
            <v>48500</v>
          </cell>
          <cell r="L904">
            <v>39406.239999999998</v>
          </cell>
          <cell r="M904">
            <v>46000</v>
          </cell>
          <cell r="N904">
            <v>85</v>
          </cell>
          <cell r="O904">
            <v>39100</v>
          </cell>
          <cell r="P904">
            <v>-0.777135803872681</v>
          </cell>
        </row>
        <row r="905">
          <cell r="B905" t="str">
            <v>001-0011525</v>
          </cell>
          <cell r="C905" t="str">
            <v>彩色激光打印机</v>
          </cell>
          <cell r="D905" t="str">
            <v>HPA3</v>
          </cell>
          <cell r="F905" t="str">
            <v>台</v>
          </cell>
          <cell r="G905" t="str">
            <v>200009</v>
          </cell>
          <cell r="H905" t="str">
            <v>200009</v>
          </cell>
          <cell r="I905">
            <v>48500</v>
          </cell>
          <cell r="J905">
            <v>39406.239999999998</v>
          </cell>
          <cell r="K905">
            <v>48500</v>
          </cell>
          <cell r="L905">
            <v>39406.239999999998</v>
          </cell>
          <cell r="M905">
            <v>46000</v>
          </cell>
          <cell r="N905">
            <v>85</v>
          </cell>
          <cell r="O905">
            <v>39100</v>
          </cell>
          <cell r="P905">
            <v>-0.777135803872681</v>
          </cell>
        </row>
        <row r="906">
          <cell r="B906" t="str">
            <v>001-0011627</v>
          </cell>
          <cell r="C906" t="str">
            <v>扫描仪</v>
          </cell>
          <cell r="D906" t="str">
            <v>HPA3</v>
          </cell>
          <cell r="F906" t="str">
            <v>台</v>
          </cell>
          <cell r="G906" t="str">
            <v>200009</v>
          </cell>
          <cell r="H906" t="str">
            <v>200009</v>
          </cell>
          <cell r="I906">
            <v>14100</v>
          </cell>
          <cell r="J906">
            <v>12338.2</v>
          </cell>
          <cell r="K906">
            <v>14100</v>
          </cell>
          <cell r="L906">
            <v>12338.2</v>
          </cell>
          <cell r="M906">
            <v>14000</v>
          </cell>
          <cell r="N906">
            <v>85</v>
          </cell>
          <cell r="O906">
            <v>11900</v>
          </cell>
          <cell r="P906">
            <v>-3.5515715420401737</v>
          </cell>
        </row>
        <row r="907">
          <cell r="B907" t="str">
            <v>001-0020051</v>
          </cell>
          <cell r="C907" t="str">
            <v>A3折纸机</v>
          </cell>
          <cell r="D907" t="str">
            <v>银笛MA100</v>
          </cell>
          <cell r="F907" t="str">
            <v>台</v>
          </cell>
          <cell r="G907" t="str">
            <v>200112</v>
          </cell>
          <cell r="H907" t="str">
            <v>200112</v>
          </cell>
          <cell r="I907">
            <v>8200</v>
          </cell>
          <cell r="J907">
            <v>8200</v>
          </cell>
          <cell r="K907">
            <v>8200</v>
          </cell>
          <cell r="L907">
            <v>8200</v>
          </cell>
          <cell r="M907">
            <v>8200</v>
          </cell>
          <cell r="N907">
            <v>95</v>
          </cell>
          <cell r="O907">
            <v>7790</v>
          </cell>
          <cell r="P907">
            <v>-5</v>
          </cell>
        </row>
        <row r="908">
          <cell r="B908" t="str">
            <v>001-0020052</v>
          </cell>
          <cell r="C908" t="str">
            <v>定书机</v>
          </cell>
          <cell r="D908" t="str">
            <v>瑞得106</v>
          </cell>
          <cell r="F908" t="str">
            <v>台</v>
          </cell>
          <cell r="G908" t="str">
            <v>200112</v>
          </cell>
          <cell r="H908" t="str">
            <v>200112</v>
          </cell>
          <cell r="I908">
            <v>2950</v>
          </cell>
          <cell r="J908">
            <v>2950</v>
          </cell>
          <cell r="K908">
            <v>2950</v>
          </cell>
          <cell r="L908">
            <v>2950</v>
          </cell>
          <cell r="M908">
            <v>2950</v>
          </cell>
          <cell r="N908">
            <v>95</v>
          </cell>
          <cell r="O908">
            <v>2802.5</v>
          </cell>
          <cell r="P908">
            <v>-5</v>
          </cell>
        </row>
        <row r="909">
          <cell r="C909" t="str">
            <v>（大江）</v>
          </cell>
        </row>
        <row r="910">
          <cell r="B910" t="str">
            <v>001-0003075</v>
          </cell>
          <cell r="C910" t="str">
            <v>打印机</v>
          </cell>
          <cell r="D910" t="str">
            <v>MX-80</v>
          </cell>
          <cell r="E910" t="str">
            <v>EPSON</v>
          </cell>
          <cell r="F910" t="str">
            <v>台</v>
          </cell>
          <cell r="G910" t="str">
            <v>198902</v>
          </cell>
          <cell r="H910" t="str">
            <v>198902</v>
          </cell>
          <cell r="I910">
            <v>5437.33</v>
          </cell>
          <cell r="J910">
            <v>2200.52</v>
          </cell>
          <cell r="K910">
            <v>5437.33</v>
          </cell>
          <cell r="L910">
            <v>2200.52</v>
          </cell>
          <cell r="M910">
            <v>2600</v>
          </cell>
          <cell r="N910">
            <v>5</v>
          </cell>
          <cell r="O910">
            <v>130</v>
          </cell>
          <cell r="P910">
            <v>-94.092305455074253</v>
          </cell>
        </row>
        <row r="911">
          <cell r="B911" t="str">
            <v>001-0003273</v>
          </cell>
          <cell r="C911" t="str">
            <v>打字机</v>
          </cell>
          <cell r="D911" t="str">
            <v>ns-2401</v>
          </cell>
          <cell r="F911" t="str">
            <v>台</v>
          </cell>
          <cell r="G911" t="str">
            <v>199008</v>
          </cell>
          <cell r="H911" t="str">
            <v>199008</v>
          </cell>
          <cell r="I911">
            <v>19764.37</v>
          </cell>
          <cell r="J911">
            <v>9347.7199999999993</v>
          </cell>
          <cell r="K911">
            <v>19764.37</v>
          </cell>
          <cell r="L911">
            <v>9347.7199999999993</v>
          </cell>
          <cell r="M911">
            <v>7800</v>
          </cell>
          <cell r="N911">
            <v>10</v>
          </cell>
          <cell r="O911">
            <v>780</v>
          </cell>
          <cell r="P911">
            <v>-91.655719255604566</v>
          </cell>
        </row>
        <row r="912">
          <cell r="B912" t="str">
            <v>001-0004082</v>
          </cell>
          <cell r="C912" t="str">
            <v>保险柜</v>
          </cell>
          <cell r="F912" t="str">
            <v>台</v>
          </cell>
          <cell r="G912" t="str">
            <v>199112</v>
          </cell>
          <cell r="H912" t="str">
            <v>199112</v>
          </cell>
          <cell r="I912">
            <v>2029.06</v>
          </cell>
          <cell r="J912">
            <v>1021.46</v>
          </cell>
          <cell r="K912">
            <v>2029.06</v>
          </cell>
          <cell r="L912">
            <v>1021.46</v>
          </cell>
          <cell r="M912">
            <v>900</v>
          </cell>
          <cell r="N912">
            <v>5</v>
          </cell>
          <cell r="O912">
            <v>45</v>
          </cell>
          <cell r="P912">
            <v>-95.594541146985691</v>
          </cell>
        </row>
        <row r="913">
          <cell r="B913" t="str">
            <v>001-0005382</v>
          </cell>
          <cell r="C913" t="str">
            <v>硬盘</v>
          </cell>
          <cell r="D913" t="str">
            <v>100M</v>
          </cell>
          <cell r="F913" t="str">
            <v>台</v>
          </cell>
          <cell r="G913" t="str">
            <v>199712</v>
          </cell>
          <cell r="H913" t="str">
            <v>199712</v>
          </cell>
          <cell r="I913">
            <v>7600</v>
          </cell>
          <cell r="J913">
            <v>1266.68</v>
          </cell>
          <cell r="K913">
            <v>7600</v>
          </cell>
          <cell r="L913">
            <v>1266.68</v>
          </cell>
          <cell r="M913">
            <v>2000</v>
          </cell>
          <cell r="N913">
            <v>15</v>
          </cell>
          <cell r="O913">
            <v>300</v>
          </cell>
          <cell r="P913">
            <v>-76.31603877853918</v>
          </cell>
        </row>
        <row r="914">
          <cell r="B914" t="str">
            <v>001-0005763</v>
          </cell>
          <cell r="C914" t="str">
            <v>打字机</v>
          </cell>
          <cell r="D914" t="str">
            <v>四通2411</v>
          </cell>
          <cell r="F914" t="str">
            <v>台</v>
          </cell>
          <cell r="G914" t="str">
            <v>199406</v>
          </cell>
          <cell r="H914" t="str">
            <v>199406</v>
          </cell>
          <cell r="I914">
            <v>18200</v>
          </cell>
          <cell r="J914">
            <v>8678.9699999999993</v>
          </cell>
          <cell r="K914">
            <v>18200</v>
          </cell>
          <cell r="L914">
            <v>8678.9699999999993</v>
          </cell>
          <cell r="M914">
            <v>7800</v>
          </cell>
          <cell r="N914">
            <v>10</v>
          </cell>
          <cell r="O914">
            <v>780</v>
          </cell>
          <cell r="P914">
            <v>-91.012758426403124</v>
          </cell>
        </row>
        <row r="915">
          <cell r="B915" t="str">
            <v>001-0006831</v>
          </cell>
          <cell r="C915" t="str">
            <v>传真机</v>
          </cell>
          <cell r="D915" t="str">
            <v>KX-355B</v>
          </cell>
          <cell r="E915" t="str">
            <v>SHARP</v>
          </cell>
          <cell r="F915" t="str">
            <v>台</v>
          </cell>
          <cell r="G915" t="str">
            <v>199503</v>
          </cell>
          <cell r="H915" t="str">
            <v>199503</v>
          </cell>
          <cell r="I915">
            <v>7599.15</v>
          </cell>
          <cell r="J915">
            <v>1654.72</v>
          </cell>
          <cell r="K915">
            <v>7599.15</v>
          </cell>
          <cell r="L915">
            <v>1654.72</v>
          </cell>
          <cell r="M915">
            <v>2700</v>
          </cell>
          <cell r="N915">
            <v>10</v>
          </cell>
          <cell r="O915">
            <v>270</v>
          </cell>
          <cell r="P915">
            <v>-83.683040030941797</v>
          </cell>
        </row>
        <row r="916">
          <cell r="B916" t="str">
            <v>001-0006834</v>
          </cell>
          <cell r="C916" t="str">
            <v>电锤</v>
          </cell>
          <cell r="F916" t="str">
            <v>台</v>
          </cell>
          <cell r="G916" t="str">
            <v>199503</v>
          </cell>
          <cell r="H916" t="str">
            <v>199503</v>
          </cell>
          <cell r="I916">
            <v>2300</v>
          </cell>
          <cell r="J916">
            <v>1184.28</v>
          </cell>
          <cell r="K916">
            <v>2300</v>
          </cell>
          <cell r="L916">
            <v>1184.28</v>
          </cell>
          <cell r="M916">
            <v>10500</v>
          </cell>
          <cell r="N916">
            <v>10</v>
          </cell>
          <cell r="O916">
            <v>1050</v>
          </cell>
          <cell r="P916">
            <v>-11.33853480595805</v>
          </cell>
        </row>
        <row r="917">
          <cell r="B917" t="str">
            <v>001-0007888</v>
          </cell>
          <cell r="C917" t="str">
            <v>彩电</v>
          </cell>
          <cell r="D917" t="str">
            <v>飞利普29''</v>
          </cell>
          <cell r="F917" t="str">
            <v>台</v>
          </cell>
          <cell r="G917" t="str">
            <v>199604</v>
          </cell>
          <cell r="H917" t="str">
            <v>199604</v>
          </cell>
          <cell r="I917">
            <v>7180</v>
          </cell>
          <cell r="J917">
            <v>2535.75</v>
          </cell>
          <cell r="K917">
            <v>7180</v>
          </cell>
          <cell r="L917">
            <v>2535.75</v>
          </cell>
          <cell r="M917">
            <v>3000</v>
          </cell>
          <cell r="N917">
            <v>17</v>
          </cell>
          <cell r="O917">
            <v>510</v>
          </cell>
          <cell r="P917">
            <v>-79.887607216799765</v>
          </cell>
        </row>
        <row r="918">
          <cell r="B918" t="str">
            <v>001-0007889</v>
          </cell>
          <cell r="C918" t="str">
            <v>彩电</v>
          </cell>
          <cell r="D918" t="str">
            <v>长虹29''</v>
          </cell>
          <cell r="F918" t="str">
            <v>台</v>
          </cell>
          <cell r="G918" t="str">
            <v>199604</v>
          </cell>
          <cell r="H918" t="str">
            <v>199604</v>
          </cell>
          <cell r="I918">
            <v>7600</v>
          </cell>
          <cell r="J918">
            <v>1979.16</v>
          </cell>
          <cell r="K918">
            <v>7600</v>
          </cell>
          <cell r="L918">
            <v>1979.16</v>
          </cell>
          <cell r="M918">
            <v>2800</v>
          </cell>
          <cell r="N918">
            <v>17</v>
          </cell>
          <cell r="O918">
            <v>476</v>
          </cell>
          <cell r="P918">
            <v>-75.949392671638478</v>
          </cell>
        </row>
        <row r="919">
          <cell r="B919" t="str">
            <v>001-0008203</v>
          </cell>
          <cell r="C919" t="str">
            <v>蒸饭柜</v>
          </cell>
          <cell r="E919" t="str">
            <v>国产</v>
          </cell>
          <cell r="F919" t="str">
            <v>台</v>
          </cell>
          <cell r="G919" t="str">
            <v>199610</v>
          </cell>
          <cell r="H919" t="str">
            <v>199610</v>
          </cell>
          <cell r="I919">
            <v>6000</v>
          </cell>
          <cell r="J919">
            <v>4521.25</v>
          </cell>
          <cell r="K919">
            <v>6000</v>
          </cell>
          <cell r="L919">
            <v>4521.25</v>
          </cell>
          <cell r="M919">
            <v>4800</v>
          </cell>
          <cell r="N919">
            <v>10</v>
          </cell>
          <cell r="O919">
            <v>480</v>
          </cell>
          <cell r="P919">
            <v>-89.383466961570363</v>
          </cell>
        </row>
        <row r="920">
          <cell r="B920" t="str">
            <v>001-0008247</v>
          </cell>
          <cell r="C920" t="str">
            <v>打印机</v>
          </cell>
          <cell r="D920" t="str">
            <v>LQ-1600KII</v>
          </cell>
          <cell r="E920" t="str">
            <v>EPSON</v>
          </cell>
          <cell r="F920" t="str">
            <v>台</v>
          </cell>
          <cell r="G920" t="str">
            <v>199610</v>
          </cell>
          <cell r="H920" t="str">
            <v>199610</v>
          </cell>
          <cell r="I920">
            <v>4050</v>
          </cell>
          <cell r="J920">
            <v>2606.02</v>
          </cell>
          <cell r="K920">
            <v>4050</v>
          </cell>
          <cell r="L920">
            <v>2606.02</v>
          </cell>
          <cell r="M920">
            <v>3000</v>
          </cell>
          <cell r="N920">
            <v>10</v>
          </cell>
          <cell r="O920">
            <v>300</v>
          </cell>
          <cell r="P920">
            <v>-88.488192723002896</v>
          </cell>
        </row>
        <row r="921">
          <cell r="B921" t="str">
            <v>001-0008248</v>
          </cell>
          <cell r="C921" t="str">
            <v>打印机</v>
          </cell>
          <cell r="D921" t="str">
            <v>LQ-1600KII</v>
          </cell>
          <cell r="E921" t="str">
            <v>EPSON</v>
          </cell>
          <cell r="F921" t="str">
            <v>台</v>
          </cell>
          <cell r="G921" t="str">
            <v>199610</v>
          </cell>
          <cell r="H921" t="str">
            <v>199610</v>
          </cell>
          <cell r="I921">
            <v>4050</v>
          </cell>
          <cell r="J921">
            <v>2606.02</v>
          </cell>
          <cell r="K921">
            <v>4050</v>
          </cell>
          <cell r="L921">
            <v>2606.02</v>
          </cell>
          <cell r="M921">
            <v>3000</v>
          </cell>
          <cell r="N921">
            <v>10</v>
          </cell>
          <cell r="O921">
            <v>300</v>
          </cell>
          <cell r="P921">
            <v>-88.488192723002896</v>
          </cell>
        </row>
        <row r="922">
          <cell r="B922" t="str">
            <v>001-0008303</v>
          </cell>
          <cell r="C922" t="str">
            <v>调制解调器</v>
          </cell>
          <cell r="D922" t="str">
            <v>HAYZS</v>
          </cell>
          <cell r="E922" t="str">
            <v>莫式</v>
          </cell>
          <cell r="F922" t="str">
            <v>台</v>
          </cell>
          <cell r="G922" t="str">
            <v>199610</v>
          </cell>
          <cell r="H922" t="str">
            <v>199610</v>
          </cell>
          <cell r="I922">
            <v>2000</v>
          </cell>
          <cell r="J922">
            <v>1286.94</v>
          </cell>
          <cell r="K922">
            <v>2000</v>
          </cell>
          <cell r="L922">
            <v>1286.94</v>
          </cell>
          <cell r="M922">
            <v>800</v>
          </cell>
          <cell r="N922">
            <v>10</v>
          </cell>
          <cell r="O922">
            <v>80</v>
          </cell>
          <cell r="P922">
            <v>-93.783703979983528</v>
          </cell>
        </row>
        <row r="923">
          <cell r="B923" t="str">
            <v>001-0008654</v>
          </cell>
          <cell r="C923" t="str">
            <v>冰箱</v>
          </cell>
          <cell r="D923" t="str">
            <v>星星不锈钢</v>
          </cell>
          <cell r="E923" t="str">
            <v>国产</v>
          </cell>
          <cell r="F923" t="str">
            <v>台</v>
          </cell>
          <cell r="G923" t="str">
            <v>199612</v>
          </cell>
          <cell r="H923" t="str">
            <v>199612</v>
          </cell>
          <cell r="I923">
            <v>19800</v>
          </cell>
          <cell r="J923">
            <v>15070.26</v>
          </cell>
          <cell r="K923">
            <v>19800</v>
          </cell>
          <cell r="L923">
            <v>15070.26</v>
          </cell>
          <cell r="M923">
            <v>4200</v>
          </cell>
          <cell r="N923">
            <v>10</v>
          </cell>
          <cell r="O923">
            <v>420</v>
          </cell>
          <cell r="P923">
            <v>-97.213054054807273</v>
          </cell>
        </row>
        <row r="924">
          <cell r="B924" t="str">
            <v>001-0008880</v>
          </cell>
          <cell r="C924" t="str">
            <v>传真机</v>
          </cell>
          <cell r="D924" t="str">
            <v>UF-208M</v>
          </cell>
          <cell r="F924" t="str">
            <v>台</v>
          </cell>
          <cell r="G924" t="str">
            <v>199711</v>
          </cell>
          <cell r="H924" t="str">
            <v>199711</v>
          </cell>
          <cell r="I924">
            <v>13200</v>
          </cell>
          <cell r="J924">
            <v>10340</v>
          </cell>
          <cell r="K924">
            <v>13200</v>
          </cell>
          <cell r="L924">
            <v>10340</v>
          </cell>
          <cell r="M924">
            <v>3000</v>
          </cell>
          <cell r="N924">
            <v>20</v>
          </cell>
          <cell r="O924">
            <v>600</v>
          </cell>
          <cell r="P924">
            <v>-94.197292069632496</v>
          </cell>
        </row>
        <row r="925">
          <cell r="B925" t="str">
            <v>001-0008998</v>
          </cell>
          <cell r="C925" t="str">
            <v>空调</v>
          </cell>
          <cell r="D925" t="str">
            <v>东芝5匹  柜机</v>
          </cell>
          <cell r="F925" t="str">
            <v>台</v>
          </cell>
          <cell r="G925" t="str">
            <v>199802</v>
          </cell>
          <cell r="H925" t="str">
            <v>199802</v>
          </cell>
          <cell r="I925">
            <v>25000</v>
          </cell>
          <cell r="J925">
            <v>12239.57</v>
          </cell>
          <cell r="K925">
            <v>25000</v>
          </cell>
          <cell r="L925">
            <v>12239.57</v>
          </cell>
          <cell r="M925">
            <v>15000</v>
          </cell>
          <cell r="N925">
            <v>50</v>
          </cell>
          <cell r="O925">
            <v>7500</v>
          </cell>
          <cell r="P925">
            <v>-38.723337502869789</v>
          </cell>
        </row>
        <row r="926">
          <cell r="B926" t="str">
            <v>001-0010147</v>
          </cell>
          <cell r="C926" t="str">
            <v>打印机</v>
          </cell>
          <cell r="D926" t="str">
            <v>激光   HP6P</v>
          </cell>
          <cell r="F926" t="str">
            <v>台</v>
          </cell>
          <cell r="G926" t="str">
            <v>199909</v>
          </cell>
          <cell r="H926" t="str">
            <v>199909</v>
          </cell>
          <cell r="I926">
            <v>3150</v>
          </cell>
          <cell r="J926">
            <v>2457.79</v>
          </cell>
          <cell r="K926">
            <v>3150</v>
          </cell>
          <cell r="L926">
            <v>2457.79</v>
          </cell>
          <cell r="M926">
            <v>2800</v>
          </cell>
          <cell r="N926">
            <v>67</v>
          </cell>
          <cell r="O926">
            <v>1876</v>
          </cell>
          <cell r="P926">
            <v>-23.671265649221453</v>
          </cell>
        </row>
        <row r="927">
          <cell r="B927" t="str">
            <v>001-0010155</v>
          </cell>
          <cell r="C927" t="str">
            <v>传真机</v>
          </cell>
          <cell r="D927" t="str">
            <v>松下208A</v>
          </cell>
          <cell r="E927" t="str">
            <v>松下</v>
          </cell>
          <cell r="F927" t="str">
            <v>台</v>
          </cell>
          <cell r="G927" t="str">
            <v>199909</v>
          </cell>
          <cell r="H927" t="str">
            <v>199909</v>
          </cell>
          <cell r="I927">
            <v>8910</v>
          </cell>
          <cell r="J927">
            <v>7843.02</v>
          </cell>
          <cell r="K927">
            <v>8910</v>
          </cell>
          <cell r="L927">
            <v>7843.02</v>
          </cell>
          <cell r="M927">
            <v>3100</v>
          </cell>
          <cell r="N927">
            <v>60</v>
          </cell>
          <cell r="O927">
            <v>1860</v>
          </cell>
          <cell r="P927">
            <v>-76.284645455449564</v>
          </cell>
        </row>
        <row r="928">
          <cell r="B928" t="str">
            <v>001-0010183</v>
          </cell>
          <cell r="C928" t="str">
            <v>计算机</v>
          </cell>
          <cell r="D928" t="str">
            <v>东芝4030CDT（笔记本式）</v>
          </cell>
          <cell r="E928" t="str">
            <v>东芝</v>
          </cell>
          <cell r="F928" t="str">
            <v>台</v>
          </cell>
          <cell r="G928" t="str">
            <v>199909</v>
          </cell>
          <cell r="H928" t="str">
            <v>199909</v>
          </cell>
          <cell r="I928">
            <v>19500</v>
          </cell>
          <cell r="J928">
            <v>14625</v>
          </cell>
          <cell r="K928">
            <v>19500</v>
          </cell>
          <cell r="L928">
            <v>14625</v>
          </cell>
          <cell r="M928">
            <v>8000</v>
          </cell>
          <cell r="N928">
            <v>50</v>
          </cell>
          <cell r="O928">
            <v>4000</v>
          </cell>
          <cell r="P928">
            <v>-72.649572649572647</v>
          </cell>
        </row>
        <row r="929">
          <cell r="B929" t="str">
            <v>001-0011384</v>
          </cell>
          <cell r="C929" t="str">
            <v>复印机</v>
          </cell>
          <cell r="D929" t="str">
            <v>基士得耶220</v>
          </cell>
          <cell r="F929" t="str">
            <v>台</v>
          </cell>
          <cell r="G929" t="str">
            <v>200006</v>
          </cell>
          <cell r="H929" t="str">
            <v>200006</v>
          </cell>
          <cell r="I929">
            <v>23000</v>
          </cell>
          <cell r="J929">
            <v>20102</v>
          </cell>
          <cell r="K929">
            <v>23000</v>
          </cell>
          <cell r="L929">
            <v>20102</v>
          </cell>
          <cell r="M929">
            <v>21400</v>
          </cell>
          <cell r="N929">
            <v>80</v>
          </cell>
          <cell r="O929">
            <v>17120</v>
          </cell>
          <cell r="P929">
            <v>-14.834344841309321</v>
          </cell>
        </row>
        <row r="930">
          <cell r="B930" t="str">
            <v>001-0011522</v>
          </cell>
          <cell r="C930" t="str">
            <v>彩色喷墨打印机</v>
          </cell>
          <cell r="D930" t="str">
            <v>1520K</v>
          </cell>
          <cell r="E930" t="str">
            <v>EPSON</v>
          </cell>
          <cell r="F930" t="str">
            <v>台</v>
          </cell>
          <cell r="G930" t="str">
            <v>200009</v>
          </cell>
          <cell r="H930" t="str">
            <v>200009</v>
          </cell>
          <cell r="I930">
            <v>5725</v>
          </cell>
          <cell r="J930">
            <v>4651.54</v>
          </cell>
          <cell r="K930">
            <v>5725</v>
          </cell>
          <cell r="L930">
            <v>4651.54</v>
          </cell>
          <cell r="M930">
            <v>4700</v>
          </cell>
          <cell r="N930">
            <v>80</v>
          </cell>
          <cell r="O930">
            <v>3760</v>
          </cell>
          <cell r="P930">
            <v>-19.16655559234146</v>
          </cell>
        </row>
        <row r="931">
          <cell r="B931" t="str">
            <v>001-0011666</v>
          </cell>
          <cell r="C931" t="str">
            <v>传真机</v>
          </cell>
          <cell r="D931" t="str">
            <v>KS-FT218</v>
          </cell>
          <cell r="F931" t="str">
            <v>台</v>
          </cell>
          <cell r="G931" t="str">
            <v>200011</v>
          </cell>
          <cell r="H931" t="str">
            <v>200011</v>
          </cell>
          <cell r="I931">
            <v>3250</v>
          </cell>
          <cell r="J931">
            <v>3044.66</v>
          </cell>
          <cell r="K931">
            <v>3250</v>
          </cell>
          <cell r="L931">
            <v>3044.66</v>
          </cell>
          <cell r="M931">
            <v>3100</v>
          </cell>
          <cell r="N931">
            <v>80</v>
          </cell>
          <cell r="O931">
            <v>2480</v>
          </cell>
          <cell r="P931">
            <v>-18.545913172570987</v>
          </cell>
        </row>
        <row r="932">
          <cell r="B932" t="str">
            <v>001-0012049</v>
          </cell>
          <cell r="C932" t="str">
            <v>主干交换机</v>
          </cell>
          <cell r="D932" t="str">
            <v>3C16980，3C16981，3C16971，3C1</v>
          </cell>
          <cell r="E932" t="str">
            <v>3com</v>
          </cell>
          <cell r="F932" t="str">
            <v>台</v>
          </cell>
          <cell r="G932" t="str">
            <v>200012</v>
          </cell>
          <cell r="H932" t="str">
            <v>200012</v>
          </cell>
          <cell r="I932">
            <v>76940</v>
          </cell>
          <cell r="J932">
            <v>72564.039999999994</v>
          </cell>
          <cell r="K932">
            <v>76940</v>
          </cell>
          <cell r="L932">
            <v>72564.039999999994</v>
          </cell>
          <cell r="M932">
            <v>7000</v>
          </cell>
          <cell r="N932">
            <v>90</v>
          </cell>
          <cell r="O932">
            <v>6300</v>
          </cell>
          <cell r="P932">
            <v>-91.318013715884618</v>
          </cell>
        </row>
        <row r="933">
          <cell r="B933" t="str">
            <v>001-0012051</v>
          </cell>
          <cell r="C933" t="str">
            <v>交换机</v>
          </cell>
          <cell r="D933" t="str">
            <v>3C16981，3C16971</v>
          </cell>
          <cell r="E933" t="str">
            <v>3com</v>
          </cell>
          <cell r="F933" t="str">
            <v>台</v>
          </cell>
          <cell r="G933" t="str">
            <v>200012</v>
          </cell>
          <cell r="H933" t="str">
            <v>200012</v>
          </cell>
          <cell r="I933">
            <v>23200</v>
          </cell>
          <cell r="J933">
            <v>21880.49</v>
          </cell>
          <cell r="K933">
            <v>23200</v>
          </cell>
          <cell r="L933">
            <v>21880.49</v>
          </cell>
          <cell r="M933">
            <v>18000</v>
          </cell>
          <cell r="N933">
            <v>90</v>
          </cell>
          <cell r="O933">
            <v>16200</v>
          </cell>
          <cell r="P933">
            <v>-25.961438706354389</v>
          </cell>
        </row>
        <row r="934">
          <cell r="B934" t="str">
            <v>001-0012052</v>
          </cell>
          <cell r="C934" t="str">
            <v>服务器</v>
          </cell>
          <cell r="D934" t="str">
            <v>DELL  4300</v>
          </cell>
          <cell r="E934" t="str">
            <v>DELL</v>
          </cell>
          <cell r="F934" t="str">
            <v>台</v>
          </cell>
          <cell r="G934" t="str">
            <v>200012</v>
          </cell>
          <cell r="H934" t="str">
            <v>200012</v>
          </cell>
          <cell r="I934">
            <v>139500</v>
          </cell>
          <cell r="J934">
            <v>130932.37</v>
          </cell>
          <cell r="K934">
            <v>139500</v>
          </cell>
          <cell r="L934">
            <v>130932.37</v>
          </cell>
          <cell r="M934">
            <v>114000</v>
          </cell>
          <cell r="N934">
            <v>88</v>
          </cell>
          <cell r="O934">
            <v>100320</v>
          </cell>
          <cell r="P934">
            <v>-23.380291672716226</v>
          </cell>
        </row>
        <row r="935">
          <cell r="B935" t="str">
            <v>001-0012053</v>
          </cell>
          <cell r="C935" t="str">
            <v>网管工作站</v>
          </cell>
          <cell r="D935" t="str">
            <v>DELL optiplex  Gxip</v>
          </cell>
          <cell r="E935" t="str">
            <v>DELL</v>
          </cell>
          <cell r="F935" t="str">
            <v>台</v>
          </cell>
          <cell r="G935" t="str">
            <v>200012</v>
          </cell>
          <cell r="H935" t="str">
            <v>200012</v>
          </cell>
          <cell r="I935">
            <v>25280</v>
          </cell>
          <cell r="J935">
            <v>22119.99</v>
          </cell>
          <cell r="K935">
            <v>25280</v>
          </cell>
          <cell r="L935">
            <v>22119.99</v>
          </cell>
          <cell r="M935">
            <v>17000</v>
          </cell>
          <cell r="N935">
            <v>75</v>
          </cell>
          <cell r="O935">
            <v>12750</v>
          </cell>
          <cell r="P935">
            <v>-42.359829276595519</v>
          </cell>
        </row>
        <row r="936">
          <cell r="B936" t="str">
            <v>001-0012054</v>
          </cell>
          <cell r="C936" t="str">
            <v>网管工作站</v>
          </cell>
          <cell r="D936" t="str">
            <v>DELL optiplex  Gxip</v>
          </cell>
          <cell r="E936" t="str">
            <v>DELL</v>
          </cell>
          <cell r="F936" t="str">
            <v>台</v>
          </cell>
          <cell r="G936" t="str">
            <v>200012</v>
          </cell>
          <cell r="H936" t="str">
            <v>200012</v>
          </cell>
          <cell r="I936">
            <v>25280</v>
          </cell>
          <cell r="J936">
            <v>22119.99</v>
          </cell>
          <cell r="K936">
            <v>25280</v>
          </cell>
          <cell r="L936">
            <v>22119.99</v>
          </cell>
          <cell r="M936">
            <v>19000</v>
          </cell>
          <cell r="N936">
            <v>75</v>
          </cell>
          <cell r="O936">
            <v>14250</v>
          </cell>
          <cell r="P936">
            <v>-35.57863272090087</v>
          </cell>
          <cell r="Q936" t="str">
            <v>带光盘机</v>
          </cell>
        </row>
        <row r="937">
          <cell r="B937" t="str">
            <v>001-0012055</v>
          </cell>
          <cell r="C937" t="str">
            <v>工作站</v>
          </cell>
          <cell r="D937" t="str">
            <v>DELL optiplex  G1</v>
          </cell>
          <cell r="E937" t="str">
            <v>DELL</v>
          </cell>
          <cell r="F937" t="str">
            <v>台</v>
          </cell>
          <cell r="G937" t="str">
            <v>200012</v>
          </cell>
          <cell r="H937" t="str">
            <v>200012</v>
          </cell>
          <cell r="I937">
            <v>15500</v>
          </cell>
          <cell r="J937">
            <v>14548.04</v>
          </cell>
          <cell r="K937">
            <v>15500</v>
          </cell>
          <cell r="L937">
            <v>14548.04</v>
          </cell>
          <cell r="M937">
            <v>11000</v>
          </cell>
          <cell r="N937">
            <v>75</v>
          </cell>
          <cell r="O937">
            <v>8250</v>
          </cell>
          <cell r="P937">
            <v>-43.29132996609853</v>
          </cell>
        </row>
        <row r="938">
          <cell r="B938" t="str">
            <v>001-0012056</v>
          </cell>
          <cell r="C938" t="str">
            <v>工作站</v>
          </cell>
          <cell r="D938" t="str">
            <v>DELL optiplex  G1</v>
          </cell>
          <cell r="E938" t="str">
            <v>DELL</v>
          </cell>
          <cell r="F938" t="str">
            <v>台</v>
          </cell>
          <cell r="G938" t="str">
            <v>200012</v>
          </cell>
          <cell r="H938" t="str">
            <v>200012</v>
          </cell>
          <cell r="I938">
            <v>15500</v>
          </cell>
          <cell r="J938">
            <v>14548.04</v>
          </cell>
          <cell r="K938">
            <v>15500</v>
          </cell>
          <cell r="L938">
            <v>14548.04</v>
          </cell>
          <cell r="M938">
            <v>11000</v>
          </cell>
          <cell r="N938">
            <v>75</v>
          </cell>
          <cell r="O938">
            <v>8250</v>
          </cell>
          <cell r="P938">
            <v>-43.29132996609853</v>
          </cell>
        </row>
        <row r="939">
          <cell r="B939" t="str">
            <v>001-0012057</v>
          </cell>
          <cell r="C939" t="str">
            <v>工作站</v>
          </cell>
          <cell r="D939" t="str">
            <v>DELL optiplex  G1</v>
          </cell>
          <cell r="E939" t="str">
            <v>DELL</v>
          </cell>
          <cell r="F939" t="str">
            <v>台</v>
          </cell>
          <cell r="G939" t="str">
            <v>200012</v>
          </cell>
          <cell r="H939" t="str">
            <v>200012</v>
          </cell>
          <cell r="I939">
            <v>15500</v>
          </cell>
          <cell r="J939">
            <v>14548.04</v>
          </cell>
          <cell r="K939">
            <v>15500</v>
          </cell>
          <cell r="L939">
            <v>14548.04</v>
          </cell>
          <cell r="M939">
            <v>11000</v>
          </cell>
          <cell r="N939">
            <v>75</v>
          </cell>
          <cell r="O939">
            <v>8250</v>
          </cell>
          <cell r="P939">
            <v>-43.29132996609853</v>
          </cell>
        </row>
        <row r="940">
          <cell r="B940" t="str">
            <v>001-0012058</v>
          </cell>
          <cell r="C940" t="str">
            <v>工作站</v>
          </cell>
          <cell r="D940" t="str">
            <v>DELL optiplex  G1</v>
          </cell>
          <cell r="E940" t="str">
            <v>DELL</v>
          </cell>
          <cell r="F940" t="str">
            <v>台</v>
          </cell>
          <cell r="G940" t="str">
            <v>200012</v>
          </cell>
          <cell r="H940" t="str">
            <v>200012</v>
          </cell>
          <cell r="I940">
            <v>15500</v>
          </cell>
          <cell r="J940">
            <v>14548.04</v>
          </cell>
          <cell r="K940">
            <v>15500</v>
          </cell>
          <cell r="L940">
            <v>14548.04</v>
          </cell>
          <cell r="M940">
            <v>11000</v>
          </cell>
          <cell r="N940">
            <v>75</v>
          </cell>
          <cell r="O940">
            <v>8250</v>
          </cell>
          <cell r="P940">
            <v>-43.29132996609853</v>
          </cell>
        </row>
        <row r="941">
          <cell r="B941" t="str">
            <v>001-0012059</v>
          </cell>
          <cell r="C941" t="str">
            <v>工作站</v>
          </cell>
          <cell r="D941" t="str">
            <v>DELL optiplex  G1</v>
          </cell>
          <cell r="E941" t="str">
            <v>DELL</v>
          </cell>
          <cell r="F941" t="str">
            <v>台</v>
          </cell>
          <cell r="G941" t="str">
            <v>200012</v>
          </cell>
          <cell r="H941" t="str">
            <v>200012</v>
          </cell>
          <cell r="I941">
            <v>15500</v>
          </cell>
          <cell r="J941">
            <v>13562.49</v>
          </cell>
          <cell r="K941">
            <v>15500</v>
          </cell>
          <cell r="L941">
            <v>13562.49</v>
          </cell>
          <cell r="M941">
            <v>11000</v>
          </cell>
          <cell r="N941">
            <v>75</v>
          </cell>
          <cell r="O941">
            <v>8250</v>
          </cell>
          <cell r="P941">
            <v>-39.170462061170177</v>
          </cell>
        </row>
        <row r="942">
          <cell r="B942" t="str">
            <v>001-0012060</v>
          </cell>
          <cell r="C942" t="str">
            <v>工作站</v>
          </cell>
          <cell r="D942" t="str">
            <v>DELL optiplex  G1</v>
          </cell>
          <cell r="E942" t="str">
            <v>DELL</v>
          </cell>
          <cell r="F942" t="str">
            <v>台</v>
          </cell>
          <cell r="G942" t="str">
            <v>200012</v>
          </cell>
          <cell r="H942" t="str">
            <v>200012</v>
          </cell>
          <cell r="I942">
            <v>15500</v>
          </cell>
          <cell r="J942">
            <v>14548.04</v>
          </cell>
          <cell r="K942">
            <v>15500</v>
          </cell>
          <cell r="L942">
            <v>14548.04</v>
          </cell>
          <cell r="M942">
            <v>11000</v>
          </cell>
          <cell r="N942">
            <v>75</v>
          </cell>
          <cell r="O942">
            <v>8250</v>
          </cell>
          <cell r="P942">
            <v>-43.29132996609853</v>
          </cell>
        </row>
        <row r="943">
          <cell r="B943" t="str">
            <v>001-0012061</v>
          </cell>
          <cell r="C943" t="str">
            <v>工作站</v>
          </cell>
          <cell r="D943" t="str">
            <v>DELL optiplex  G1</v>
          </cell>
          <cell r="E943" t="str">
            <v>DELL</v>
          </cell>
          <cell r="F943" t="str">
            <v>台</v>
          </cell>
          <cell r="G943" t="str">
            <v>200012</v>
          </cell>
          <cell r="H943" t="str">
            <v>200012</v>
          </cell>
          <cell r="I943">
            <v>15500</v>
          </cell>
          <cell r="J943">
            <v>13562.49</v>
          </cell>
          <cell r="K943">
            <v>15500</v>
          </cell>
          <cell r="L943">
            <v>13562.49</v>
          </cell>
          <cell r="M943">
            <v>11000</v>
          </cell>
          <cell r="N943">
            <v>75</v>
          </cell>
          <cell r="O943">
            <v>8250</v>
          </cell>
          <cell r="P943">
            <v>-39.170462061170177</v>
          </cell>
        </row>
        <row r="944">
          <cell r="B944" t="str">
            <v>001-0012062</v>
          </cell>
          <cell r="C944" t="str">
            <v>工作站</v>
          </cell>
          <cell r="D944" t="str">
            <v>DELL optiplex  G1</v>
          </cell>
          <cell r="E944" t="str">
            <v>DELL</v>
          </cell>
          <cell r="F944" t="str">
            <v>台</v>
          </cell>
          <cell r="G944" t="str">
            <v>200012</v>
          </cell>
          <cell r="H944" t="str">
            <v>200012</v>
          </cell>
          <cell r="I944">
            <v>15500</v>
          </cell>
          <cell r="J944">
            <v>14548.04</v>
          </cell>
          <cell r="K944">
            <v>15500</v>
          </cell>
          <cell r="L944">
            <v>14548.04</v>
          </cell>
          <cell r="M944">
            <v>11000</v>
          </cell>
          <cell r="N944">
            <v>75</v>
          </cell>
          <cell r="O944">
            <v>8250</v>
          </cell>
          <cell r="P944">
            <v>-43.29132996609853</v>
          </cell>
        </row>
        <row r="945">
          <cell r="B945" t="str">
            <v>001-0012063</v>
          </cell>
          <cell r="C945" t="str">
            <v>工作站</v>
          </cell>
          <cell r="D945" t="str">
            <v>DELL optiplex  G1</v>
          </cell>
          <cell r="E945" t="str">
            <v>DELL</v>
          </cell>
          <cell r="F945" t="str">
            <v>台</v>
          </cell>
          <cell r="G945" t="str">
            <v>200012</v>
          </cell>
          <cell r="H945" t="str">
            <v>200012</v>
          </cell>
          <cell r="I945">
            <v>15500</v>
          </cell>
          <cell r="J945">
            <v>13562.49</v>
          </cell>
          <cell r="K945">
            <v>15500</v>
          </cell>
          <cell r="L945">
            <v>13562.49</v>
          </cell>
          <cell r="M945">
            <v>11000</v>
          </cell>
          <cell r="N945">
            <v>75</v>
          </cell>
          <cell r="O945">
            <v>8250</v>
          </cell>
          <cell r="P945">
            <v>-39.170462061170177</v>
          </cell>
        </row>
        <row r="946">
          <cell r="B946" t="str">
            <v>001-0012064</v>
          </cell>
          <cell r="C946" t="str">
            <v>工作站</v>
          </cell>
          <cell r="D946" t="str">
            <v>DELL optiplex  G1</v>
          </cell>
          <cell r="E946" t="str">
            <v>DELL</v>
          </cell>
          <cell r="F946" t="str">
            <v>台</v>
          </cell>
          <cell r="G946" t="str">
            <v>200012</v>
          </cell>
          <cell r="H946" t="str">
            <v>200012</v>
          </cell>
          <cell r="I946">
            <v>15500</v>
          </cell>
          <cell r="J946">
            <v>13562.49</v>
          </cell>
          <cell r="K946">
            <v>15500</v>
          </cell>
          <cell r="L946">
            <v>13562.49</v>
          </cell>
          <cell r="M946">
            <v>11000</v>
          </cell>
          <cell r="N946">
            <v>75</v>
          </cell>
          <cell r="O946">
            <v>8250</v>
          </cell>
          <cell r="P946">
            <v>-39.170462061170177</v>
          </cell>
        </row>
        <row r="947">
          <cell r="B947" t="str">
            <v>001-0012065</v>
          </cell>
          <cell r="C947" t="str">
            <v>工作站</v>
          </cell>
          <cell r="D947" t="str">
            <v>DELL optiplex  GX1</v>
          </cell>
          <cell r="E947" t="str">
            <v>DELL</v>
          </cell>
          <cell r="F947" t="str">
            <v>台</v>
          </cell>
          <cell r="G947" t="str">
            <v>200012</v>
          </cell>
          <cell r="H947" t="str">
            <v>200012</v>
          </cell>
          <cell r="I947">
            <v>16950</v>
          </cell>
          <cell r="J947">
            <v>15908.98</v>
          </cell>
          <cell r="K947">
            <v>16950</v>
          </cell>
          <cell r="L947">
            <v>15908.98</v>
          </cell>
          <cell r="M947">
            <v>12000</v>
          </cell>
          <cell r="N947">
            <v>75</v>
          </cell>
          <cell r="O947">
            <v>9000</v>
          </cell>
          <cell r="P947">
            <v>-43.428177042148519</v>
          </cell>
        </row>
        <row r="948">
          <cell r="B948" t="str">
            <v>001-0012066</v>
          </cell>
          <cell r="C948" t="str">
            <v>工作站</v>
          </cell>
          <cell r="D948" t="str">
            <v>DELL optiplex  GX1</v>
          </cell>
          <cell r="E948" t="str">
            <v>DELL</v>
          </cell>
          <cell r="F948" t="str">
            <v>台</v>
          </cell>
          <cell r="G948" t="str">
            <v>200012</v>
          </cell>
          <cell r="H948" t="str">
            <v>200012</v>
          </cell>
          <cell r="I948">
            <v>16950</v>
          </cell>
          <cell r="J948">
            <v>14831.25</v>
          </cell>
          <cell r="K948">
            <v>16950</v>
          </cell>
          <cell r="L948">
            <v>14831.25</v>
          </cell>
          <cell r="M948">
            <v>12000</v>
          </cell>
          <cell r="N948">
            <v>75</v>
          </cell>
          <cell r="O948">
            <v>9000</v>
          </cell>
          <cell r="P948">
            <v>-39.317319848293295</v>
          </cell>
        </row>
        <row r="949">
          <cell r="B949" t="str">
            <v>001-0012067</v>
          </cell>
          <cell r="C949" t="str">
            <v>工作站</v>
          </cell>
          <cell r="D949" t="str">
            <v>DELL optiplex  GX1</v>
          </cell>
          <cell r="E949" t="str">
            <v>DELL</v>
          </cell>
          <cell r="F949" t="str">
            <v>台</v>
          </cell>
          <cell r="G949" t="str">
            <v>200012</v>
          </cell>
          <cell r="H949" t="str">
            <v>200012</v>
          </cell>
          <cell r="I949">
            <v>16950</v>
          </cell>
          <cell r="J949">
            <v>14831.25</v>
          </cell>
          <cell r="K949">
            <v>16950</v>
          </cell>
          <cell r="L949">
            <v>14831.25</v>
          </cell>
          <cell r="M949">
            <v>12000</v>
          </cell>
          <cell r="N949">
            <v>75</v>
          </cell>
          <cell r="O949">
            <v>9000</v>
          </cell>
          <cell r="P949">
            <v>-39.317319848293295</v>
          </cell>
        </row>
        <row r="950">
          <cell r="B950" t="str">
            <v>001-0012068</v>
          </cell>
          <cell r="C950" t="str">
            <v>工作站</v>
          </cell>
          <cell r="D950" t="str">
            <v>DELL optiplex  GX1</v>
          </cell>
          <cell r="E950" t="str">
            <v>DELL</v>
          </cell>
          <cell r="F950" t="str">
            <v>台</v>
          </cell>
          <cell r="G950" t="str">
            <v>200012</v>
          </cell>
          <cell r="H950" t="str">
            <v>200012</v>
          </cell>
          <cell r="I950">
            <v>16950</v>
          </cell>
          <cell r="J950">
            <v>14831.25</v>
          </cell>
          <cell r="K950">
            <v>16950</v>
          </cell>
          <cell r="L950">
            <v>14831.25</v>
          </cell>
          <cell r="M950">
            <v>12000</v>
          </cell>
          <cell r="N950">
            <v>75</v>
          </cell>
          <cell r="O950">
            <v>9000</v>
          </cell>
          <cell r="P950">
            <v>-39.317319848293295</v>
          </cell>
        </row>
        <row r="951">
          <cell r="B951" t="str">
            <v>001-0012069</v>
          </cell>
          <cell r="C951" t="str">
            <v>工作站</v>
          </cell>
          <cell r="D951" t="str">
            <v>DELL optiplex  GX1</v>
          </cell>
          <cell r="E951" t="str">
            <v>DELL</v>
          </cell>
          <cell r="F951" t="str">
            <v>台</v>
          </cell>
          <cell r="G951" t="str">
            <v>200012</v>
          </cell>
          <cell r="H951" t="str">
            <v>200012</v>
          </cell>
          <cell r="I951">
            <v>16950</v>
          </cell>
          <cell r="J951">
            <v>15908.98</v>
          </cell>
          <cell r="K951">
            <v>16950</v>
          </cell>
          <cell r="L951">
            <v>15908.98</v>
          </cell>
          <cell r="M951">
            <v>12000</v>
          </cell>
          <cell r="N951">
            <v>75</v>
          </cell>
          <cell r="O951">
            <v>9000</v>
          </cell>
          <cell r="P951">
            <v>-43.428177042148519</v>
          </cell>
        </row>
        <row r="952">
          <cell r="B952" t="str">
            <v>001-0012070</v>
          </cell>
          <cell r="C952" t="str">
            <v>工作站</v>
          </cell>
          <cell r="D952" t="str">
            <v>DELL optiplex  GX1</v>
          </cell>
          <cell r="E952" t="str">
            <v>DELL</v>
          </cell>
          <cell r="F952" t="str">
            <v>台</v>
          </cell>
          <cell r="G952" t="str">
            <v>200012</v>
          </cell>
          <cell r="H952" t="str">
            <v>200012</v>
          </cell>
          <cell r="I952">
            <v>16950</v>
          </cell>
          <cell r="J952">
            <v>15908.98</v>
          </cell>
          <cell r="K952">
            <v>16950</v>
          </cell>
          <cell r="L952">
            <v>15908.98</v>
          </cell>
          <cell r="M952">
            <v>12000</v>
          </cell>
          <cell r="N952">
            <v>75</v>
          </cell>
          <cell r="O952">
            <v>9000</v>
          </cell>
          <cell r="P952">
            <v>-43.428177042148519</v>
          </cell>
        </row>
        <row r="953">
          <cell r="B953" t="str">
            <v>001-0012071</v>
          </cell>
          <cell r="C953" t="str">
            <v>工作站</v>
          </cell>
          <cell r="D953" t="str">
            <v>DELL optiplex  GX1</v>
          </cell>
          <cell r="E953" t="str">
            <v>DELL</v>
          </cell>
          <cell r="F953" t="str">
            <v>台</v>
          </cell>
          <cell r="G953" t="str">
            <v>200012</v>
          </cell>
          <cell r="H953" t="str">
            <v>200012</v>
          </cell>
          <cell r="I953">
            <v>16950</v>
          </cell>
          <cell r="J953">
            <v>14831.25</v>
          </cell>
          <cell r="K953">
            <v>16950</v>
          </cell>
          <cell r="L953">
            <v>14831.25</v>
          </cell>
          <cell r="M953">
            <v>12000</v>
          </cell>
          <cell r="N953">
            <v>75</v>
          </cell>
          <cell r="O953">
            <v>9000</v>
          </cell>
          <cell r="P953">
            <v>-39.317319848293295</v>
          </cell>
        </row>
        <row r="954">
          <cell r="B954" t="str">
            <v>001-0012072</v>
          </cell>
          <cell r="C954" t="str">
            <v>工作站</v>
          </cell>
          <cell r="D954" t="str">
            <v>DELL optiplex  GX1</v>
          </cell>
          <cell r="E954" t="str">
            <v>DELL</v>
          </cell>
          <cell r="F954" t="str">
            <v>台</v>
          </cell>
          <cell r="G954" t="str">
            <v>200012</v>
          </cell>
          <cell r="H954" t="str">
            <v>200012</v>
          </cell>
          <cell r="I954">
            <v>16950</v>
          </cell>
          <cell r="J954">
            <v>15908.98</v>
          </cell>
          <cell r="K954">
            <v>16950</v>
          </cell>
          <cell r="L954">
            <v>15908.98</v>
          </cell>
          <cell r="M954">
            <v>12000</v>
          </cell>
          <cell r="N954">
            <v>75</v>
          </cell>
          <cell r="O954">
            <v>9000</v>
          </cell>
          <cell r="P954">
            <v>-43.428177042148519</v>
          </cell>
        </row>
        <row r="955">
          <cell r="B955" t="str">
            <v>001-0012073</v>
          </cell>
          <cell r="C955" t="str">
            <v>光盘机</v>
          </cell>
          <cell r="D955" t="str">
            <v>HP CD-Writer  Plus 8100i</v>
          </cell>
          <cell r="E955" t="str">
            <v>HP</v>
          </cell>
          <cell r="F955" t="str">
            <v>台</v>
          </cell>
          <cell r="G955" t="str">
            <v>200012</v>
          </cell>
          <cell r="H955" t="str">
            <v>200012</v>
          </cell>
          <cell r="I955">
            <v>5000</v>
          </cell>
          <cell r="J955">
            <v>4692.91</v>
          </cell>
          <cell r="K955">
            <v>5000</v>
          </cell>
          <cell r="L955">
            <v>4692.91</v>
          </cell>
          <cell r="M955">
            <v>0</v>
          </cell>
          <cell r="O955">
            <v>0</v>
          </cell>
          <cell r="P955">
            <v>-100</v>
          </cell>
          <cell r="Q955" t="str">
            <v>报废</v>
          </cell>
        </row>
        <row r="956">
          <cell r="B956" t="str">
            <v>001-0012074</v>
          </cell>
          <cell r="C956" t="str">
            <v>激光打印机</v>
          </cell>
          <cell r="D956" t="str">
            <v>GP 6L GOLD</v>
          </cell>
          <cell r="E956" t="str">
            <v>HP</v>
          </cell>
          <cell r="F956" t="str">
            <v>台</v>
          </cell>
          <cell r="G956" t="str">
            <v>200012</v>
          </cell>
          <cell r="H956" t="str">
            <v>200012</v>
          </cell>
          <cell r="I956">
            <v>3710</v>
          </cell>
          <cell r="J956">
            <v>3474.4</v>
          </cell>
          <cell r="K956">
            <v>3710</v>
          </cell>
          <cell r="L956">
            <v>3474.4</v>
          </cell>
          <cell r="M956">
            <v>2800</v>
          </cell>
          <cell r="N956">
            <v>83</v>
          </cell>
          <cell r="O956">
            <v>2324</v>
          </cell>
          <cell r="P956">
            <v>-33.11075293575869</v>
          </cell>
        </row>
        <row r="957">
          <cell r="B957" t="str">
            <v>001-0012075</v>
          </cell>
          <cell r="C957" t="str">
            <v>激光打印机</v>
          </cell>
          <cell r="D957" t="str">
            <v>GP 6L GOLD</v>
          </cell>
          <cell r="E957" t="str">
            <v>HP</v>
          </cell>
          <cell r="F957" t="str">
            <v>台</v>
          </cell>
          <cell r="G957" t="str">
            <v>200012</v>
          </cell>
          <cell r="H957" t="str">
            <v>200012</v>
          </cell>
          <cell r="I957">
            <v>3710</v>
          </cell>
          <cell r="J957">
            <v>3474.4</v>
          </cell>
          <cell r="K957">
            <v>3710</v>
          </cell>
          <cell r="L957">
            <v>3474.4</v>
          </cell>
          <cell r="M957">
            <v>2800</v>
          </cell>
          <cell r="N957">
            <v>83</v>
          </cell>
          <cell r="O957">
            <v>2324</v>
          </cell>
          <cell r="P957">
            <v>-33.11075293575869</v>
          </cell>
        </row>
        <row r="958">
          <cell r="B958" t="str">
            <v>001-0012076</v>
          </cell>
          <cell r="C958" t="str">
            <v>激光打印机</v>
          </cell>
          <cell r="D958" t="str">
            <v>GP 6L GOLD</v>
          </cell>
          <cell r="E958" t="str">
            <v>HP</v>
          </cell>
          <cell r="F958" t="str">
            <v>台</v>
          </cell>
          <cell r="G958" t="str">
            <v>200012</v>
          </cell>
          <cell r="H958" t="str">
            <v>200012</v>
          </cell>
          <cell r="I958">
            <v>3710</v>
          </cell>
          <cell r="J958">
            <v>3130.3</v>
          </cell>
          <cell r="K958">
            <v>3710</v>
          </cell>
          <cell r="L958">
            <v>3130.3</v>
          </cell>
          <cell r="M958">
            <v>2800</v>
          </cell>
          <cell r="N958">
            <v>83</v>
          </cell>
          <cell r="O958">
            <v>2324</v>
          </cell>
          <cell r="P958">
            <v>-25.757914576877621</v>
          </cell>
        </row>
        <row r="959">
          <cell r="B959" t="str">
            <v>001-0012077</v>
          </cell>
          <cell r="C959" t="str">
            <v>激光打印机</v>
          </cell>
          <cell r="D959" t="str">
            <v>GP 6L GOLD</v>
          </cell>
          <cell r="E959" t="str">
            <v>HP</v>
          </cell>
          <cell r="F959" t="str">
            <v>台</v>
          </cell>
          <cell r="G959" t="str">
            <v>200012</v>
          </cell>
          <cell r="H959" t="str">
            <v>200012</v>
          </cell>
          <cell r="I959">
            <v>3710</v>
          </cell>
          <cell r="J959">
            <v>3474.4</v>
          </cell>
          <cell r="K959">
            <v>3710</v>
          </cell>
          <cell r="L959">
            <v>3474.4</v>
          </cell>
          <cell r="M959">
            <v>2800</v>
          </cell>
          <cell r="N959">
            <v>83</v>
          </cell>
          <cell r="O959">
            <v>2324</v>
          </cell>
          <cell r="P959">
            <v>-33.11075293575869</v>
          </cell>
        </row>
        <row r="960">
          <cell r="B960" t="str">
            <v>001-0012078</v>
          </cell>
          <cell r="C960" t="str">
            <v>激光打印机</v>
          </cell>
          <cell r="D960" t="str">
            <v>GP 6L GOLD</v>
          </cell>
          <cell r="E960" t="str">
            <v>HP</v>
          </cell>
          <cell r="F960" t="str">
            <v>台</v>
          </cell>
          <cell r="G960" t="str">
            <v>200012</v>
          </cell>
          <cell r="H960" t="str">
            <v>200012</v>
          </cell>
          <cell r="I960">
            <v>3710</v>
          </cell>
          <cell r="J960">
            <v>3130.3</v>
          </cell>
          <cell r="K960">
            <v>3710</v>
          </cell>
          <cell r="L960">
            <v>3130.3</v>
          </cell>
          <cell r="M960">
            <v>2800</v>
          </cell>
          <cell r="N960">
            <v>83</v>
          </cell>
          <cell r="O960">
            <v>2324</v>
          </cell>
          <cell r="P960">
            <v>-25.757914576877621</v>
          </cell>
        </row>
        <row r="961">
          <cell r="B961" t="str">
            <v>001-0001340</v>
          </cell>
          <cell r="C961" t="str">
            <v>蒸饭机</v>
          </cell>
          <cell r="D961" t="str">
            <v>K2-G1</v>
          </cell>
          <cell r="F961" t="str">
            <v>台</v>
          </cell>
          <cell r="I961">
            <v>5174.28</v>
          </cell>
          <cell r="J961">
            <v>0</v>
          </cell>
          <cell r="K961">
            <v>5174.28</v>
          </cell>
          <cell r="L961">
            <v>0</v>
          </cell>
          <cell r="M961">
            <v>0</v>
          </cell>
          <cell r="O961">
            <v>0</v>
          </cell>
          <cell r="Q961" t="str">
            <v>报废</v>
          </cell>
        </row>
        <row r="962">
          <cell r="B962" t="str">
            <v>001-0001681</v>
          </cell>
          <cell r="C962" t="str">
            <v>开水器</v>
          </cell>
          <cell r="D962" t="str">
            <v>DR-303</v>
          </cell>
          <cell r="F962" t="str">
            <v>台</v>
          </cell>
          <cell r="I962">
            <v>3839.12</v>
          </cell>
          <cell r="J962">
            <v>0</v>
          </cell>
          <cell r="K962">
            <v>3839.12</v>
          </cell>
          <cell r="L962">
            <v>0</v>
          </cell>
          <cell r="M962">
            <v>0</v>
          </cell>
          <cell r="O962">
            <v>0</v>
          </cell>
          <cell r="Q962" t="str">
            <v>报废</v>
          </cell>
        </row>
        <row r="963">
          <cell r="B963" t="str">
            <v>001-0001898</v>
          </cell>
          <cell r="C963" t="str">
            <v>空调器</v>
          </cell>
          <cell r="D963" t="str">
            <v>400大卡</v>
          </cell>
          <cell r="F963" t="str">
            <v>台</v>
          </cell>
          <cell r="I963">
            <v>4828.76</v>
          </cell>
          <cell r="J963">
            <v>0</v>
          </cell>
          <cell r="K963">
            <v>4828.76</v>
          </cell>
          <cell r="L963">
            <v>0</v>
          </cell>
          <cell r="M963">
            <v>0</v>
          </cell>
          <cell r="O963">
            <v>0</v>
          </cell>
          <cell r="Q963" t="str">
            <v>报废</v>
          </cell>
        </row>
        <row r="964">
          <cell r="B964" t="str">
            <v>001-0001941</v>
          </cell>
          <cell r="C964" t="str">
            <v>电冰箱</v>
          </cell>
          <cell r="D964" t="str">
            <v/>
          </cell>
          <cell r="F964" t="str">
            <v>台</v>
          </cell>
          <cell r="I964">
            <v>2336.19</v>
          </cell>
          <cell r="J964">
            <v>0</v>
          </cell>
          <cell r="K964">
            <v>2336.19</v>
          </cell>
          <cell r="L964">
            <v>0</v>
          </cell>
          <cell r="M964">
            <v>0</v>
          </cell>
          <cell r="O964">
            <v>0</v>
          </cell>
          <cell r="Q964" t="str">
            <v>报废</v>
          </cell>
        </row>
        <row r="965">
          <cell r="B965" t="str">
            <v>001-0019929</v>
          </cell>
          <cell r="C965" t="str">
            <v>打印机</v>
          </cell>
          <cell r="D965" t="str">
            <v>LQ-300K</v>
          </cell>
          <cell r="E965" t="str">
            <v>Epson公司</v>
          </cell>
          <cell r="F965" t="str">
            <v>台</v>
          </cell>
          <cell r="G965">
            <v>200112</v>
          </cell>
          <cell r="H965">
            <v>200112</v>
          </cell>
          <cell r="I965">
            <v>1751</v>
          </cell>
          <cell r="J965">
            <v>1714.52</v>
          </cell>
          <cell r="K965">
            <v>1751</v>
          </cell>
          <cell r="L965">
            <v>1714.52</v>
          </cell>
          <cell r="M965">
            <v>1750</v>
          </cell>
          <cell r="N965">
            <v>95</v>
          </cell>
          <cell r="O965">
            <v>1662.5</v>
          </cell>
          <cell r="P965">
            <v>-3.0340853416699707</v>
          </cell>
          <cell r="Q965" t="str">
            <v>转九州</v>
          </cell>
        </row>
        <row r="966">
          <cell r="B966" t="str">
            <v>001-0019930</v>
          </cell>
          <cell r="C966" t="str">
            <v>打印机</v>
          </cell>
          <cell r="D966" t="str">
            <v>LQ-300K</v>
          </cell>
          <cell r="E966" t="str">
            <v>Epson公司</v>
          </cell>
          <cell r="F966" t="str">
            <v>台</v>
          </cell>
          <cell r="G966">
            <v>200112</v>
          </cell>
          <cell r="H966">
            <v>200112</v>
          </cell>
          <cell r="I966">
            <v>1751</v>
          </cell>
          <cell r="J966">
            <v>1714.52</v>
          </cell>
          <cell r="K966">
            <v>1751</v>
          </cell>
          <cell r="L966">
            <v>1714.52</v>
          </cell>
          <cell r="M966">
            <v>1750</v>
          </cell>
          <cell r="O966">
            <v>0</v>
          </cell>
          <cell r="P966">
            <v>-100</v>
          </cell>
          <cell r="Q966" t="str">
            <v>报废</v>
          </cell>
        </row>
        <row r="967">
          <cell r="B967" t="str">
            <v>001-0019931</v>
          </cell>
          <cell r="C967" t="str">
            <v>打印机</v>
          </cell>
          <cell r="D967" t="str">
            <v>LQ-300K</v>
          </cell>
          <cell r="E967" t="str">
            <v>Epson公司</v>
          </cell>
          <cell r="F967" t="str">
            <v>台</v>
          </cell>
          <cell r="G967">
            <v>200112</v>
          </cell>
          <cell r="H967">
            <v>200112</v>
          </cell>
          <cell r="I967">
            <v>1751</v>
          </cell>
          <cell r="J967">
            <v>1714.52</v>
          </cell>
          <cell r="K967">
            <v>1751</v>
          </cell>
          <cell r="L967">
            <v>1714.52</v>
          </cell>
          <cell r="M967">
            <v>1750</v>
          </cell>
          <cell r="O967">
            <v>0</v>
          </cell>
          <cell r="P967">
            <v>-100</v>
          </cell>
          <cell r="Q967" t="str">
            <v>报废</v>
          </cell>
        </row>
        <row r="968">
          <cell r="B968" t="str">
            <v>001-0019932</v>
          </cell>
          <cell r="C968" t="str">
            <v>打印机</v>
          </cell>
          <cell r="D968" t="str">
            <v>LQ-300K</v>
          </cell>
          <cell r="E968" t="str">
            <v>Epson公司</v>
          </cell>
          <cell r="F968" t="str">
            <v>台</v>
          </cell>
          <cell r="G968">
            <v>200112</v>
          </cell>
          <cell r="H968">
            <v>200112</v>
          </cell>
          <cell r="I968">
            <v>1751</v>
          </cell>
          <cell r="J968">
            <v>1714.52</v>
          </cell>
          <cell r="K968">
            <v>1751</v>
          </cell>
          <cell r="L968">
            <v>1714.52</v>
          </cell>
          <cell r="M968">
            <v>1750</v>
          </cell>
          <cell r="O968">
            <v>0</v>
          </cell>
          <cell r="P968">
            <v>-100</v>
          </cell>
          <cell r="Q968" t="str">
            <v>报废</v>
          </cell>
        </row>
        <row r="969">
          <cell r="B969" t="str">
            <v>001-0003932</v>
          </cell>
          <cell r="C969" t="str">
            <v>心肺复苏模拟人</v>
          </cell>
          <cell r="D969" t="str">
            <v>FSR-Ⅱ</v>
          </cell>
          <cell r="F969" t="str">
            <v>个</v>
          </cell>
          <cell r="G969">
            <v>199110</v>
          </cell>
          <cell r="H969">
            <v>199110</v>
          </cell>
          <cell r="I969">
            <v>3867.57</v>
          </cell>
          <cell r="J969">
            <v>2034.52</v>
          </cell>
          <cell r="K969">
            <v>3867.57</v>
          </cell>
          <cell r="L969">
            <v>2034.52</v>
          </cell>
          <cell r="M969">
            <v>48000</v>
          </cell>
          <cell r="N969">
            <v>5</v>
          </cell>
          <cell r="O969">
            <v>2400</v>
          </cell>
          <cell r="P969">
            <v>17.963942354953506</v>
          </cell>
        </row>
        <row r="970">
          <cell r="B970" t="str">
            <v>001-0003933</v>
          </cell>
          <cell r="C970" t="str">
            <v>心肺复苏模拟人</v>
          </cell>
          <cell r="D970" t="str">
            <v>FSR-Ⅱ</v>
          </cell>
          <cell r="F970" t="str">
            <v>个</v>
          </cell>
          <cell r="G970">
            <v>199110</v>
          </cell>
          <cell r="H970">
            <v>199110</v>
          </cell>
          <cell r="I970">
            <v>3867.57</v>
          </cell>
          <cell r="J970">
            <v>991.08</v>
          </cell>
          <cell r="K970">
            <v>3867.57</v>
          </cell>
          <cell r="L970">
            <v>991.08</v>
          </cell>
          <cell r="M970">
            <v>0</v>
          </cell>
          <cell r="O970">
            <v>0</v>
          </cell>
          <cell r="P970">
            <v>-100</v>
          </cell>
          <cell r="Q970" t="str">
            <v>报废</v>
          </cell>
        </row>
        <row r="971">
          <cell r="B971" t="str">
            <v>001-0005676</v>
          </cell>
          <cell r="C971" t="str">
            <v>空调</v>
          </cell>
          <cell r="D971" t="str">
            <v>KCD-31B</v>
          </cell>
          <cell r="F971" t="str">
            <v>台</v>
          </cell>
          <cell r="G971">
            <v>199405</v>
          </cell>
          <cell r="H971">
            <v>199405</v>
          </cell>
          <cell r="I971">
            <v>3900</v>
          </cell>
          <cell r="J971">
            <v>1718.71</v>
          </cell>
          <cell r="K971">
            <v>3900</v>
          </cell>
          <cell r="L971">
            <v>1718.71</v>
          </cell>
          <cell r="M971">
            <v>2000</v>
          </cell>
          <cell r="N971">
            <v>15</v>
          </cell>
          <cell r="O971">
            <v>300</v>
          </cell>
          <cell r="P971">
            <v>-82.545048321124568</v>
          </cell>
          <cell r="Q971" t="str">
            <v>活动室</v>
          </cell>
        </row>
        <row r="972">
          <cell r="B972" t="str">
            <v>001-0005865</v>
          </cell>
          <cell r="C972" t="str">
            <v>空调</v>
          </cell>
          <cell r="D972" t="str">
            <v>柜式3GD双温</v>
          </cell>
          <cell r="F972" t="str">
            <v>台</v>
          </cell>
          <cell r="G972">
            <v>199410</v>
          </cell>
          <cell r="H972">
            <v>199410</v>
          </cell>
          <cell r="I972">
            <v>25500</v>
          </cell>
          <cell r="J972">
            <v>12766.99</v>
          </cell>
          <cell r="K972">
            <v>25500</v>
          </cell>
          <cell r="L972">
            <v>12766.99</v>
          </cell>
          <cell r="M972">
            <v>12000</v>
          </cell>
          <cell r="N972">
            <v>15</v>
          </cell>
          <cell r="O972">
            <v>1800</v>
          </cell>
          <cell r="P972">
            <v>-85.901140362763655</v>
          </cell>
          <cell r="Q972" t="str">
            <v>活动室</v>
          </cell>
        </row>
        <row r="973">
          <cell r="B973" t="str">
            <v>001-0006928</v>
          </cell>
          <cell r="C973" t="str">
            <v>先锋音响</v>
          </cell>
          <cell r="D973" t="str">
            <v/>
          </cell>
          <cell r="F973" t="str">
            <v>台</v>
          </cell>
          <cell r="G973">
            <v>199505</v>
          </cell>
          <cell r="H973">
            <v>199505</v>
          </cell>
          <cell r="I973">
            <v>20100</v>
          </cell>
          <cell r="J973">
            <v>10293.19</v>
          </cell>
          <cell r="K973">
            <v>20100</v>
          </cell>
          <cell r="L973">
            <v>10293.19</v>
          </cell>
          <cell r="M973">
            <v>10000</v>
          </cell>
          <cell r="N973">
            <v>15</v>
          </cell>
          <cell r="O973">
            <v>1500</v>
          </cell>
          <cell r="P973">
            <v>-85.427258216354701</v>
          </cell>
        </row>
        <row r="974">
          <cell r="B974" t="str">
            <v>001-0007277</v>
          </cell>
          <cell r="C974" t="str">
            <v>双叶牌电冰柜</v>
          </cell>
          <cell r="D974" t="str">
            <v>SBZL-4</v>
          </cell>
          <cell r="F974" t="str">
            <v>台</v>
          </cell>
          <cell r="G974">
            <v>199509</v>
          </cell>
          <cell r="H974">
            <v>199509</v>
          </cell>
          <cell r="I974">
            <v>24008.400000000001</v>
          </cell>
          <cell r="J974">
            <v>16907.919999999998</v>
          </cell>
          <cell r="K974">
            <v>24008.400000000001</v>
          </cell>
          <cell r="L974">
            <v>16907.919999999998</v>
          </cell>
          <cell r="M974">
            <v>21000</v>
          </cell>
          <cell r="N974">
            <v>50</v>
          </cell>
          <cell r="O974">
            <v>10500</v>
          </cell>
          <cell r="P974">
            <v>-37.898925473979048</v>
          </cell>
        </row>
        <row r="975">
          <cell r="B975" t="str">
            <v>001-0007278</v>
          </cell>
          <cell r="C975" t="str">
            <v>不锈钢餐车</v>
          </cell>
          <cell r="D975" t="str">
            <v>960*486*250</v>
          </cell>
          <cell r="F975" t="str">
            <v>台</v>
          </cell>
          <cell r="G975">
            <v>199509</v>
          </cell>
          <cell r="H975">
            <v>199509</v>
          </cell>
          <cell r="I975">
            <v>2100</v>
          </cell>
          <cell r="J975">
            <v>1478.93</v>
          </cell>
          <cell r="K975">
            <v>2100</v>
          </cell>
          <cell r="L975">
            <v>1478.93</v>
          </cell>
          <cell r="M975">
            <v>2300</v>
          </cell>
          <cell r="N975">
            <v>50</v>
          </cell>
          <cell r="O975">
            <v>1150</v>
          </cell>
          <cell r="P975">
            <v>-22.24107969951249</v>
          </cell>
        </row>
        <row r="976">
          <cell r="B976" t="str">
            <v>001-0009038</v>
          </cell>
          <cell r="C976" t="str">
            <v>传真机</v>
          </cell>
          <cell r="D976" t="str">
            <v>佳能380</v>
          </cell>
          <cell r="F976" t="str">
            <v>台</v>
          </cell>
          <cell r="G976">
            <v>199806</v>
          </cell>
          <cell r="H976">
            <v>199806</v>
          </cell>
          <cell r="I976">
            <v>7400</v>
          </cell>
          <cell r="J976">
            <v>5642.25</v>
          </cell>
          <cell r="K976">
            <v>7400</v>
          </cell>
          <cell r="L976">
            <v>5642.25</v>
          </cell>
          <cell r="M976">
            <v>6700</v>
          </cell>
          <cell r="N976">
            <v>30</v>
          </cell>
          <cell r="O976">
            <v>2010</v>
          </cell>
          <cell r="P976">
            <v>-64.375913864149936</v>
          </cell>
        </row>
        <row r="977">
          <cell r="B977" t="str">
            <v>001-0009305</v>
          </cell>
          <cell r="C977" t="str">
            <v>工控机</v>
          </cell>
          <cell r="D977" t="str">
            <v>大众 586/166</v>
          </cell>
          <cell r="F977" t="str">
            <v>台</v>
          </cell>
          <cell r="G977">
            <v>199812</v>
          </cell>
          <cell r="H977">
            <v>199901</v>
          </cell>
          <cell r="I977">
            <v>27843</v>
          </cell>
          <cell r="J977">
            <v>18794.009999999998</v>
          </cell>
          <cell r="K977">
            <v>27843</v>
          </cell>
          <cell r="L977">
            <v>18794.009999999998</v>
          </cell>
          <cell r="M977">
            <v>20000</v>
          </cell>
          <cell r="N977">
            <v>50</v>
          </cell>
          <cell r="O977">
            <v>10000</v>
          </cell>
          <cell r="P977">
            <v>-46.791557522849033</v>
          </cell>
        </row>
        <row r="978">
          <cell r="B978" t="str">
            <v>001-0009706</v>
          </cell>
          <cell r="C978" t="str">
            <v>空气呼吸器</v>
          </cell>
          <cell r="D978" t="str">
            <v/>
          </cell>
          <cell r="F978" t="str">
            <v>个</v>
          </cell>
          <cell r="G978">
            <v>199902</v>
          </cell>
          <cell r="H978">
            <v>199902</v>
          </cell>
          <cell r="I978">
            <v>3400</v>
          </cell>
          <cell r="J978">
            <v>2754.23</v>
          </cell>
          <cell r="K978">
            <v>3400</v>
          </cell>
          <cell r="L978">
            <v>2754.23</v>
          </cell>
          <cell r="M978">
            <v>3200</v>
          </cell>
          <cell r="N978">
            <v>80</v>
          </cell>
          <cell r="O978">
            <v>2560</v>
          </cell>
          <cell r="P978">
            <v>-7.0520617377633679</v>
          </cell>
          <cell r="Q978" t="str">
            <v xml:space="preserve">安全科用 </v>
          </cell>
        </row>
        <row r="979">
          <cell r="B979" t="str">
            <v>001-0009707</v>
          </cell>
          <cell r="C979" t="str">
            <v>空气呼吸器</v>
          </cell>
          <cell r="D979" t="str">
            <v/>
          </cell>
          <cell r="F979" t="str">
            <v>个</v>
          </cell>
          <cell r="G979">
            <v>199902</v>
          </cell>
          <cell r="H979">
            <v>199902</v>
          </cell>
          <cell r="I979">
            <v>3400</v>
          </cell>
          <cell r="J979">
            <v>2754.23</v>
          </cell>
          <cell r="K979">
            <v>3400</v>
          </cell>
          <cell r="L979">
            <v>2754.23</v>
          </cell>
          <cell r="M979">
            <v>3200</v>
          </cell>
          <cell r="N979">
            <v>80</v>
          </cell>
          <cell r="O979">
            <v>2560</v>
          </cell>
          <cell r="P979">
            <v>-7.0520617377633679</v>
          </cell>
          <cell r="Q979" t="str">
            <v xml:space="preserve">安全科用 </v>
          </cell>
        </row>
        <row r="980">
          <cell r="B980" t="str">
            <v>001-0009708</v>
          </cell>
          <cell r="C980" t="str">
            <v>空气呼吸器</v>
          </cell>
          <cell r="D980" t="str">
            <v/>
          </cell>
          <cell r="F980" t="str">
            <v>台</v>
          </cell>
          <cell r="G980">
            <v>199902</v>
          </cell>
          <cell r="H980">
            <v>199902</v>
          </cell>
          <cell r="I980">
            <v>3400</v>
          </cell>
          <cell r="J980">
            <v>2754.23</v>
          </cell>
          <cell r="K980">
            <v>3400</v>
          </cell>
          <cell r="L980">
            <v>2754.23</v>
          </cell>
          <cell r="M980">
            <v>3200</v>
          </cell>
          <cell r="N980">
            <v>80</v>
          </cell>
          <cell r="O980">
            <v>2560</v>
          </cell>
          <cell r="P980">
            <v>-7.0520617377633679</v>
          </cell>
          <cell r="Q980" t="str">
            <v xml:space="preserve">安全科用 </v>
          </cell>
        </row>
        <row r="981">
          <cell r="B981" t="str">
            <v>001-0009709</v>
          </cell>
          <cell r="C981" t="str">
            <v>空气呼吸器</v>
          </cell>
          <cell r="D981" t="str">
            <v/>
          </cell>
          <cell r="F981" t="str">
            <v>台</v>
          </cell>
          <cell r="G981">
            <v>199902</v>
          </cell>
          <cell r="H981">
            <v>199902</v>
          </cell>
          <cell r="I981">
            <v>3400</v>
          </cell>
          <cell r="J981">
            <v>2754.23</v>
          </cell>
          <cell r="K981">
            <v>3400</v>
          </cell>
          <cell r="L981">
            <v>2754.23</v>
          </cell>
          <cell r="M981">
            <v>3200</v>
          </cell>
          <cell r="N981">
            <v>80</v>
          </cell>
          <cell r="O981">
            <v>2560</v>
          </cell>
          <cell r="P981">
            <v>-7.0520617377633679</v>
          </cell>
          <cell r="Q981" t="str">
            <v xml:space="preserve">安全科用 </v>
          </cell>
        </row>
        <row r="982">
          <cell r="B982" t="str">
            <v>001-0009710</v>
          </cell>
          <cell r="C982" t="str">
            <v>空气呼吸器</v>
          </cell>
          <cell r="D982" t="str">
            <v/>
          </cell>
          <cell r="F982" t="str">
            <v>台</v>
          </cell>
          <cell r="G982">
            <v>199902</v>
          </cell>
          <cell r="H982">
            <v>199902</v>
          </cell>
          <cell r="I982">
            <v>3400</v>
          </cell>
          <cell r="J982">
            <v>2754.23</v>
          </cell>
          <cell r="K982">
            <v>3400</v>
          </cell>
          <cell r="L982">
            <v>2754.23</v>
          </cell>
          <cell r="M982">
            <v>3200</v>
          </cell>
          <cell r="N982">
            <v>80</v>
          </cell>
          <cell r="O982">
            <v>2560</v>
          </cell>
          <cell r="P982">
            <v>-7.0520617377633679</v>
          </cell>
          <cell r="Q982" t="str">
            <v xml:space="preserve">安全科用 </v>
          </cell>
        </row>
        <row r="983">
          <cell r="B983" t="str">
            <v>001-0009711</v>
          </cell>
          <cell r="C983" t="str">
            <v>空气呼吸器</v>
          </cell>
          <cell r="D983" t="str">
            <v/>
          </cell>
          <cell r="F983" t="str">
            <v>台</v>
          </cell>
          <cell r="G983">
            <v>199902</v>
          </cell>
          <cell r="H983">
            <v>199902</v>
          </cell>
          <cell r="I983">
            <v>3400</v>
          </cell>
          <cell r="J983">
            <v>2754.23</v>
          </cell>
          <cell r="K983">
            <v>3400</v>
          </cell>
          <cell r="L983">
            <v>2754.23</v>
          </cell>
          <cell r="M983">
            <v>3200</v>
          </cell>
          <cell r="N983">
            <v>80</v>
          </cell>
          <cell r="O983">
            <v>2560</v>
          </cell>
          <cell r="P983">
            <v>-7.0520617377633679</v>
          </cell>
          <cell r="Q983" t="str">
            <v xml:space="preserve">安全科用 </v>
          </cell>
        </row>
        <row r="984">
          <cell r="B984" t="str">
            <v>001-0009712</v>
          </cell>
          <cell r="C984" t="str">
            <v>空气呼吸器</v>
          </cell>
          <cell r="D984" t="str">
            <v/>
          </cell>
          <cell r="F984" t="str">
            <v>台</v>
          </cell>
          <cell r="G984">
            <v>199902</v>
          </cell>
          <cell r="H984">
            <v>199902</v>
          </cell>
          <cell r="I984">
            <v>3400</v>
          </cell>
          <cell r="J984">
            <v>2651.49</v>
          </cell>
          <cell r="K984">
            <v>3400</v>
          </cell>
          <cell r="L984">
            <v>2651.49</v>
          </cell>
          <cell r="M984">
            <v>3200</v>
          </cell>
          <cell r="N984">
            <v>80</v>
          </cell>
          <cell r="O984">
            <v>2560</v>
          </cell>
          <cell r="P984">
            <v>-3.4505127305778935</v>
          </cell>
          <cell r="Q984" t="str">
            <v xml:space="preserve">安全科用 </v>
          </cell>
        </row>
        <row r="985">
          <cell r="B985" t="str">
            <v>001-0009713</v>
          </cell>
          <cell r="C985" t="str">
            <v>空气呼吸器</v>
          </cell>
          <cell r="D985" t="str">
            <v/>
          </cell>
          <cell r="F985" t="str">
            <v>台</v>
          </cell>
          <cell r="G985">
            <v>199902</v>
          </cell>
          <cell r="H985">
            <v>199902</v>
          </cell>
          <cell r="I985">
            <v>3400</v>
          </cell>
          <cell r="J985">
            <v>2754.23</v>
          </cell>
          <cell r="K985">
            <v>3400</v>
          </cell>
          <cell r="L985">
            <v>2754.23</v>
          </cell>
          <cell r="M985">
            <v>3200</v>
          </cell>
          <cell r="N985">
            <v>80</v>
          </cell>
          <cell r="O985">
            <v>2560</v>
          </cell>
          <cell r="P985">
            <v>-7.0520617377633679</v>
          </cell>
        </row>
        <row r="986">
          <cell r="B986" t="str">
            <v>001-0017840</v>
          </cell>
          <cell r="C986" t="str">
            <v>微机</v>
          </cell>
          <cell r="D986" t="str">
            <v>DELL-4100(17")</v>
          </cell>
          <cell r="E986" t="str">
            <v>DELL公司</v>
          </cell>
          <cell r="F986" t="str">
            <v>台</v>
          </cell>
          <cell r="G986">
            <v>200103</v>
          </cell>
          <cell r="H986">
            <v>200105</v>
          </cell>
          <cell r="I986">
            <v>10000</v>
          </cell>
          <cell r="J986">
            <v>9582.91</v>
          </cell>
          <cell r="K986">
            <v>10000</v>
          </cell>
          <cell r="L986">
            <v>9582.91</v>
          </cell>
          <cell r="M986">
            <v>8500</v>
          </cell>
          <cell r="N986">
            <v>90</v>
          </cell>
          <cell r="O986">
            <v>7650</v>
          </cell>
          <cell r="P986">
            <v>-20.170386657080154</v>
          </cell>
        </row>
        <row r="987">
          <cell r="B987" t="str">
            <v>001-0017841</v>
          </cell>
          <cell r="C987" t="str">
            <v>微机</v>
          </cell>
          <cell r="D987" t="str">
            <v>DELL-4100(17")</v>
          </cell>
          <cell r="E987" t="str">
            <v>DELL公司</v>
          </cell>
          <cell r="F987" t="str">
            <v>台</v>
          </cell>
          <cell r="G987">
            <v>200103</v>
          </cell>
          <cell r="H987">
            <v>200105</v>
          </cell>
          <cell r="I987">
            <v>10000</v>
          </cell>
          <cell r="J987">
            <v>9582.91</v>
          </cell>
          <cell r="K987">
            <v>10000</v>
          </cell>
          <cell r="L987">
            <v>9582.91</v>
          </cell>
          <cell r="M987">
            <v>8500</v>
          </cell>
          <cell r="N987">
            <v>90</v>
          </cell>
          <cell r="O987">
            <v>7650</v>
          </cell>
          <cell r="P987">
            <v>-20.170386657080154</v>
          </cell>
        </row>
        <row r="988">
          <cell r="B988" t="str">
            <v>001-0017842</v>
          </cell>
          <cell r="C988" t="str">
            <v>微机</v>
          </cell>
          <cell r="D988" t="str">
            <v>DELL-4100(17")</v>
          </cell>
          <cell r="E988" t="str">
            <v>DELL公司</v>
          </cell>
          <cell r="F988" t="str">
            <v>台</v>
          </cell>
          <cell r="G988">
            <v>200103</v>
          </cell>
          <cell r="H988">
            <v>200105</v>
          </cell>
          <cell r="I988">
            <v>10000</v>
          </cell>
          <cell r="J988">
            <v>9083.34</v>
          </cell>
          <cell r="K988">
            <v>10000</v>
          </cell>
          <cell r="L988">
            <v>9083.34</v>
          </cell>
          <cell r="M988">
            <v>8500</v>
          </cell>
          <cell r="N988">
            <v>90</v>
          </cell>
          <cell r="O988">
            <v>7650</v>
          </cell>
          <cell r="P988">
            <v>-15.779878326694806</v>
          </cell>
        </row>
        <row r="989">
          <cell r="B989" t="str">
            <v>001-0018014</v>
          </cell>
          <cell r="C989" t="str">
            <v>空调</v>
          </cell>
          <cell r="D989" t="str">
            <v>美的KFR-36G/AY</v>
          </cell>
          <cell r="E989" t="str">
            <v>美的公司</v>
          </cell>
          <cell r="F989" t="str">
            <v>台</v>
          </cell>
          <cell r="G989">
            <v>200107</v>
          </cell>
          <cell r="H989">
            <v>200107</v>
          </cell>
          <cell r="I989">
            <v>3270</v>
          </cell>
          <cell r="J989">
            <v>3270</v>
          </cell>
          <cell r="K989">
            <v>3270</v>
          </cell>
          <cell r="L989">
            <v>3270</v>
          </cell>
          <cell r="M989">
            <v>3000</v>
          </cell>
          <cell r="N989">
            <v>95</v>
          </cell>
          <cell r="O989">
            <v>2850</v>
          </cell>
          <cell r="P989">
            <v>-12.844036697247708</v>
          </cell>
        </row>
        <row r="990">
          <cell r="B990" t="str">
            <v>001-0018015</v>
          </cell>
          <cell r="C990" t="str">
            <v>空调</v>
          </cell>
          <cell r="D990" t="str">
            <v>美的KFR-71L/KLSDYAY</v>
          </cell>
          <cell r="E990" t="str">
            <v>美的公司</v>
          </cell>
          <cell r="F990" t="str">
            <v>台</v>
          </cell>
          <cell r="G990">
            <v>200107</v>
          </cell>
          <cell r="H990">
            <v>200107</v>
          </cell>
          <cell r="I990">
            <v>6260</v>
          </cell>
          <cell r="J990">
            <v>6260</v>
          </cell>
          <cell r="K990">
            <v>6260</v>
          </cell>
          <cell r="L990">
            <v>6260</v>
          </cell>
          <cell r="M990">
            <v>6200</v>
          </cell>
          <cell r="N990">
            <v>95</v>
          </cell>
          <cell r="O990">
            <v>5890</v>
          </cell>
          <cell r="P990">
            <v>-5.9105431309904155</v>
          </cell>
        </row>
        <row r="991">
          <cell r="B991" t="str">
            <v>001-0018579</v>
          </cell>
          <cell r="C991" t="str">
            <v>服务器</v>
          </cell>
          <cell r="D991" t="str">
            <v>DELL6400</v>
          </cell>
          <cell r="E991" t="str">
            <v>DELL公司</v>
          </cell>
          <cell r="F991" t="str">
            <v>台</v>
          </cell>
          <cell r="G991">
            <v>200109</v>
          </cell>
          <cell r="H991">
            <v>200109</v>
          </cell>
          <cell r="I991">
            <v>123780</v>
          </cell>
          <cell r="J991">
            <v>121433.34</v>
          </cell>
          <cell r="K991">
            <v>123780</v>
          </cell>
          <cell r="L991">
            <v>121433.34</v>
          </cell>
          <cell r="M991">
            <v>120000</v>
          </cell>
          <cell r="N991">
            <v>95</v>
          </cell>
          <cell r="O991">
            <v>114000</v>
          </cell>
          <cell r="P991">
            <v>-6.1213337292707237</v>
          </cell>
        </row>
        <row r="992">
          <cell r="B992" t="str">
            <v>001-0019195</v>
          </cell>
          <cell r="C992" t="str">
            <v>投影仪</v>
          </cell>
          <cell r="D992" t="str">
            <v>CP-X960</v>
          </cell>
          <cell r="E992" t="str">
            <v>日本日立</v>
          </cell>
          <cell r="F992" t="str">
            <v>台</v>
          </cell>
          <cell r="I992">
            <v>36000</v>
          </cell>
          <cell r="J992">
            <v>35590.5</v>
          </cell>
          <cell r="K992">
            <v>36000</v>
          </cell>
          <cell r="L992">
            <v>35590.5</v>
          </cell>
          <cell r="M992">
            <v>36000</v>
          </cell>
          <cell r="N992">
            <v>95</v>
          </cell>
          <cell r="O992">
            <v>34200</v>
          </cell>
          <cell r="P992">
            <v>-3.9069414590972311</v>
          </cell>
        </row>
        <row r="993">
          <cell r="B993" t="str">
            <v>001-0019196</v>
          </cell>
          <cell r="C993" t="str">
            <v>计算机</v>
          </cell>
          <cell r="D993" t="str">
            <v>兼容机</v>
          </cell>
          <cell r="E993" t="str">
            <v>自装</v>
          </cell>
          <cell r="F993" t="str">
            <v>台</v>
          </cell>
          <cell r="G993">
            <v>200111</v>
          </cell>
          <cell r="H993">
            <v>200201</v>
          </cell>
          <cell r="I993">
            <v>11337</v>
          </cell>
          <cell r="J993">
            <v>11053.56</v>
          </cell>
          <cell r="K993">
            <v>11337</v>
          </cell>
          <cell r="L993">
            <v>11053.56</v>
          </cell>
          <cell r="M993">
            <v>11000</v>
          </cell>
          <cell r="N993">
            <v>95</v>
          </cell>
          <cell r="O993">
            <v>10450</v>
          </cell>
          <cell r="P993">
            <v>-5.4603222853089823</v>
          </cell>
        </row>
        <row r="994">
          <cell r="B994" t="str">
            <v>001-0019197</v>
          </cell>
          <cell r="C994" t="str">
            <v>计算机</v>
          </cell>
          <cell r="D994" t="str">
            <v>兼容机</v>
          </cell>
          <cell r="E994" t="str">
            <v>自装</v>
          </cell>
          <cell r="F994" t="str">
            <v>台</v>
          </cell>
          <cell r="G994">
            <v>200111</v>
          </cell>
          <cell r="H994">
            <v>200201</v>
          </cell>
          <cell r="I994">
            <v>11337</v>
          </cell>
          <cell r="J994">
            <v>11053.56</v>
          </cell>
          <cell r="K994">
            <v>11337</v>
          </cell>
          <cell r="L994">
            <v>11053.56</v>
          </cell>
          <cell r="M994">
            <v>11000</v>
          </cell>
          <cell r="N994">
            <v>95</v>
          </cell>
          <cell r="O994">
            <v>10450</v>
          </cell>
          <cell r="P994">
            <v>-5.4603222853089823</v>
          </cell>
        </row>
        <row r="995">
          <cell r="B995" t="str">
            <v>001-0019198</v>
          </cell>
          <cell r="C995" t="str">
            <v>计算机</v>
          </cell>
          <cell r="D995" t="str">
            <v>兼容机</v>
          </cell>
          <cell r="E995" t="str">
            <v>自装</v>
          </cell>
          <cell r="F995" t="str">
            <v>台</v>
          </cell>
          <cell r="G995">
            <v>200111</v>
          </cell>
          <cell r="H995">
            <v>200201</v>
          </cell>
          <cell r="I995">
            <v>11337</v>
          </cell>
          <cell r="J995">
            <v>11208.03</v>
          </cell>
          <cell r="K995">
            <v>11337</v>
          </cell>
          <cell r="L995">
            <v>11208.03</v>
          </cell>
          <cell r="M995">
            <v>11000</v>
          </cell>
          <cell r="N995">
            <v>95</v>
          </cell>
          <cell r="O995">
            <v>10450</v>
          </cell>
          <cell r="P995">
            <v>-6.7632759726731688</v>
          </cell>
        </row>
        <row r="996">
          <cell r="B996" t="str">
            <v>001-0019199</v>
          </cell>
          <cell r="C996" t="str">
            <v>计算机</v>
          </cell>
          <cell r="D996" t="str">
            <v>兼容机</v>
          </cell>
          <cell r="E996" t="str">
            <v>自装</v>
          </cell>
          <cell r="F996" t="str">
            <v>台</v>
          </cell>
          <cell r="G996">
            <v>200111</v>
          </cell>
          <cell r="H996">
            <v>200201</v>
          </cell>
          <cell r="I996">
            <v>11337</v>
          </cell>
          <cell r="J996">
            <v>11053.56</v>
          </cell>
          <cell r="K996">
            <v>11337</v>
          </cell>
          <cell r="L996">
            <v>11053.56</v>
          </cell>
          <cell r="M996">
            <v>11000</v>
          </cell>
          <cell r="N996">
            <v>95</v>
          </cell>
          <cell r="O996">
            <v>10450</v>
          </cell>
          <cell r="P996">
            <v>-5.4603222853089823</v>
          </cell>
        </row>
        <row r="997">
          <cell r="B997" t="str">
            <v>001-0019200</v>
          </cell>
          <cell r="C997" t="str">
            <v>打印机</v>
          </cell>
          <cell r="D997" t="str">
            <v>EPSON-XEVZUE COLOR 1510K</v>
          </cell>
          <cell r="F997" t="str">
            <v>台</v>
          </cell>
          <cell r="G997">
            <v>200111</v>
          </cell>
          <cell r="H997">
            <v>2000112</v>
          </cell>
          <cell r="I997">
            <v>5500</v>
          </cell>
          <cell r="J997">
            <v>5328.13</v>
          </cell>
          <cell r="K997">
            <v>5500</v>
          </cell>
          <cell r="L997">
            <v>5328.13</v>
          </cell>
          <cell r="M997">
            <v>5500</v>
          </cell>
          <cell r="N997">
            <v>90</v>
          </cell>
          <cell r="O997">
            <v>4950</v>
          </cell>
          <cell r="P997">
            <v>-7.0968613753793566</v>
          </cell>
        </row>
        <row r="998">
          <cell r="B998" t="str">
            <v>001-0019934</v>
          </cell>
          <cell r="C998" t="str">
            <v>传真机</v>
          </cell>
          <cell r="D998" t="str">
            <v>佳能C380</v>
          </cell>
          <cell r="F998" t="str">
            <v>台</v>
          </cell>
          <cell r="G998">
            <v>200112</v>
          </cell>
          <cell r="H998">
            <v>200112</v>
          </cell>
          <cell r="I998">
            <v>6800</v>
          </cell>
          <cell r="J998">
            <v>6748.44</v>
          </cell>
          <cell r="K998">
            <v>6800</v>
          </cell>
          <cell r="L998">
            <v>6748.44</v>
          </cell>
          <cell r="M998">
            <v>6800</v>
          </cell>
          <cell r="N998">
            <v>95</v>
          </cell>
          <cell r="O998">
            <v>6460</v>
          </cell>
          <cell r="P998">
            <v>-4.2741729940549167</v>
          </cell>
          <cell r="Q998" t="str">
            <v>总工办</v>
          </cell>
        </row>
        <row r="999">
          <cell r="B999" t="str">
            <v>001-0019935</v>
          </cell>
          <cell r="C999" t="str">
            <v>冷藏工作台</v>
          </cell>
          <cell r="D999" t="str">
            <v>1900*900*800</v>
          </cell>
          <cell r="F999" t="str">
            <v>台</v>
          </cell>
          <cell r="G999">
            <v>200112</v>
          </cell>
          <cell r="H999">
            <v>200112</v>
          </cell>
          <cell r="I999">
            <v>3800</v>
          </cell>
          <cell r="J999">
            <v>3771.18</v>
          </cell>
          <cell r="K999">
            <v>3800</v>
          </cell>
          <cell r="L999">
            <v>3771.18</v>
          </cell>
          <cell r="M999">
            <v>3800</v>
          </cell>
          <cell r="N999">
            <v>95</v>
          </cell>
          <cell r="O999">
            <v>3610</v>
          </cell>
          <cell r="P999">
            <v>-4.2739938162590985</v>
          </cell>
        </row>
        <row r="1000">
          <cell r="B1000" t="str">
            <v>001-0019936</v>
          </cell>
          <cell r="C1000" t="str">
            <v>不锈钢工作台</v>
          </cell>
          <cell r="D1000" t="str">
            <v>1800*900*800</v>
          </cell>
          <cell r="F1000" t="str">
            <v>台</v>
          </cell>
          <cell r="G1000">
            <v>200112</v>
          </cell>
          <cell r="H1000">
            <v>200112</v>
          </cell>
          <cell r="I1000">
            <v>4100</v>
          </cell>
          <cell r="J1000">
            <v>4068.9</v>
          </cell>
          <cell r="K1000">
            <v>4100</v>
          </cell>
          <cell r="L1000">
            <v>4068.9</v>
          </cell>
          <cell r="M1000">
            <v>4100</v>
          </cell>
          <cell r="N1000">
            <v>95</v>
          </cell>
          <cell r="O1000">
            <v>3895</v>
          </cell>
          <cell r="P1000">
            <v>-4.2738823760721596</v>
          </cell>
        </row>
        <row r="1001">
          <cell r="B1001" t="str">
            <v>001-0019953</v>
          </cell>
          <cell r="C1001" t="str">
            <v>数码相机</v>
          </cell>
          <cell r="D1001" t="str">
            <v>SONYF707</v>
          </cell>
          <cell r="E1001" t="str">
            <v>日本索尼</v>
          </cell>
          <cell r="F1001" t="str">
            <v>台</v>
          </cell>
          <cell r="G1001">
            <v>200112</v>
          </cell>
          <cell r="H1001">
            <v>200112</v>
          </cell>
          <cell r="I1001">
            <v>9650</v>
          </cell>
          <cell r="J1001">
            <v>9576.82</v>
          </cell>
          <cell r="K1001">
            <v>9650</v>
          </cell>
          <cell r="L1001">
            <v>9576.82</v>
          </cell>
          <cell r="M1001">
            <v>9600</v>
          </cell>
          <cell r="N1001">
            <v>95</v>
          </cell>
          <cell r="O1001">
            <v>9120</v>
          </cell>
          <cell r="P1001">
            <v>-4.7700593725265774</v>
          </cell>
        </row>
        <row r="1002">
          <cell r="B1002" t="str">
            <v>001-0020773</v>
          </cell>
          <cell r="C1002" t="str">
            <v>打印机</v>
          </cell>
          <cell r="D1002" t="str">
            <v/>
          </cell>
          <cell r="F1002" t="str">
            <v>台</v>
          </cell>
          <cell r="G1002">
            <v>200111</v>
          </cell>
          <cell r="H1002">
            <v>200112</v>
          </cell>
          <cell r="I1002">
            <v>3090</v>
          </cell>
          <cell r="J1002">
            <v>2961.24</v>
          </cell>
          <cell r="K1002">
            <v>3090</v>
          </cell>
          <cell r="L1002">
            <v>2961.24</v>
          </cell>
          <cell r="M1002">
            <v>3000</v>
          </cell>
          <cell r="N1002">
            <v>95</v>
          </cell>
          <cell r="O1002">
            <v>2850</v>
          </cell>
          <cell r="P1002">
            <v>-3.7565344247679953</v>
          </cell>
          <cell r="Q1002" t="str">
            <v>总工办</v>
          </cell>
        </row>
        <row r="1003">
          <cell r="B1003" t="str">
            <v>001-0004975</v>
          </cell>
          <cell r="C1003" t="str">
            <v>应用电视微机监测系统</v>
          </cell>
          <cell r="D1003" t="str">
            <v>重90-10</v>
          </cell>
          <cell r="F1003" t="str">
            <v>套</v>
          </cell>
          <cell r="G1003">
            <v>199303</v>
          </cell>
          <cell r="H1003">
            <v>199305</v>
          </cell>
          <cell r="I1003">
            <v>2773520.29</v>
          </cell>
          <cell r="J1003">
            <v>694212.14</v>
          </cell>
          <cell r="K1003">
            <v>2773520.29</v>
          </cell>
          <cell r="L1003">
            <v>694212.14</v>
          </cell>
          <cell r="M1003">
            <v>2900000</v>
          </cell>
          <cell r="N1003">
            <v>20</v>
          </cell>
          <cell r="O1003">
            <v>580000</v>
          </cell>
          <cell r="P1003">
            <v>-16.452051674002707</v>
          </cell>
        </row>
        <row r="1004">
          <cell r="B1004" t="str">
            <v>001-0005241</v>
          </cell>
          <cell r="C1004" t="str">
            <v>工业电视系统</v>
          </cell>
          <cell r="D1004" t="str">
            <v/>
          </cell>
          <cell r="F1004" t="str">
            <v>套</v>
          </cell>
          <cell r="G1004">
            <v>199303</v>
          </cell>
          <cell r="H1004">
            <v>199305</v>
          </cell>
          <cell r="I1004">
            <v>173552.67</v>
          </cell>
          <cell r="J1004">
            <v>49463.97</v>
          </cell>
          <cell r="K1004">
            <v>173552.67</v>
          </cell>
          <cell r="L1004">
            <v>49463.97</v>
          </cell>
          <cell r="M1004">
            <v>160000</v>
          </cell>
          <cell r="N1004">
            <v>30</v>
          </cell>
          <cell r="O1004">
            <v>48000</v>
          </cell>
          <cell r="P1004">
            <v>-2.9596694321139227</v>
          </cell>
        </row>
        <row r="1005">
          <cell r="B1005" t="str">
            <v>001-0005242</v>
          </cell>
          <cell r="C1005" t="str">
            <v>进出信号系统</v>
          </cell>
          <cell r="D1005" t="str">
            <v/>
          </cell>
          <cell r="F1005" t="str">
            <v>套</v>
          </cell>
          <cell r="G1005">
            <v>199303</v>
          </cell>
          <cell r="H1005">
            <v>199305</v>
          </cell>
          <cell r="I1005">
            <v>130001.2</v>
          </cell>
          <cell r="J1005">
            <v>37051.440000000002</v>
          </cell>
          <cell r="K1005">
            <v>130001.2</v>
          </cell>
          <cell r="L1005">
            <v>37051.440000000002</v>
          </cell>
          <cell r="M1005">
            <v>145000</v>
          </cell>
          <cell r="N1005">
            <v>30</v>
          </cell>
          <cell r="O1005">
            <v>43500</v>
          </cell>
          <cell r="P1005">
            <v>17.404343798783522</v>
          </cell>
        </row>
        <row r="1006">
          <cell r="B1006" t="str">
            <v>001-0009304</v>
          </cell>
          <cell r="C1006" t="str">
            <v>大屏幕显示器</v>
          </cell>
          <cell r="D1006" t="str">
            <v>Vice Somic 29"</v>
          </cell>
          <cell r="F1006" t="str">
            <v>台</v>
          </cell>
          <cell r="G1006">
            <v>199812</v>
          </cell>
          <cell r="H1006">
            <v>199812</v>
          </cell>
          <cell r="I1006">
            <v>55100</v>
          </cell>
          <cell r="J1006">
            <v>40695.94</v>
          </cell>
          <cell r="K1006">
            <v>55100</v>
          </cell>
          <cell r="L1006">
            <v>40695.94</v>
          </cell>
          <cell r="M1006">
            <v>50000</v>
          </cell>
          <cell r="N1006">
            <v>70</v>
          </cell>
          <cell r="O1006">
            <v>35000</v>
          </cell>
          <cell r="P1006">
            <v>-13.996334769512639</v>
          </cell>
          <cell r="Q1006" t="str">
            <v>后台</v>
          </cell>
        </row>
        <row r="1007">
          <cell r="B1007" t="str">
            <v>001-0020768</v>
          </cell>
          <cell r="C1007" t="str">
            <v>显示器</v>
          </cell>
          <cell r="D1007" t="str">
            <v>SONY  221"</v>
          </cell>
          <cell r="F1007" t="str">
            <v>台</v>
          </cell>
          <cell r="G1007">
            <v>299110</v>
          </cell>
          <cell r="H1007">
            <v>299110</v>
          </cell>
          <cell r="I1007">
            <v>11800</v>
          </cell>
          <cell r="J1007">
            <v>11406.67</v>
          </cell>
          <cell r="K1007">
            <v>11800</v>
          </cell>
          <cell r="L1007">
            <v>11406.67</v>
          </cell>
          <cell r="M1007">
            <v>11600</v>
          </cell>
          <cell r="N1007">
            <v>90</v>
          </cell>
          <cell r="O1007">
            <v>10440</v>
          </cell>
          <cell r="P1007">
            <v>-8.4746030173573885</v>
          </cell>
        </row>
        <row r="1008">
          <cell r="B1008" t="str">
            <v>001-0003849</v>
          </cell>
          <cell r="C1008" t="str">
            <v>记忆示波器配用打印机</v>
          </cell>
          <cell r="D1008" t="str">
            <v>VP5742A</v>
          </cell>
          <cell r="F1008" t="str">
            <v>台</v>
          </cell>
          <cell r="G1008">
            <v>199108</v>
          </cell>
          <cell r="H1008">
            <v>199108</v>
          </cell>
          <cell r="I1008">
            <v>17515.63</v>
          </cell>
          <cell r="J1008">
            <v>0</v>
          </cell>
          <cell r="K1008">
            <v>17515.63</v>
          </cell>
          <cell r="L1008">
            <v>0</v>
          </cell>
          <cell r="M1008">
            <v>0</v>
          </cell>
          <cell r="O1008">
            <v>0</v>
          </cell>
          <cell r="Q1008" t="str">
            <v>报废</v>
          </cell>
        </row>
        <row r="1009">
          <cell r="B1009" t="str">
            <v>001-0011779</v>
          </cell>
          <cell r="C1009" t="str">
            <v>400V开关检验仪</v>
          </cell>
          <cell r="D1009" t="str">
            <v>ME简易测试仪</v>
          </cell>
          <cell r="F1009" t="str">
            <v>台</v>
          </cell>
          <cell r="G1009">
            <v>200112</v>
          </cell>
          <cell r="H1009">
            <v>200112</v>
          </cell>
          <cell r="I1009">
            <v>3650</v>
          </cell>
          <cell r="J1009">
            <v>3269.93</v>
          </cell>
          <cell r="K1009">
            <v>3650</v>
          </cell>
          <cell r="L1009">
            <v>3269.93</v>
          </cell>
          <cell r="M1009">
            <v>3600</v>
          </cell>
          <cell r="N1009">
            <v>95</v>
          </cell>
          <cell r="O1009">
            <v>3420</v>
          </cell>
          <cell r="P1009">
            <v>4.5893948800127271</v>
          </cell>
          <cell r="Q1009" t="str">
            <v>保护</v>
          </cell>
        </row>
        <row r="1010">
          <cell r="B1010" t="str">
            <v>001-0018012</v>
          </cell>
          <cell r="C1010" t="str">
            <v>数字显示六路调节仪</v>
          </cell>
          <cell r="D1010" t="str">
            <v>SDB-107</v>
          </cell>
          <cell r="F1010" t="str">
            <v>台</v>
          </cell>
          <cell r="G1010">
            <v>200107</v>
          </cell>
          <cell r="H1010">
            <v>200108</v>
          </cell>
          <cell r="I1010">
            <v>5100</v>
          </cell>
          <cell r="J1010">
            <v>4852.1899999999996</v>
          </cell>
          <cell r="K1010">
            <v>5100</v>
          </cell>
          <cell r="L1010">
            <v>4852.1899999999996</v>
          </cell>
          <cell r="M1010">
            <v>5100</v>
          </cell>
          <cell r="N1010">
            <v>95</v>
          </cell>
          <cell r="O1010">
            <v>4845</v>
          </cell>
          <cell r="P1010">
            <v>-0.14818051230474488</v>
          </cell>
          <cell r="Q1010" t="str">
            <v>自动</v>
          </cell>
        </row>
        <row r="1011">
          <cell r="B1011" t="str">
            <v>001-0018013</v>
          </cell>
          <cell r="C1011" t="str">
            <v>数字显示六路调节仪</v>
          </cell>
          <cell r="D1011" t="str">
            <v>SDB-107</v>
          </cell>
          <cell r="F1011" t="str">
            <v>台</v>
          </cell>
          <cell r="G1011">
            <v>200107</v>
          </cell>
          <cell r="H1011">
            <v>200108</v>
          </cell>
          <cell r="I1011">
            <v>5100</v>
          </cell>
          <cell r="J1011">
            <v>4852.1899999999996</v>
          </cell>
          <cell r="K1011">
            <v>5100</v>
          </cell>
          <cell r="L1011">
            <v>4852.1899999999996</v>
          </cell>
          <cell r="M1011">
            <v>5100</v>
          </cell>
          <cell r="N1011">
            <v>95</v>
          </cell>
          <cell r="O1011">
            <v>4845</v>
          </cell>
          <cell r="P1011">
            <v>-0.14818051230474488</v>
          </cell>
          <cell r="Q1011" t="str">
            <v>自动</v>
          </cell>
        </row>
        <row r="1012">
          <cell r="B1012" t="str">
            <v>001-0019954</v>
          </cell>
          <cell r="C1012" t="str">
            <v>铭牌印字机</v>
          </cell>
          <cell r="D1012" t="str">
            <v>M-100PP1070</v>
          </cell>
          <cell r="F1012" t="str">
            <v>台</v>
          </cell>
          <cell r="G1012">
            <v>200112</v>
          </cell>
          <cell r="I1012">
            <v>21500</v>
          </cell>
          <cell r="J1012">
            <v>21251.68</v>
          </cell>
          <cell r="K1012">
            <v>21500</v>
          </cell>
          <cell r="L1012">
            <v>21251.68</v>
          </cell>
          <cell r="M1012">
            <v>21000</v>
          </cell>
          <cell r="N1012">
            <v>95</v>
          </cell>
          <cell r="O1012">
            <v>19950</v>
          </cell>
          <cell r="P1012">
            <v>-6.125068700450977</v>
          </cell>
        </row>
        <row r="1013">
          <cell r="B1013" t="str">
            <v>001-0019955</v>
          </cell>
          <cell r="C1013" t="str">
            <v>电脑标签印字机</v>
          </cell>
          <cell r="D1013" t="str">
            <v>9100PC</v>
          </cell>
          <cell r="F1013" t="str">
            <v>台</v>
          </cell>
          <cell r="G1013">
            <v>200112</v>
          </cell>
          <cell r="I1013">
            <v>3300</v>
          </cell>
          <cell r="J1013">
            <v>3261.88</v>
          </cell>
          <cell r="K1013">
            <v>3300</v>
          </cell>
          <cell r="L1013">
            <v>3261.88</v>
          </cell>
          <cell r="M1013">
            <v>3300</v>
          </cell>
          <cell r="N1013">
            <v>95</v>
          </cell>
          <cell r="O1013">
            <v>3135</v>
          </cell>
          <cell r="P1013">
            <v>-3.8897813530847274</v>
          </cell>
        </row>
        <row r="1014">
          <cell r="B1014" t="str">
            <v>001-0020230</v>
          </cell>
          <cell r="C1014" t="str">
            <v>标签机</v>
          </cell>
          <cell r="D1014" t="str">
            <v>5000K</v>
          </cell>
          <cell r="F1014" t="str">
            <v>台</v>
          </cell>
          <cell r="G1014">
            <v>200112</v>
          </cell>
          <cell r="I1014">
            <v>2000</v>
          </cell>
          <cell r="J1014">
            <v>1984.84</v>
          </cell>
          <cell r="K1014">
            <v>2000</v>
          </cell>
          <cell r="L1014">
            <v>1984.84</v>
          </cell>
          <cell r="M1014">
            <v>2000</v>
          </cell>
          <cell r="N1014">
            <v>95</v>
          </cell>
          <cell r="O1014">
            <v>1900</v>
          </cell>
          <cell r="P1014">
            <v>-4.2743999516333773</v>
          </cell>
        </row>
        <row r="1015">
          <cell r="C1015" t="str">
            <v>（二江）</v>
          </cell>
        </row>
        <row r="1016">
          <cell r="B1016" t="str">
            <v>001-0010892</v>
          </cell>
          <cell r="C1016" t="str">
            <v>服务器</v>
          </cell>
          <cell r="E1016" t="str">
            <v>IBM公司</v>
          </cell>
          <cell r="F1016" t="str">
            <v>台</v>
          </cell>
          <cell r="G1016" t="str">
            <v>199912</v>
          </cell>
          <cell r="H1016" t="str">
            <v>199912</v>
          </cell>
          <cell r="I1016">
            <v>190000</v>
          </cell>
          <cell r="J1016">
            <v>147250.01</v>
          </cell>
          <cell r="K1016">
            <v>190000</v>
          </cell>
          <cell r="L1016">
            <v>147250.01</v>
          </cell>
          <cell r="M1016">
            <v>142000</v>
          </cell>
          <cell r="N1016">
            <v>67</v>
          </cell>
          <cell r="O1016">
            <v>95140</v>
          </cell>
          <cell r="P1016">
            <v>-35.388798954920283</v>
          </cell>
        </row>
        <row r="1017">
          <cell r="B1017" t="str">
            <v>001-0010912</v>
          </cell>
          <cell r="C1017" t="str">
            <v>打印机</v>
          </cell>
          <cell r="D1017" t="str">
            <v>HP LASER 6L GOLD</v>
          </cell>
          <cell r="F1017" t="str">
            <v>台</v>
          </cell>
          <cell r="G1017" t="str">
            <v>199912</v>
          </cell>
          <cell r="H1017" t="str">
            <v>199912</v>
          </cell>
          <cell r="I1017">
            <v>3200</v>
          </cell>
          <cell r="J1017">
            <v>2479.9899999999998</v>
          </cell>
          <cell r="K1017">
            <v>3200</v>
          </cell>
          <cell r="L1017">
            <v>2479.9899999999998</v>
          </cell>
          <cell r="M1017">
            <v>3100</v>
          </cell>
          <cell r="N1017">
            <v>60</v>
          </cell>
          <cell r="O1017">
            <v>1860</v>
          </cell>
          <cell r="P1017">
            <v>-24.999697579425717</v>
          </cell>
        </row>
        <row r="1018">
          <cell r="B1018" t="str">
            <v>001-0010899</v>
          </cell>
          <cell r="C1018" t="str">
            <v>客户机</v>
          </cell>
          <cell r="D1018" t="str">
            <v>IBM M2C PⅡ400,64M,14"彩显</v>
          </cell>
          <cell r="F1018" t="str">
            <v>台</v>
          </cell>
          <cell r="G1018" t="str">
            <v>199912</v>
          </cell>
          <cell r="H1018" t="str">
            <v>199912</v>
          </cell>
          <cell r="I1018">
            <v>10000</v>
          </cell>
          <cell r="J1018">
            <v>7974.01</v>
          </cell>
          <cell r="K1018">
            <v>10000</v>
          </cell>
          <cell r="L1018">
            <v>7974.01</v>
          </cell>
          <cell r="M1018">
            <v>5000</v>
          </cell>
          <cell r="N1018">
            <v>50</v>
          </cell>
          <cell r="O1018">
            <v>2500</v>
          </cell>
          <cell r="P1018">
            <v>-68.648145663223403</v>
          </cell>
        </row>
        <row r="1019">
          <cell r="B1019" t="str">
            <v>001-0010900</v>
          </cell>
          <cell r="C1019" t="str">
            <v>客户机</v>
          </cell>
          <cell r="D1019" t="str">
            <v>IBM M2C PⅡ400,64M,14"彩显</v>
          </cell>
          <cell r="F1019" t="str">
            <v>台</v>
          </cell>
          <cell r="G1019" t="str">
            <v>199912</v>
          </cell>
          <cell r="H1019" t="str">
            <v>199912</v>
          </cell>
          <cell r="I1019">
            <v>10000</v>
          </cell>
          <cell r="J1019">
            <v>7974.01</v>
          </cell>
          <cell r="K1019">
            <v>10000</v>
          </cell>
          <cell r="L1019">
            <v>7974.01</v>
          </cell>
          <cell r="M1019">
            <v>5000</v>
          </cell>
          <cell r="N1019">
            <v>50</v>
          </cell>
          <cell r="O1019">
            <v>2500</v>
          </cell>
          <cell r="P1019">
            <v>-68.648145663223403</v>
          </cell>
        </row>
        <row r="1020">
          <cell r="B1020" t="str">
            <v>001-0010901</v>
          </cell>
          <cell r="C1020" t="str">
            <v>客户机</v>
          </cell>
          <cell r="D1020" t="str">
            <v>IBM M2C PⅡ400,64M,14"彩显</v>
          </cell>
          <cell r="F1020" t="str">
            <v>台</v>
          </cell>
          <cell r="G1020" t="str">
            <v>199912</v>
          </cell>
          <cell r="H1020" t="str">
            <v>199912</v>
          </cell>
          <cell r="I1020">
            <v>10000</v>
          </cell>
          <cell r="J1020">
            <v>7974.01</v>
          </cell>
          <cell r="K1020">
            <v>10000</v>
          </cell>
          <cell r="L1020">
            <v>7974.01</v>
          </cell>
          <cell r="M1020">
            <v>5000</v>
          </cell>
          <cell r="N1020">
            <v>50</v>
          </cell>
          <cell r="O1020">
            <v>2500</v>
          </cell>
          <cell r="P1020">
            <v>-68.648145663223403</v>
          </cell>
        </row>
        <row r="1021">
          <cell r="B1021" t="str">
            <v>001-0010902</v>
          </cell>
          <cell r="C1021" t="str">
            <v>客户机</v>
          </cell>
          <cell r="D1021" t="str">
            <v>IBM M2C PⅡ400,64M,14"彩显</v>
          </cell>
          <cell r="F1021" t="str">
            <v>台</v>
          </cell>
          <cell r="G1021" t="str">
            <v>199912</v>
          </cell>
          <cell r="H1021" t="str">
            <v>199912</v>
          </cell>
          <cell r="I1021">
            <v>10000</v>
          </cell>
          <cell r="J1021">
            <v>7750.01</v>
          </cell>
          <cell r="K1021">
            <v>10000</v>
          </cell>
          <cell r="L1021">
            <v>7750.01</v>
          </cell>
          <cell r="M1021">
            <v>5000</v>
          </cell>
          <cell r="N1021">
            <v>50</v>
          </cell>
          <cell r="O1021">
            <v>2500</v>
          </cell>
          <cell r="P1021">
            <v>-67.741977107126317</v>
          </cell>
        </row>
        <row r="1022">
          <cell r="B1022" t="str">
            <v>001-0010903</v>
          </cell>
          <cell r="C1022" t="str">
            <v>客户机</v>
          </cell>
          <cell r="D1022" t="str">
            <v>IBM M2C PⅡ400,64M,14"彩显</v>
          </cell>
          <cell r="F1022" t="str">
            <v>台</v>
          </cell>
          <cell r="G1022" t="str">
            <v>199912</v>
          </cell>
          <cell r="H1022" t="str">
            <v>199912</v>
          </cell>
          <cell r="I1022">
            <v>10000</v>
          </cell>
          <cell r="J1022">
            <v>7974.01</v>
          </cell>
          <cell r="K1022">
            <v>10000</v>
          </cell>
          <cell r="L1022">
            <v>7974.01</v>
          </cell>
          <cell r="M1022">
            <v>5000</v>
          </cell>
          <cell r="N1022">
            <v>50</v>
          </cell>
          <cell r="O1022">
            <v>2500</v>
          </cell>
          <cell r="P1022">
            <v>-68.648145663223403</v>
          </cell>
        </row>
        <row r="1023">
          <cell r="B1023" t="str">
            <v>001-0010904</v>
          </cell>
          <cell r="C1023" t="str">
            <v>客户机</v>
          </cell>
          <cell r="D1023" t="str">
            <v>IBM M2C PⅡ400,64M,14"彩显</v>
          </cell>
          <cell r="F1023" t="str">
            <v>台</v>
          </cell>
          <cell r="G1023" t="str">
            <v>199912</v>
          </cell>
          <cell r="H1023" t="str">
            <v>199912</v>
          </cell>
          <cell r="I1023">
            <v>10000</v>
          </cell>
          <cell r="J1023">
            <v>7750.01</v>
          </cell>
          <cell r="K1023">
            <v>10000</v>
          </cell>
          <cell r="L1023">
            <v>7750.01</v>
          </cell>
          <cell r="M1023">
            <v>5000</v>
          </cell>
          <cell r="N1023">
            <v>50</v>
          </cell>
          <cell r="O1023">
            <v>2500</v>
          </cell>
          <cell r="P1023">
            <v>-67.741977107126317</v>
          </cell>
        </row>
        <row r="1024">
          <cell r="B1024" t="str">
            <v>001-0010905</v>
          </cell>
          <cell r="C1024" t="str">
            <v>客户机</v>
          </cell>
          <cell r="D1024" t="str">
            <v>IBM M2C PⅡ400,64M,14"彩显</v>
          </cell>
          <cell r="F1024" t="str">
            <v>台</v>
          </cell>
          <cell r="G1024" t="str">
            <v>199912</v>
          </cell>
          <cell r="H1024" t="str">
            <v>199912</v>
          </cell>
          <cell r="I1024">
            <v>10000</v>
          </cell>
          <cell r="J1024">
            <v>7974.01</v>
          </cell>
          <cell r="K1024">
            <v>10000</v>
          </cell>
          <cell r="L1024">
            <v>7974.01</v>
          </cell>
          <cell r="M1024">
            <v>5000</v>
          </cell>
          <cell r="N1024">
            <v>50</v>
          </cell>
          <cell r="O1024">
            <v>2500</v>
          </cell>
          <cell r="P1024">
            <v>-68.648145663223403</v>
          </cell>
        </row>
        <row r="1025">
          <cell r="B1025" t="str">
            <v>001-0010906</v>
          </cell>
          <cell r="C1025" t="str">
            <v>客户机</v>
          </cell>
          <cell r="D1025" t="str">
            <v>IBM M2C PⅡ400,64M,14"彩显</v>
          </cell>
          <cell r="F1025" t="str">
            <v>台</v>
          </cell>
          <cell r="G1025" t="str">
            <v>199912</v>
          </cell>
          <cell r="H1025" t="str">
            <v>199912</v>
          </cell>
          <cell r="I1025">
            <v>10000</v>
          </cell>
          <cell r="J1025">
            <v>7750.01</v>
          </cell>
          <cell r="K1025">
            <v>10000</v>
          </cell>
          <cell r="L1025">
            <v>7750.01</v>
          </cell>
          <cell r="M1025">
            <v>5000</v>
          </cell>
          <cell r="N1025">
            <v>50</v>
          </cell>
          <cell r="O1025">
            <v>2500</v>
          </cell>
          <cell r="P1025">
            <v>-67.741977107126317</v>
          </cell>
        </row>
        <row r="1026">
          <cell r="B1026" t="str">
            <v>001-0010907</v>
          </cell>
          <cell r="C1026" t="str">
            <v>客户机</v>
          </cell>
          <cell r="D1026" t="str">
            <v>IBM M2C PⅡ400,64M,14"彩显</v>
          </cell>
          <cell r="F1026" t="str">
            <v>台</v>
          </cell>
          <cell r="G1026" t="str">
            <v>199912</v>
          </cell>
          <cell r="H1026" t="str">
            <v>199912</v>
          </cell>
          <cell r="I1026">
            <v>10000</v>
          </cell>
          <cell r="J1026">
            <v>7974.01</v>
          </cell>
          <cell r="K1026">
            <v>10000</v>
          </cell>
          <cell r="L1026">
            <v>7974.01</v>
          </cell>
          <cell r="M1026">
            <v>5000</v>
          </cell>
          <cell r="N1026">
            <v>50</v>
          </cell>
          <cell r="O1026">
            <v>2500</v>
          </cell>
          <cell r="P1026">
            <v>-68.648145663223403</v>
          </cell>
        </row>
        <row r="1027">
          <cell r="B1027" t="str">
            <v>001-0010908</v>
          </cell>
          <cell r="C1027" t="str">
            <v>客户机</v>
          </cell>
          <cell r="D1027" t="str">
            <v>IBM M2C PⅡ400,64M,14"彩显</v>
          </cell>
          <cell r="F1027" t="str">
            <v>台</v>
          </cell>
          <cell r="G1027" t="str">
            <v>199912</v>
          </cell>
          <cell r="H1027" t="str">
            <v>199912</v>
          </cell>
          <cell r="I1027">
            <v>10000</v>
          </cell>
          <cell r="J1027">
            <v>7750.01</v>
          </cell>
          <cell r="K1027">
            <v>10000</v>
          </cell>
          <cell r="L1027">
            <v>7750.01</v>
          </cell>
          <cell r="M1027">
            <v>5000</v>
          </cell>
          <cell r="N1027">
            <v>50</v>
          </cell>
          <cell r="O1027">
            <v>2500</v>
          </cell>
          <cell r="P1027">
            <v>-67.741977107126317</v>
          </cell>
        </row>
        <row r="1028">
          <cell r="B1028" t="str">
            <v>001-0010910</v>
          </cell>
          <cell r="C1028" t="str">
            <v>客户机</v>
          </cell>
          <cell r="D1028" t="str">
            <v>IBM M2C PⅡ400,64M,14"彩显</v>
          </cell>
          <cell r="F1028" t="str">
            <v>台</v>
          </cell>
          <cell r="G1028" t="str">
            <v>199912</v>
          </cell>
          <cell r="H1028" t="str">
            <v>199912</v>
          </cell>
          <cell r="I1028">
            <v>10000</v>
          </cell>
          <cell r="J1028">
            <v>7750.01</v>
          </cell>
          <cell r="K1028">
            <v>10000</v>
          </cell>
          <cell r="L1028">
            <v>7750.01</v>
          </cell>
          <cell r="M1028">
            <v>5000</v>
          </cell>
          <cell r="N1028">
            <v>50</v>
          </cell>
          <cell r="O1028">
            <v>2500</v>
          </cell>
          <cell r="P1028">
            <v>-67.741977107126317</v>
          </cell>
        </row>
        <row r="1029">
          <cell r="B1029" t="str">
            <v>001-0010913</v>
          </cell>
          <cell r="C1029" t="str">
            <v>打印机</v>
          </cell>
          <cell r="D1029" t="str">
            <v>HP LASER 6L GOLD</v>
          </cell>
          <cell r="F1029" t="str">
            <v>台</v>
          </cell>
          <cell r="G1029" t="str">
            <v>199912</v>
          </cell>
          <cell r="H1029" t="str">
            <v>199912</v>
          </cell>
          <cell r="I1029">
            <v>3200</v>
          </cell>
          <cell r="J1029">
            <v>2551.67</v>
          </cell>
          <cell r="K1029">
            <v>3200</v>
          </cell>
          <cell r="L1029">
            <v>2551.67</v>
          </cell>
          <cell r="M1029">
            <v>3100</v>
          </cell>
          <cell r="N1029">
            <v>50</v>
          </cell>
          <cell r="O1029">
            <v>1550</v>
          </cell>
          <cell r="P1029">
            <v>-39.255467987631633</v>
          </cell>
        </row>
        <row r="1030">
          <cell r="B1030" t="str">
            <v>001-0010914</v>
          </cell>
          <cell r="C1030" t="str">
            <v>打印机</v>
          </cell>
          <cell r="D1030" t="str">
            <v>HP LASER 6L GOLD</v>
          </cell>
          <cell r="F1030" t="str">
            <v>台</v>
          </cell>
          <cell r="G1030" t="str">
            <v>199912</v>
          </cell>
          <cell r="H1030" t="str">
            <v>199912</v>
          </cell>
          <cell r="I1030">
            <v>3200</v>
          </cell>
          <cell r="J1030">
            <v>2551.67</v>
          </cell>
          <cell r="K1030">
            <v>3200</v>
          </cell>
          <cell r="L1030">
            <v>2551.67</v>
          </cell>
          <cell r="M1030">
            <v>3100</v>
          </cell>
          <cell r="N1030">
            <v>50</v>
          </cell>
          <cell r="O1030">
            <v>1550</v>
          </cell>
          <cell r="P1030">
            <v>-39.255467987631633</v>
          </cell>
        </row>
        <row r="1031">
          <cell r="B1031" t="str">
            <v>001-0010915</v>
          </cell>
          <cell r="C1031" t="str">
            <v>打印机</v>
          </cell>
          <cell r="D1031" t="str">
            <v>HP LASER 6L GOLD</v>
          </cell>
          <cell r="F1031" t="str">
            <v>台</v>
          </cell>
          <cell r="G1031" t="str">
            <v>199912</v>
          </cell>
          <cell r="H1031" t="str">
            <v>199912</v>
          </cell>
          <cell r="I1031">
            <v>3200</v>
          </cell>
          <cell r="J1031">
            <v>2551.67</v>
          </cell>
          <cell r="K1031">
            <v>3200</v>
          </cell>
          <cell r="L1031">
            <v>2551.67</v>
          </cell>
          <cell r="M1031">
            <v>3100</v>
          </cell>
          <cell r="N1031">
            <v>50</v>
          </cell>
          <cell r="O1031">
            <v>1550</v>
          </cell>
          <cell r="P1031">
            <v>-39.255467987631633</v>
          </cell>
        </row>
        <row r="1032">
          <cell r="B1032" t="str">
            <v>001-0010917</v>
          </cell>
          <cell r="C1032" t="str">
            <v>计算机</v>
          </cell>
          <cell r="D1032" t="str">
            <v>HP VL4 5/166 16M RAM,1.2G硬盘</v>
          </cell>
          <cell r="F1032" t="str">
            <v>台</v>
          </cell>
          <cell r="G1032" t="str">
            <v>199912</v>
          </cell>
          <cell r="H1032" t="str">
            <v>199912</v>
          </cell>
          <cell r="I1032">
            <v>16800</v>
          </cell>
          <cell r="J1032">
            <v>13396.32</v>
          </cell>
          <cell r="K1032">
            <v>16800</v>
          </cell>
          <cell r="L1032">
            <v>13396.32</v>
          </cell>
          <cell r="M1032">
            <v>7000</v>
          </cell>
          <cell r="N1032">
            <v>50</v>
          </cell>
          <cell r="O1032">
            <v>3500</v>
          </cell>
          <cell r="P1032">
            <v>-73.873421954686052</v>
          </cell>
        </row>
        <row r="1033">
          <cell r="B1033" t="str">
            <v>001-0010918</v>
          </cell>
          <cell r="C1033" t="str">
            <v>计算机</v>
          </cell>
          <cell r="D1033" t="str">
            <v>HP VL4 5/166 16M RAM,1.2G硬盘</v>
          </cell>
          <cell r="F1033" t="str">
            <v>台</v>
          </cell>
          <cell r="G1033" t="str">
            <v>199912</v>
          </cell>
          <cell r="H1033" t="str">
            <v>199912</v>
          </cell>
          <cell r="I1033">
            <v>16800</v>
          </cell>
          <cell r="J1033">
            <v>13396.32</v>
          </cell>
          <cell r="K1033">
            <v>16800</v>
          </cell>
          <cell r="L1033">
            <v>13396.32</v>
          </cell>
          <cell r="M1033">
            <v>7000</v>
          </cell>
          <cell r="N1033">
            <v>50</v>
          </cell>
          <cell r="O1033">
            <v>3500</v>
          </cell>
          <cell r="P1033">
            <v>-73.873421954686052</v>
          </cell>
        </row>
        <row r="1034">
          <cell r="B1034" t="str">
            <v>001-0010919</v>
          </cell>
          <cell r="C1034" t="str">
            <v>计算机</v>
          </cell>
          <cell r="D1034" t="str">
            <v>HP VL4 5/166 16M RAM,1.2G硬盘</v>
          </cell>
          <cell r="F1034" t="str">
            <v>台</v>
          </cell>
          <cell r="G1034" t="str">
            <v>199912</v>
          </cell>
          <cell r="H1034" t="str">
            <v>199912</v>
          </cell>
          <cell r="I1034">
            <v>16800</v>
          </cell>
          <cell r="J1034">
            <v>13020</v>
          </cell>
          <cell r="K1034">
            <v>16800</v>
          </cell>
          <cell r="L1034">
            <v>13020</v>
          </cell>
          <cell r="M1034">
            <v>7000</v>
          </cell>
          <cell r="N1034">
            <v>50</v>
          </cell>
          <cell r="O1034">
            <v>3500</v>
          </cell>
          <cell r="P1034">
            <v>-73.118279569892479</v>
          </cell>
        </row>
        <row r="1035">
          <cell r="B1035" t="str">
            <v>001-0010920</v>
          </cell>
          <cell r="C1035" t="str">
            <v>光盘刻录机</v>
          </cell>
          <cell r="D1035" t="str">
            <v>HP4020I</v>
          </cell>
          <cell r="F1035" t="str">
            <v>台</v>
          </cell>
          <cell r="G1035" t="str">
            <v>199912</v>
          </cell>
          <cell r="H1035" t="str">
            <v>199912</v>
          </cell>
          <cell r="I1035">
            <v>9300</v>
          </cell>
          <cell r="J1035">
            <v>7207.5</v>
          </cell>
          <cell r="K1035">
            <v>9300</v>
          </cell>
          <cell r="L1035">
            <v>7207.5</v>
          </cell>
          <cell r="M1035">
            <v>4200</v>
          </cell>
          <cell r="N1035">
            <v>50</v>
          </cell>
          <cell r="O1035">
            <v>2100</v>
          </cell>
          <cell r="P1035">
            <v>-70.863683662851201</v>
          </cell>
        </row>
        <row r="1036">
          <cell r="B1036" t="str">
            <v>001-0010894</v>
          </cell>
          <cell r="C1036" t="str">
            <v>客户机</v>
          </cell>
          <cell r="D1036" t="str">
            <v>IBM M2C PⅡ400,64M,14"彩显</v>
          </cell>
          <cell r="F1036" t="str">
            <v>台</v>
          </cell>
          <cell r="G1036" t="str">
            <v>199912</v>
          </cell>
          <cell r="H1036" t="str">
            <v>199912</v>
          </cell>
          <cell r="I1036">
            <v>10000</v>
          </cell>
          <cell r="J1036">
            <v>7974.01</v>
          </cell>
          <cell r="K1036">
            <v>10000</v>
          </cell>
          <cell r="L1036">
            <v>7974.01</v>
          </cell>
          <cell r="M1036">
            <v>5000</v>
          </cell>
          <cell r="N1036">
            <v>50</v>
          </cell>
          <cell r="O1036">
            <v>2500</v>
          </cell>
          <cell r="P1036">
            <v>-68.648145663223403</v>
          </cell>
        </row>
        <row r="1037">
          <cell r="B1037" t="str">
            <v>001-0010895</v>
          </cell>
          <cell r="C1037" t="str">
            <v>客户机</v>
          </cell>
          <cell r="D1037" t="str">
            <v>IBM M2C PⅡ400,64M,14"彩显</v>
          </cell>
          <cell r="F1037" t="str">
            <v>台</v>
          </cell>
          <cell r="G1037" t="str">
            <v>199912</v>
          </cell>
          <cell r="H1037" t="str">
            <v>199912</v>
          </cell>
          <cell r="I1037">
            <v>10000</v>
          </cell>
          <cell r="J1037">
            <v>7750.01</v>
          </cell>
          <cell r="K1037">
            <v>10000</v>
          </cell>
          <cell r="L1037">
            <v>7750.01</v>
          </cell>
          <cell r="M1037">
            <v>5000</v>
          </cell>
          <cell r="N1037">
            <v>50</v>
          </cell>
          <cell r="O1037">
            <v>2500</v>
          </cell>
          <cell r="P1037">
            <v>-67.741977107126317</v>
          </cell>
        </row>
        <row r="1038">
          <cell r="B1038" t="str">
            <v>001-0010909</v>
          </cell>
          <cell r="C1038" t="str">
            <v>客户机</v>
          </cell>
          <cell r="D1038" t="str">
            <v>IBM M2C PⅡ400,64M,14"彩显</v>
          </cell>
          <cell r="F1038" t="str">
            <v>台</v>
          </cell>
          <cell r="G1038" t="str">
            <v>199912</v>
          </cell>
          <cell r="H1038" t="str">
            <v>199912</v>
          </cell>
          <cell r="I1038">
            <v>10000</v>
          </cell>
          <cell r="J1038">
            <v>7974.01</v>
          </cell>
          <cell r="K1038">
            <v>10000</v>
          </cell>
          <cell r="L1038">
            <v>7974.01</v>
          </cell>
          <cell r="M1038">
            <v>5000</v>
          </cell>
          <cell r="N1038">
            <v>50</v>
          </cell>
          <cell r="O1038">
            <v>2500</v>
          </cell>
          <cell r="P1038">
            <v>-68.648145663223403</v>
          </cell>
        </row>
        <row r="1039">
          <cell r="B1039" t="str">
            <v>001-0010916</v>
          </cell>
          <cell r="C1039" t="str">
            <v>网络设备</v>
          </cell>
          <cell r="E1039" t="str">
            <v>3COM公司</v>
          </cell>
          <cell r="F1039" t="str">
            <v>台</v>
          </cell>
          <cell r="G1039" t="str">
            <v>199912</v>
          </cell>
          <cell r="H1039" t="str">
            <v>199912</v>
          </cell>
          <cell r="I1039">
            <v>201200</v>
          </cell>
          <cell r="J1039">
            <v>160436.87</v>
          </cell>
          <cell r="K1039">
            <v>201200</v>
          </cell>
          <cell r="L1039">
            <v>160436.87</v>
          </cell>
          <cell r="M1039">
            <v>151000</v>
          </cell>
          <cell r="N1039">
            <v>67</v>
          </cell>
          <cell r="O1039">
            <v>101170</v>
          </cell>
          <cell r="P1039">
            <v>-36.940928852576093</v>
          </cell>
        </row>
        <row r="1040">
          <cell r="B1040" t="str">
            <v>001-0010911</v>
          </cell>
          <cell r="C1040" t="str">
            <v>客户机</v>
          </cell>
          <cell r="D1040" t="str">
            <v>IBM M2C PⅡ400,64M,14"彩显</v>
          </cell>
          <cell r="F1040" t="str">
            <v>台</v>
          </cell>
          <cell r="G1040" t="str">
            <v>199912</v>
          </cell>
          <cell r="H1040" t="str">
            <v>199912</v>
          </cell>
          <cell r="I1040">
            <v>10000</v>
          </cell>
          <cell r="J1040">
            <v>7750.01</v>
          </cell>
          <cell r="K1040">
            <v>10000</v>
          </cell>
          <cell r="L1040">
            <v>7750.01</v>
          </cell>
          <cell r="M1040">
            <v>5000</v>
          </cell>
          <cell r="N1040">
            <v>50</v>
          </cell>
          <cell r="O1040">
            <v>2500</v>
          </cell>
          <cell r="P1040">
            <v>-67.741977107126317</v>
          </cell>
        </row>
        <row r="1041">
          <cell r="B1041" t="str">
            <v>001-0010922</v>
          </cell>
          <cell r="C1041" t="str">
            <v>打印机</v>
          </cell>
          <cell r="D1041" t="str">
            <v>LQ-1600K</v>
          </cell>
          <cell r="F1041" t="str">
            <v>台</v>
          </cell>
          <cell r="G1041" t="str">
            <v>199912</v>
          </cell>
          <cell r="H1041" t="str">
            <v>199912</v>
          </cell>
          <cell r="I1041">
            <v>3600</v>
          </cell>
          <cell r="J1041">
            <v>2870.64</v>
          </cell>
          <cell r="K1041">
            <v>3600</v>
          </cell>
          <cell r="L1041">
            <v>2870.64</v>
          </cell>
          <cell r="M1041">
            <v>2700</v>
          </cell>
          <cell r="N1041">
            <v>60</v>
          </cell>
          <cell r="O1041">
            <v>1620</v>
          </cell>
          <cell r="P1041">
            <v>-43.566591422121888</v>
          </cell>
        </row>
        <row r="1042">
          <cell r="B1042" t="str">
            <v>001-0010923</v>
          </cell>
          <cell r="C1042" t="str">
            <v>打印机</v>
          </cell>
          <cell r="D1042" t="str">
            <v>LQ-1600K</v>
          </cell>
          <cell r="F1042" t="str">
            <v>台</v>
          </cell>
          <cell r="G1042" t="str">
            <v>199912</v>
          </cell>
          <cell r="H1042" t="str">
            <v>199912</v>
          </cell>
          <cell r="I1042">
            <v>3600</v>
          </cell>
          <cell r="J1042">
            <v>2870.64</v>
          </cell>
          <cell r="K1042">
            <v>3600</v>
          </cell>
          <cell r="L1042">
            <v>2870.64</v>
          </cell>
          <cell r="M1042">
            <v>2700</v>
          </cell>
          <cell r="N1042">
            <v>60</v>
          </cell>
          <cell r="O1042">
            <v>1620</v>
          </cell>
          <cell r="P1042">
            <v>-43.566591422121888</v>
          </cell>
        </row>
        <row r="1043">
          <cell r="B1043" t="str">
            <v>001-0010921</v>
          </cell>
          <cell r="C1043" t="str">
            <v>光盘机</v>
          </cell>
          <cell r="D1043" t="str">
            <v>RMO-S591  2.6G外置式</v>
          </cell>
          <cell r="F1043" t="str">
            <v>台</v>
          </cell>
          <cell r="G1043" t="str">
            <v>199912</v>
          </cell>
          <cell r="H1043" t="str">
            <v>199912</v>
          </cell>
          <cell r="I1043">
            <v>16500</v>
          </cell>
          <cell r="J1043">
            <v>12787.5</v>
          </cell>
          <cell r="K1043">
            <v>16500</v>
          </cell>
          <cell r="L1043">
            <v>12787.5</v>
          </cell>
          <cell r="M1043">
            <v>7000</v>
          </cell>
          <cell r="N1043">
            <v>50</v>
          </cell>
          <cell r="O1043">
            <v>3500</v>
          </cell>
          <cell r="P1043">
            <v>-72.629521016617787</v>
          </cell>
        </row>
        <row r="1044">
          <cell r="B1044" t="str">
            <v>001-0010893</v>
          </cell>
          <cell r="C1044" t="str">
            <v>光盘机</v>
          </cell>
          <cell r="D1044" t="str">
            <v>SONY S591 2.6GB外置</v>
          </cell>
          <cell r="F1044" t="str">
            <v>台</v>
          </cell>
          <cell r="G1044" t="str">
            <v>199912</v>
          </cell>
          <cell r="H1044" t="str">
            <v>199912</v>
          </cell>
          <cell r="I1044">
            <v>16000</v>
          </cell>
          <cell r="J1044">
            <v>12758.41</v>
          </cell>
          <cell r="K1044">
            <v>16000</v>
          </cell>
          <cell r="L1044">
            <v>12758.41</v>
          </cell>
          <cell r="M1044">
            <v>7000</v>
          </cell>
          <cell r="N1044">
            <v>50</v>
          </cell>
          <cell r="O1044">
            <v>3500</v>
          </cell>
          <cell r="P1044">
            <v>-72.567114554243034</v>
          </cell>
        </row>
        <row r="1045">
          <cell r="B1045" t="str">
            <v>001-0010896</v>
          </cell>
          <cell r="C1045" t="str">
            <v>客户机</v>
          </cell>
          <cell r="D1045" t="str">
            <v>IBM M2C PⅡ400,64M,14"彩显</v>
          </cell>
          <cell r="F1045" t="str">
            <v>台</v>
          </cell>
          <cell r="G1045" t="str">
            <v>199912</v>
          </cell>
          <cell r="H1045" t="str">
            <v>199912</v>
          </cell>
          <cell r="I1045">
            <v>10000</v>
          </cell>
          <cell r="J1045">
            <v>7750.01</v>
          </cell>
          <cell r="K1045">
            <v>10000</v>
          </cell>
          <cell r="L1045">
            <v>7750.01</v>
          </cell>
          <cell r="M1045">
            <v>5000</v>
          </cell>
          <cell r="N1045">
            <v>50</v>
          </cell>
          <cell r="O1045">
            <v>2500</v>
          </cell>
          <cell r="P1045">
            <v>-67.741977107126317</v>
          </cell>
        </row>
        <row r="1046">
          <cell r="B1046" t="str">
            <v>001-0010898</v>
          </cell>
          <cell r="C1046" t="str">
            <v>客户机</v>
          </cell>
          <cell r="D1046" t="str">
            <v>IBM M2C PⅡ400,64M,14"彩显</v>
          </cell>
          <cell r="F1046" t="str">
            <v>台</v>
          </cell>
          <cell r="G1046" t="str">
            <v>199912</v>
          </cell>
          <cell r="H1046" t="str">
            <v>199912</v>
          </cell>
          <cell r="I1046">
            <v>10000</v>
          </cell>
          <cell r="J1046">
            <v>7974.01</v>
          </cell>
          <cell r="K1046">
            <v>10000</v>
          </cell>
          <cell r="L1046">
            <v>7974.01</v>
          </cell>
          <cell r="M1046">
            <v>5000</v>
          </cell>
          <cell r="N1046">
            <v>50</v>
          </cell>
          <cell r="O1046">
            <v>2500</v>
          </cell>
          <cell r="P1046">
            <v>-68.648145663223403</v>
          </cell>
        </row>
        <row r="1047">
          <cell r="B1047" t="str">
            <v>001-0010924</v>
          </cell>
          <cell r="C1047" t="str">
            <v>生产管理子系统</v>
          </cell>
          <cell r="F1047" t="str">
            <v>台</v>
          </cell>
          <cell r="G1047" t="str">
            <v>199912</v>
          </cell>
          <cell r="H1047" t="str">
            <v>199912</v>
          </cell>
          <cell r="I1047">
            <v>116600</v>
          </cell>
          <cell r="J1047">
            <v>90364.99</v>
          </cell>
          <cell r="K1047">
            <v>116600</v>
          </cell>
          <cell r="L1047">
            <v>90364.99</v>
          </cell>
          <cell r="M1047">
            <v>0</v>
          </cell>
          <cell r="O1047">
            <v>0</v>
          </cell>
          <cell r="P1047">
            <v>-100</v>
          </cell>
          <cell r="Q1047" t="str">
            <v>报废</v>
          </cell>
        </row>
        <row r="1048">
          <cell r="B1048" t="str">
            <v>001-0010897</v>
          </cell>
          <cell r="C1048" t="str">
            <v>客户机</v>
          </cell>
          <cell r="D1048" t="str">
            <v>IBM M2C PⅡ400,64M,14"彩显</v>
          </cell>
          <cell r="F1048" t="str">
            <v>台</v>
          </cell>
          <cell r="G1048" t="str">
            <v>199912</v>
          </cell>
          <cell r="H1048" t="str">
            <v>199912</v>
          </cell>
          <cell r="I1048">
            <v>10000</v>
          </cell>
          <cell r="J1048">
            <v>7974.01</v>
          </cell>
          <cell r="K1048">
            <v>10000</v>
          </cell>
          <cell r="L1048">
            <v>7974.01</v>
          </cell>
          <cell r="M1048">
            <v>5000</v>
          </cell>
          <cell r="N1048">
            <v>50</v>
          </cell>
          <cell r="O1048">
            <v>2500</v>
          </cell>
          <cell r="P1048">
            <v>-68.648145663223403</v>
          </cell>
        </row>
        <row r="1049">
          <cell r="B1049" t="str">
            <v>001-0011929</v>
          </cell>
          <cell r="C1049" t="str">
            <v>MIS系统完善及总办生技系统</v>
          </cell>
          <cell r="E1049" t="str">
            <v>IBM公司</v>
          </cell>
          <cell r="F1049" t="str">
            <v>台</v>
          </cell>
          <cell r="G1049" t="str">
            <v>200012</v>
          </cell>
          <cell r="H1049" t="str">
            <v>200012</v>
          </cell>
          <cell r="I1049">
            <v>60000</v>
          </cell>
          <cell r="J1049">
            <v>54116.5</v>
          </cell>
          <cell r="K1049">
            <v>60000</v>
          </cell>
          <cell r="L1049">
            <v>54116.5</v>
          </cell>
          <cell r="M1049">
            <v>0</v>
          </cell>
          <cell r="O1049">
            <v>0</v>
          </cell>
          <cell r="P1049">
            <v>-100</v>
          </cell>
          <cell r="Q1049" t="str">
            <v>报废</v>
          </cell>
        </row>
        <row r="1050">
          <cell r="B1050" t="str">
            <v>001-0009868</v>
          </cell>
          <cell r="C1050" t="str">
            <v>MIS系统电源</v>
          </cell>
          <cell r="D1050" t="str">
            <v>5KVA/4H</v>
          </cell>
          <cell r="E1050" t="str">
            <v>Matrix5000</v>
          </cell>
          <cell r="F1050" t="str">
            <v>台</v>
          </cell>
          <cell r="G1050" t="str">
            <v>199903</v>
          </cell>
          <cell r="H1050" t="str">
            <v>199903</v>
          </cell>
          <cell r="I1050">
            <v>45000</v>
          </cell>
          <cell r="J1050">
            <v>32508</v>
          </cell>
          <cell r="K1050">
            <v>45000</v>
          </cell>
          <cell r="L1050">
            <v>32508</v>
          </cell>
          <cell r="M1050">
            <v>34800</v>
          </cell>
          <cell r="N1050">
            <v>75</v>
          </cell>
          <cell r="O1050">
            <v>26100</v>
          </cell>
          <cell r="P1050">
            <v>-19.712070874861574</v>
          </cell>
        </row>
        <row r="1051">
          <cell r="B1051" t="str">
            <v>001-0009186</v>
          </cell>
          <cell r="C1051" t="str">
            <v>二江MIS系统完善（包括电脑配件</v>
          </cell>
          <cell r="F1051" t="str">
            <v>台</v>
          </cell>
          <cell r="G1051" t="str">
            <v>199812</v>
          </cell>
          <cell r="H1051" t="str">
            <v>199812</v>
          </cell>
          <cell r="I1051">
            <v>168000</v>
          </cell>
          <cell r="J1051">
            <v>123008.2</v>
          </cell>
          <cell r="K1051">
            <v>168000</v>
          </cell>
          <cell r="L1051">
            <v>123008.2</v>
          </cell>
          <cell r="M1051">
            <v>0</v>
          </cell>
          <cell r="O1051">
            <v>0</v>
          </cell>
          <cell r="P1051">
            <v>-100</v>
          </cell>
          <cell r="Q1051" t="str">
            <v>报废</v>
          </cell>
        </row>
        <row r="1052">
          <cell r="B1052" t="str">
            <v>001-0008737</v>
          </cell>
          <cell r="C1052" t="str">
            <v>打印机</v>
          </cell>
          <cell r="D1052" t="str">
            <v>HP 6P</v>
          </cell>
          <cell r="F1052" t="str">
            <v>台</v>
          </cell>
          <cell r="G1052" t="str">
            <v>199707</v>
          </cell>
          <cell r="H1052" t="str">
            <v>199707</v>
          </cell>
          <cell r="I1052">
            <v>7433</v>
          </cell>
          <cell r="J1052">
            <v>4130.76</v>
          </cell>
          <cell r="K1052">
            <v>7433</v>
          </cell>
          <cell r="L1052">
            <v>4130.76</v>
          </cell>
          <cell r="M1052">
            <v>3000</v>
          </cell>
          <cell r="N1052">
            <v>20</v>
          </cell>
          <cell r="O1052">
            <v>600</v>
          </cell>
          <cell r="P1052">
            <v>-85.474827876710336</v>
          </cell>
        </row>
        <row r="1053">
          <cell r="B1053" t="str">
            <v>001-0011385</v>
          </cell>
          <cell r="C1053" t="str">
            <v>基士得耶数码复印机</v>
          </cell>
          <cell r="D1053">
            <v>220</v>
          </cell>
          <cell r="E1053" t="str">
            <v>英国</v>
          </cell>
          <cell r="F1053" t="str">
            <v>台</v>
          </cell>
          <cell r="G1053" t="str">
            <v>200006</v>
          </cell>
          <cell r="H1053" t="str">
            <v>200006</v>
          </cell>
          <cell r="I1053">
            <v>23000</v>
          </cell>
          <cell r="J1053">
            <v>17968.759999999998</v>
          </cell>
          <cell r="K1053">
            <v>23000</v>
          </cell>
          <cell r="L1053">
            <v>17968.759999999998</v>
          </cell>
          <cell r="M1053">
            <v>21400</v>
          </cell>
          <cell r="N1053">
            <v>80</v>
          </cell>
          <cell r="O1053">
            <v>17120</v>
          </cell>
          <cell r="P1053">
            <v>-4.7235312842956247</v>
          </cell>
        </row>
        <row r="1054">
          <cell r="B1054" t="str">
            <v>001-0007682</v>
          </cell>
          <cell r="C1054" t="str">
            <v>彩电</v>
          </cell>
          <cell r="D1054" t="str">
            <v>长虹2145</v>
          </cell>
          <cell r="F1054" t="str">
            <v>台</v>
          </cell>
          <cell r="G1054" t="str">
            <v>199602</v>
          </cell>
          <cell r="H1054" t="str">
            <v>199602</v>
          </cell>
          <cell r="I1054">
            <v>3240.9</v>
          </cell>
          <cell r="J1054">
            <v>1065.72</v>
          </cell>
          <cell r="K1054">
            <v>3240.9</v>
          </cell>
          <cell r="L1054">
            <v>1065.72</v>
          </cell>
          <cell r="M1054">
            <v>1400</v>
          </cell>
          <cell r="N1054">
            <v>17</v>
          </cell>
          <cell r="O1054">
            <v>238</v>
          </cell>
          <cell r="P1054">
            <v>-77.667680066058637</v>
          </cell>
        </row>
        <row r="1055">
          <cell r="B1055" t="str">
            <v>001-0007683</v>
          </cell>
          <cell r="C1055" t="str">
            <v>彩电</v>
          </cell>
          <cell r="D1055" t="str">
            <v>长虹2145</v>
          </cell>
          <cell r="F1055" t="str">
            <v>台</v>
          </cell>
          <cell r="G1055" t="str">
            <v>199602</v>
          </cell>
          <cell r="H1055" t="str">
            <v>199602</v>
          </cell>
          <cell r="I1055">
            <v>3240.9</v>
          </cell>
          <cell r="J1055">
            <v>1065.72</v>
          </cell>
          <cell r="K1055">
            <v>3240.9</v>
          </cell>
          <cell r="L1055">
            <v>1065.72</v>
          </cell>
          <cell r="M1055">
            <v>1400</v>
          </cell>
          <cell r="N1055">
            <v>17</v>
          </cell>
          <cell r="O1055">
            <v>238</v>
          </cell>
          <cell r="P1055">
            <v>-77.667680066058637</v>
          </cell>
        </row>
        <row r="1056">
          <cell r="B1056" t="str">
            <v>001-0007684</v>
          </cell>
          <cell r="C1056" t="str">
            <v>彩电</v>
          </cell>
          <cell r="D1056" t="str">
            <v>长虹2145</v>
          </cell>
          <cell r="F1056" t="str">
            <v>台</v>
          </cell>
          <cell r="G1056" t="str">
            <v>199602</v>
          </cell>
          <cell r="H1056" t="str">
            <v>199602</v>
          </cell>
          <cell r="I1056">
            <v>3240.9</v>
          </cell>
          <cell r="J1056">
            <v>1065.72</v>
          </cell>
          <cell r="K1056">
            <v>3240.9</v>
          </cell>
          <cell r="L1056">
            <v>1065.72</v>
          </cell>
          <cell r="M1056">
            <v>1400</v>
          </cell>
          <cell r="N1056">
            <v>17</v>
          </cell>
          <cell r="O1056">
            <v>238</v>
          </cell>
          <cell r="P1056">
            <v>-77.667680066058637</v>
          </cell>
        </row>
        <row r="1057">
          <cell r="B1057" t="str">
            <v>001-0007685</v>
          </cell>
          <cell r="C1057" t="str">
            <v>彩电</v>
          </cell>
          <cell r="D1057" t="str">
            <v>长虹2145</v>
          </cell>
          <cell r="F1057" t="str">
            <v>台</v>
          </cell>
          <cell r="G1057" t="str">
            <v>199602</v>
          </cell>
          <cell r="H1057" t="str">
            <v>199602</v>
          </cell>
          <cell r="I1057">
            <v>3240.9</v>
          </cell>
          <cell r="J1057">
            <v>776.47</v>
          </cell>
          <cell r="K1057">
            <v>3240.9</v>
          </cell>
          <cell r="L1057">
            <v>776.47</v>
          </cell>
          <cell r="M1057">
            <v>1400</v>
          </cell>
          <cell r="N1057">
            <v>17</v>
          </cell>
          <cell r="O1057">
            <v>238</v>
          </cell>
          <cell r="P1057">
            <v>-69.348461627622441</v>
          </cell>
        </row>
        <row r="1058">
          <cell r="B1058" t="str">
            <v>001-0007686</v>
          </cell>
          <cell r="C1058" t="str">
            <v>彩电</v>
          </cell>
          <cell r="D1058" t="str">
            <v>长虹2145</v>
          </cell>
          <cell r="F1058" t="str">
            <v>台</v>
          </cell>
          <cell r="G1058" t="str">
            <v>199602</v>
          </cell>
          <cell r="H1058" t="str">
            <v>199602</v>
          </cell>
          <cell r="I1058">
            <v>3240.9</v>
          </cell>
          <cell r="J1058">
            <v>776.47</v>
          </cell>
          <cell r="K1058">
            <v>3240.9</v>
          </cell>
          <cell r="L1058">
            <v>776.47</v>
          </cell>
          <cell r="M1058">
            <v>1400</v>
          </cell>
          <cell r="N1058">
            <v>17</v>
          </cell>
          <cell r="O1058">
            <v>238</v>
          </cell>
          <cell r="P1058">
            <v>-69.348461627622441</v>
          </cell>
        </row>
        <row r="1059">
          <cell r="B1059" t="str">
            <v>001-0007687</v>
          </cell>
          <cell r="C1059" t="str">
            <v>彩电</v>
          </cell>
          <cell r="D1059" t="str">
            <v>长虹2145</v>
          </cell>
          <cell r="F1059" t="str">
            <v>台</v>
          </cell>
          <cell r="G1059" t="str">
            <v>199602</v>
          </cell>
          <cell r="H1059" t="str">
            <v>199602</v>
          </cell>
          <cell r="I1059">
            <v>3240.9</v>
          </cell>
          <cell r="J1059">
            <v>1065.72</v>
          </cell>
          <cell r="K1059">
            <v>3240.9</v>
          </cell>
          <cell r="L1059">
            <v>1065.72</v>
          </cell>
          <cell r="M1059">
            <v>1400</v>
          </cell>
          <cell r="N1059">
            <v>17</v>
          </cell>
          <cell r="O1059">
            <v>238</v>
          </cell>
          <cell r="P1059">
            <v>-77.667680066058637</v>
          </cell>
        </row>
        <row r="1060">
          <cell r="B1060" t="str">
            <v>001-0007688</v>
          </cell>
          <cell r="C1060" t="str">
            <v>彩电</v>
          </cell>
          <cell r="D1060" t="str">
            <v>长虹2145</v>
          </cell>
          <cell r="F1060" t="str">
            <v>台</v>
          </cell>
          <cell r="G1060" t="str">
            <v>199602</v>
          </cell>
          <cell r="H1060" t="str">
            <v>199602</v>
          </cell>
          <cell r="I1060">
            <v>3240.9</v>
          </cell>
          <cell r="J1060">
            <v>1065.72</v>
          </cell>
          <cell r="K1060">
            <v>3240.9</v>
          </cell>
          <cell r="L1060">
            <v>1065.72</v>
          </cell>
          <cell r="M1060">
            <v>1400</v>
          </cell>
          <cell r="N1060">
            <v>17</v>
          </cell>
          <cell r="O1060">
            <v>238</v>
          </cell>
          <cell r="P1060">
            <v>-77.667680066058637</v>
          </cell>
        </row>
        <row r="1061">
          <cell r="B1061" t="str">
            <v>001-0007689</v>
          </cell>
          <cell r="C1061" t="str">
            <v>彩电</v>
          </cell>
          <cell r="D1061" t="str">
            <v>长虹2145</v>
          </cell>
          <cell r="F1061" t="str">
            <v>台</v>
          </cell>
          <cell r="G1061" t="str">
            <v>199602</v>
          </cell>
          <cell r="H1061" t="str">
            <v>199602</v>
          </cell>
          <cell r="I1061">
            <v>3240.9</v>
          </cell>
          <cell r="J1061">
            <v>1065.72</v>
          </cell>
          <cell r="K1061">
            <v>3240.9</v>
          </cell>
          <cell r="L1061">
            <v>1065.72</v>
          </cell>
          <cell r="M1061">
            <v>1400</v>
          </cell>
          <cell r="N1061">
            <v>17</v>
          </cell>
          <cell r="O1061">
            <v>238</v>
          </cell>
          <cell r="P1061">
            <v>-77.667680066058637</v>
          </cell>
        </row>
        <row r="1062">
          <cell r="B1062" t="str">
            <v>001-0007690</v>
          </cell>
          <cell r="C1062" t="str">
            <v>彩电</v>
          </cell>
          <cell r="D1062" t="str">
            <v>长虹2145</v>
          </cell>
          <cell r="F1062" t="str">
            <v>台</v>
          </cell>
          <cell r="G1062" t="str">
            <v>199602</v>
          </cell>
          <cell r="H1062" t="str">
            <v>199602</v>
          </cell>
          <cell r="I1062">
            <v>3240.9</v>
          </cell>
          <cell r="J1062">
            <v>776.47</v>
          </cell>
          <cell r="K1062">
            <v>3240.9</v>
          </cell>
          <cell r="L1062">
            <v>776.47</v>
          </cell>
          <cell r="M1062">
            <v>1400</v>
          </cell>
          <cell r="N1062">
            <v>17</v>
          </cell>
          <cell r="O1062">
            <v>238</v>
          </cell>
          <cell r="P1062">
            <v>-69.348461627622441</v>
          </cell>
        </row>
        <row r="1063">
          <cell r="B1063" t="str">
            <v>001-0018018</v>
          </cell>
          <cell r="C1063" t="str">
            <v>空调</v>
          </cell>
          <cell r="D1063" t="str">
            <v>格力RF-16W</v>
          </cell>
          <cell r="F1063" t="str">
            <v>台</v>
          </cell>
          <cell r="I1063">
            <v>11960</v>
          </cell>
          <cell r="J1063">
            <v>11396.29</v>
          </cell>
          <cell r="K1063">
            <v>11960</v>
          </cell>
          <cell r="L1063">
            <v>11396.29</v>
          </cell>
          <cell r="M1063">
            <v>11000</v>
          </cell>
          <cell r="N1063">
            <v>95</v>
          </cell>
          <cell r="O1063">
            <v>10450</v>
          </cell>
          <cell r="P1063">
            <v>-8.3034917503854384</v>
          </cell>
        </row>
        <row r="1064">
          <cell r="B1064" t="str">
            <v>001-0018876</v>
          </cell>
          <cell r="C1064" t="str">
            <v>空调</v>
          </cell>
          <cell r="D1064" t="str">
            <v/>
          </cell>
          <cell r="F1064" t="str">
            <v>台</v>
          </cell>
          <cell r="I1064">
            <v>1600</v>
          </cell>
          <cell r="J1064">
            <v>1567.69</v>
          </cell>
          <cell r="K1064">
            <v>1600</v>
          </cell>
          <cell r="L1064">
            <v>1567.69</v>
          </cell>
          <cell r="M1064">
            <v>1600</v>
          </cell>
          <cell r="N1064">
            <v>95</v>
          </cell>
          <cell r="O1064">
            <v>1520</v>
          </cell>
          <cell r="P1064">
            <v>-3.0420555084232248</v>
          </cell>
        </row>
        <row r="1065">
          <cell r="B1065" t="str">
            <v>001-0018877</v>
          </cell>
          <cell r="C1065" t="str">
            <v>空调</v>
          </cell>
          <cell r="D1065" t="str">
            <v/>
          </cell>
          <cell r="F1065" t="str">
            <v>台</v>
          </cell>
          <cell r="I1065">
            <v>1600</v>
          </cell>
          <cell r="J1065">
            <v>1567.69</v>
          </cell>
          <cell r="K1065">
            <v>1600</v>
          </cell>
          <cell r="L1065">
            <v>1567.69</v>
          </cell>
          <cell r="M1065">
            <v>1600</v>
          </cell>
          <cell r="N1065">
            <v>95</v>
          </cell>
          <cell r="O1065">
            <v>1520</v>
          </cell>
          <cell r="P1065">
            <v>-3.0420555084232248</v>
          </cell>
        </row>
        <row r="1066">
          <cell r="B1066" t="str">
            <v>001-0018878</v>
          </cell>
          <cell r="C1066" t="str">
            <v>空调</v>
          </cell>
          <cell r="D1066" t="str">
            <v/>
          </cell>
          <cell r="F1066" t="str">
            <v>台</v>
          </cell>
          <cell r="I1066">
            <v>575</v>
          </cell>
          <cell r="J1066">
            <v>563.39</v>
          </cell>
          <cell r="K1066">
            <v>575</v>
          </cell>
          <cell r="L1066">
            <v>563.39</v>
          </cell>
          <cell r="M1066">
            <v>0</v>
          </cell>
          <cell r="N1066">
            <v>0</v>
          </cell>
          <cell r="O1066">
            <v>0</v>
          </cell>
          <cell r="P1066">
            <v>-100</v>
          </cell>
          <cell r="Q1066" t="str">
            <v>报废</v>
          </cell>
        </row>
        <row r="1067">
          <cell r="B1067" t="str">
            <v>001-0018879</v>
          </cell>
          <cell r="C1067" t="str">
            <v>空调</v>
          </cell>
          <cell r="D1067" t="str">
            <v/>
          </cell>
          <cell r="F1067" t="str">
            <v>台</v>
          </cell>
          <cell r="I1067">
            <v>575</v>
          </cell>
          <cell r="J1067">
            <v>563.39</v>
          </cell>
          <cell r="K1067">
            <v>575</v>
          </cell>
          <cell r="L1067">
            <v>563.39</v>
          </cell>
          <cell r="M1067">
            <v>0</v>
          </cell>
          <cell r="N1067">
            <v>0</v>
          </cell>
          <cell r="O1067">
            <v>0</v>
          </cell>
          <cell r="P1067">
            <v>-100</v>
          </cell>
          <cell r="Q1067" t="str">
            <v>报废</v>
          </cell>
        </row>
        <row r="1068">
          <cell r="B1068" t="str">
            <v>001-0018985</v>
          </cell>
          <cell r="C1068" t="str">
            <v>空调</v>
          </cell>
          <cell r="D1068" t="str">
            <v/>
          </cell>
          <cell r="F1068" t="str">
            <v>台</v>
          </cell>
          <cell r="I1068">
            <v>7500</v>
          </cell>
          <cell r="J1068">
            <v>7348.5</v>
          </cell>
          <cell r="K1068">
            <v>7500</v>
          </cell>
          <cell r="L1068">
            <v>7348.5</v>
          </cell>
          <cell r="M1068">
            <v>7000</v>
          </cell>
          <cell r="N1068">
            <v>95</v>
          </cell>
          <cell r="O1068">
            <v>6650</v>
          </cell>
          <cell r="P1068">
            <v>-9.5053412261005654</v>
          </cell>
        </row>
        <row r="1069">
          <cell r="B1069" t="str">
            <v>001-0019008</v>
          </cell>
          <cell r="C1069" t="str">
            <v>空调</v>
          </cell>
          <cell r="D1069" t="str">
            <v/>
          </cell>
          <cell r="F1069" t="str">
            <v>台</v>
          </cell>
          <cell r="I1069">
            <v>600</v>
          </cell>
          <cell r="J1069">
            <v>587.88</v>
          </cell>
          <cell r="K1069">
            <v>600</v>
          </cell>
          <cell r="L1069">
            <v>587.88</v>
          </cell>
          <cell r="M1069">
            <v>0</v>
          </cell>
          <cell r="N1069">
            <v>0</v>
          </cell>
          <cell r="O1069">
            <v>0</v>
          </cell>
          <cell r="P1069">
            <v>-100</v>
          </cell>
          <cell r="Q1069" t="str">
            <v>报废</v>
          </cell>
        </row>
        <row r="1070">
          <cell r="B1070" t="str">
            <v>001-0019009</v>
          </cell>
          <cell r="C1070" t="str">
            <v>空调</v>
          </cell>
          <cell r="D1070" t="str">
            <v/>
          </cell>
          <cell r="F1070" t="str">
            <v>台</v>
          </cell>
          <cell r="I1070">
            <v>600</v>
          </cell>
          <cell r="J1070">
            <v>587.88</v>
          </cell>
          <cell r="K1070">
            <v>600</v>
          </cell>
          <cell r="L1070">
            <v>587.88</v>
          </cell>
          <cell r="M1070">
            <v>0</v>
          </cell>
          <cell r="N1070">
            <v>0</v>
          </cell>
          <cell r="O1070">
            <v>0</v>
          </cell>
          <cell r="P1070">
            <v>-100</v>
          </cell>
          <cell r="Q1070" t="str">
            <v>报废</v>
          </cell>
        </row>
        <row r="1071">
          <cell r="B1071" t="str">
            <v>001-0019010</v>
          </cell>
          <cell r="C1071" t="str">
            <v>空调</v>
          </cell>
          <cell r="D1071" t="str">
            <v/>
          </cell>
          <cell r="F1071" t="str">
            <v>台</v>
          </cell>
          <cell r="I1071">
            <v>600</v>
          </cell>
          <cell r="J1071">
            <v>587.88</v>
          </cell>
          <cell r="K1071">
            <v>600</v>
          </cell>
          <cell r="L1071">
            <v>587.88</v>
          </cell>
          <cell r="M1071">
            <v>0</v>
          </cell>
          <cell r="N1071">
            <v>0</v>
          </cell>
          <cell r="O1071">
            <v>0</v>
          </cell>
          <cell r="P1071">
            <v>-100</v>
          </cell>
          <cell r="Q1071" t="str">
            <v>报废</v>
          </cell>
        </row>
        <row r="1072">
          <cell r="B1072" t="str">
            <v>001-0019201</v>
          </cell>
          <cell r="C1072" t="str">
            <v>计算机</v>
          </cell>
          <cell r="D1072" t="str">
            <v/>
          </cell>
          <cell r="F1072" t="str">
            <v>台</v>
          </cell>
          <cell r="I1072">
            <v>11337</v>
          </cell>
          <cell r="J1072">
            <v>11107.98</v>
          </cell>
          <cell r="K1072">
            <v>11337</v>
          </cell>
          <cell r="L1072">
            <v>11107.98</v>
          </cell>
          <cell r="M1072">
            <v>11000</v>
          </cell>
          <cell r="N1072">
            <v>95</v>
          </cell>
          <cell r="O1072">
            <v>10450</v>
          </cell>
          <cell r="P1072">
            <v>-5.9234892392676226</v>
          </cell>
        </row>
        <row r="1073">
          <cell r="B1073" t="str">
            <v>001-0019202</v>
          </cell>
          <cell r="C1073" t="str">
            <v>计算机</v>
          </cell>
          <cell r="D1073" t="str">
            <v/>
          </cell>
          <cell r="F1073" t="str">
            <v>台</v>
          </cell>
          <cell r="I1073">
            <v>11337</v>
          </cell>
          <cell r="J1073">
            <v>11053.56</v>
          </cell>
          <cell r="K1073">
            <v>11337</v>
          </cell>
          <cell r="L1073">
            <v>11053.56</v>
          </cell>
          <cell r="M1073">
            <v>11000</v>
          </cell>
          <cell r="N1073">
            <v>95</v>
          </cell>
          <cell r="O1073">
            <v>10450</v>
          </cell>
          <cell r="P1073">
            <v>-5.4603222853089823</v>
          </cell>
        </row>
        <row r="1074">
          <cell r="B1074" t="str">
            <v>001-0019203</v>
          </cell>
          <cell r="C1074" t="str">
            <v>计算机</v>
          </cell>
          <cell r="D1074" t="str">
            <v/>
          </cell>
          <cell r="F1074" t="str">
            <v>台</v>
          </cell>
          <cell r="I1074">
            <v>11337</v>
          </cell>
          <cell r="J1074">
            <v>11053.56</v>
          </cell>
          <cell r="K1074">
            <v>11337</v>
          </cell>
          <cell r="L1074">
            <v>11053.56</v>
          </cell>
          <cell r="M1074">
            <v>11000</v>
          </cell>
          <cell r="N1074">
            <v>95</v>
          </cell>
          <cell r="O1074">
            <v>10450</v>
          </cell>
          <cell r="P1074">
            <v>-5.4603222853089823</v>
          </cell>
        </row>
        <row r="1075">
          <cell r="B1075" t="str">
            <v>001-0019204</v>
          </cell>
          <cell r="C1075" t="str">
            <v>计算机</v>
          </cell>
          <cell r="D1075" t="str">
            <v/>
          </cell>
          <cell r="F1075" t="str">
            <v>台</v>
          </cell>
          <cell r="I1075">
            <v>11337</v>
          </cell>
          <cell r="J1075">
            <v>11107.98</v>
          </cell>
          <cell r="K1075">
            <v>11337</v>
          </cell>
          <cell r="L1075">
            <v>11107.98</v>
          </cell>
          <cell r="M1075">
            <v>11000</v>
          </cell>
          <cell r="N1075">
            <v>95</v>
          </cell>
          <cell r="O1075">
            <v>10450</v>
          </cell>
          <cell r="P1075">
            <v>-5.9234892392676226</v>
          </cell>
        </row>
        <row r="1076">
          <cell r="B1076" t="str">
            <v>001-0019205</v>
          </cell>
          <cell r="C1076" t="str">
            <v>计算机</v>
          </cell>
          <cell r="D1076" t="str">
            <v/>
          </cell>
          <cell r="F1076" t="str">
            <v>台</v>
          </cell>
          <cell r="I1076">
            <v>11337</v>
          </cell>
          <cell r="J1076">
            <v>11053.56</v>
          </cell>
          <cell r="K1076">
            <v>11337</v>
          </cell>
          <cell r="L1076">
            <v>11053.56</v>
          </cell>
          <cell r="M1076">
            <v>11000</v>
          </cell>
          <cell r="N1076">
            <v>95</v>
          </cell>
          <cell r="O1076">
            <v>10450</v>
          </cell>
          <cell r="P1076">
            <v>-5.4603222853089823</v>
          </cell>
        </row>
        <row r="1077">
          <cell r="B1077" t="str">
            <v>001-0019206</v>
          </cell>
          <cell r="C1077" t="str">
            <v>计算机</v>
          </cell>
          <cell r="D1077" t="str">
            <v/>
          </cell>
          <cell r="F1077" t="str">
            <v>台</v>
          </cell>
          <cell r="I1077">
            <v>11337</v>
          </cell>
          <cell r="J1077">
            <v>11053.56</v>
          </cell>
          <cell r="K1077">
            <v>11337</v>
          </cell>
          <cell r="L1077">
            <v>11053.56</v>
          </cell>
          <cell r="M1077">
            <v>11000</v>
          </cell>
          <cell r="N1077">
            <v>95</v>
          </cell>
          <cell r="O1077">
            <v>10450</v>
          </cell>
          <cell r="P1077">
            <v>-5.4603222853089823</v>
          </cell>
        </row>
        <row r="1078">
          <cell r="B1078" t="str">
            <v>001-0019207</v>
          </cell>
          <cell r="C1078" t="str">
            <v>投影仪</v>
          </cell>
          <cell r="D1078" t="str">
            <v>CP-X960</v>
          </cell>
          <cell r="F1078" t="str">
            <v>台</v>
          </cell>
          <cell r="I1078">
            <v>36000</v>
          </cell>
          <cell r="J1078">
            <v>35272.800000000003</v>
          </cell>
          <cell r="K1078">
            <v>36000</v>
          </cell>
          <cell r="L1078">
            <v>35272.800000000003</v>
          </cell>
          <cell r="M1078">
            <v>36000</v>
          </cell>
          <cell r="N1078">
            <v>95</v>
          </cell>
          <cell r="O1078">
            <v>34200</v>
          </cell>
          <cell r="P1078">
            <v>-3.0414370279648986</v>
          </cell>
        </row>
        <row r="1079">
          <cell r="B1079" t="str">
            <v>001-0019956</v>
          </cell>
          <cell r="C1079" t="str">
            <v>数码相机</v>
          </cell>
          <cell r="D1079" t="str">
            <v>SONY DSC-F505C</v>
          </cell>
          <cell r="F1079" t="str">
            <v>台</v>
          </cell>
          <cell r="I1079">
            <v>6450</v>
          </cell>
          <cell r="J1079">
            <v>6363.14</v>
          </cell>
          <cell r="K1079">
            <v>6450</v>
          </cell>
          <cell r="L1079">
            <v>6363.14</v>
          </cell>
          <cell r="M1079">
            <v>6450</v>
          </cell>
          <cell r="N1079">
            <v>95</v>
          </cell>
          <cell r="O1079">
            <v>6127.5</v>
          </cell>
          <cell r="P1079">
            <v>-3.7032031355588644</v>
          </cell>
        </row>
        <row r="1080">
          <cell r="B1080" t="str">
            <v>001-0019957</v>
          </cell>
          <cell r="C1080" t="str">
            <v>电脑标签印字机</v>
          </cell>
          <cell r="D1080" t="str">
            <v>9200DX</v>
          </cell>
          <cell r="F1080" t="str">
            <v>台</v>
          </cell>
          <cell r="I1080">
            <v>3300</v>
          </cell>
          <cell r="J1080">
            <v>3261.88</v>
          </cell>
          <cell r="K1080">
            <v>3300</v>
          </cell>
          <cell r="L1080">
            <v>3261.88</v>
          </cell>
          <cell r="M1080">
            <v>3000</v>
          </cell>
          <cell r="N1080">
            <v>95</v>
          </cell>
          <cell r="O1080">
            <v>2850</v>
          </cell>
          <cell r="P1080">
            <v>-12.627073957349753</v>
          </cell>
        </row>
        <row r="1081">
          <cell r="B1081" t="str">
            <v>001-0018016</v>
          </cell>
          <cell r="C1081" t="str">
            <v>显示器</v>
          </cell>
          <cell r="D1081" t="str">
            <v>SONY21寸</v>
          </cell>
          <cell r="F1081" t="str">
            <v>台</v>
          </cell>
          <cell r="I1081">
            <v>13029</v>
          </cell>
          <cell r="J1081">
            <v>12414.9</v>
          </cell>
          <cell r="K1081">
            <v>13029</v>
          </cell>
          <cell r="L1081">
            <v>12414.9</v>
          </cell>
          <cell r="M1081">
            <v>13000</v>
          </cell>
          <cell r="N1081">
            <v>95</v>
          </cell>
          <cell r="O1081">
            <v>12350</v>
          </cell>
          <cell r="P1081">
            <v>-0.52275894288314562</v>
          </cell>
        </row>
        <row r="1082">
          <cell r="B1082" t="str">
            <v>001-0018017</v>
          </cell>
          <cell r="C1082" t="str">
            <v>显示器</v>
          </cell>
          <cell r="D1082" t="str">
            <v>SONY21寸</v>
          </cell>
          <cell r="F1082" t="str">
            <v>台</v>
          </cell>
          <cell r="I1082">
            <v>13029</v>
          </cell>
          <cell r="J1082">
            <v>12414.9</v>
          </cell>
          <cell r="K1082">
            <v>13029</v>
          </cell>
          <cell r="L1082">
            <v>12414.9</v>
          </cell>
          <cell r="M1082">
            <v>13000</v>
          </cell>
          <cell r="N1082">
            <v>95</v>
          </cell>
          <cell r="O1082">
            <v>12350</v>
          </cell>
          <cell r="P1082">
            <v>-0.52275894288314562</v>
          </cell>
        </row>
        <row r="1083">
          <cell r="C1083" t="str">
            <v>（检修）</v>
          </cell>
        </row>
        <row r="1084">
          <cell r="B1084" t="str">
            <v>001-0020295</v>
          </cell>
          <cell r="C1084" t="str">
            <v>CPU</v>
          </cell>
          <cell r="F1084" t="str">
            <v>个</v>
          </cell>
          <cell r="G1084">
            <v>2001</v>
          </cell>
          <cell r="H1084">
            <v>2001</v>
          </cell>
          <cell r="I1084">
            <v>1455</v>
          </cell>
          <cell r="J1084">
            <v>1430.74</v>
          </cell>
          <cell r="K1084">
            <v>1455</v>
          </cell>
          <cell r="L1084">
            <v>1430.74</v>
          </cell>
          <cell r="M1084">
            <v>0</v>
          </cell>
          <cell r="O1084">
            <v>0</v>
          </cell>
          <cell r="P1084">
            <v>-100</v>
          </cell>
          <cell r="Q1084" t="str">
            <v>与计算机合并</v>
          </cell>
        </row>
        <row r="1085">
          <cell r="B1085" t="str">
            <v>001-0020296</v>
          </cell>
          <cell r="C1085" t="str">
            <v>CPU</v>
          </cell>
          <cell r="F1085" t="str">
            <v>个</v>
          </cell>
          <cell r="G1085">
            <v>2001</v>
          </cell>
          <cell r="H1085">
            <v>2001</v>
          </cell>
          <cell r="I1085">
            <v>1455</v>
          </cell>
          <cell r="J1085">
            <v>1430.74</v>
          </cell>
          <cell r="K1085">
            <v>1455</v>
          </cell>
          <cell r="L1085">
            <v>1430.74</v>
          </cell>
          <cell r="M1085">
            <v>0</v>
          </cell>
          <cell r="O1085">
            <v>0</v>
          </cell>
          <cell r="P1085">
            <v>-100</v>
          </cell>
          <cell r="Q1085" t="str">
            <v>与计算机合并</v>
          </cell>
        </row>
        <row r="1086">
          <cell r="B1086" t="str">
            <v>001-0020297</v>
          </cell>
          <cell r="C1086" t="str">
            <v>CPU</v>
          </cell>
          <cell r="F1086" t="str">
            <v>个</v>
          </cell>
          <cell r="G1086">
            <v>2001</v>
          </cell>
          <cell r="H1086">
            <v>2001</v>
          </cell>
          <cell r="I1086">
            <v>1455</v>
          </cell>
          <cell r="J1086">
            <v>1430.74</v>
          </cell>
          <cell r="K1086">
            <v>1455</v>
          </cell>
          <cell r="L1086">
            <v>1430.74</v>
          </cell>
          <cell r="M1086">
            <v>0</v>
          </cell>
          <cell r="O1086">
            <v>0</v>
          </cell>
          <cell r="P1086">
            <v>-100</v>
          </cell>
          <cell r="Q1086" t="str">
            <v>与计算机合并</v>
          </cell>
        </row>
        <row r="1087">
          <cell r="B1087" t="str">
            <v>001-0020298</v>
          </cell>
          <cell r="C1087" t="str">
            <v>CPU</v>
          </cell>
          <cell r="F1087" t="str">
            <v>个</v>
          </cell>
          <cell r="G1087">
            <v>2001</v>
          </cell>
          <cell r="H1087">
            <v>2001</v>
          </cell>
          <cell r="I1087">
            <v>1455</v>
          </cell>
          <cell r="J1087">
            <v>1430.74</v>
          </cell>
          <cell r="K1087">
            <v>1455</v>
          </cell>
          <cell r="L1087">
            <v>1430.74</v>
          </cell>
          <cell r="M1087">
            <v>0</v>
          </cell>
          <cell r="O1087">
            <v>0</v>
          </cell>
          <cell r="P1087">
            <v>-100</v>
          </cell>
          <cell r="Q1087" t="str">
            <v>与计算机合并</v>
          </cell>
        </row>
        <row r="1088">
          <cell r="B1088" t="str">
            <v>001-0020299</v>
          </cell>
          <cell r="C1088" t="str">
            <v>CPU</v>
          </cell>
          <cell r="F1088" t="str">
            <v>个</v>
          </cell>
          <cell r="G1088">
            <v>2001</v>
          </cell>
          <cell r="H1088">
            <v>2001</v>
          </cell>
          <cell r="I1088">
            <v>1455</v>
          </cell>
          <cell r="J1088">
            <v>1430.74</v>
          </cell>
          <cell r="K1088">
            <v>1455</v>
          </cell>
          <cell r="L1088">
            <v>1430.74</v>
          </cell>
          <cell r="M1088">
            <v>0</v>
          </cell>
          <cell r="O1088">
            <v>0</v>
          </cell>
          <cell r="P1088">
            <v>-100</v>
          </cell>
          <cell r="Q1088" t="str">
            <v>与计算机合并</v>
          </cell>
        </row>
        <row r="1089">
          <cell r="B1089" t="str">
            <v>001-0020300</v>
          </cell>
          <cell r="C1089" t="str">
            <v>CPU</v>
          </cell>
          <cell r="F1089" t="str">
            <v>个</v>
          </cell>
          <cell r="G1089">
            <v>2001</v>
          </cell>
          <cell r="H1089">
            <v>2001</v>
          </cell>
          <cell r="I1089">
            <v>1455</v>
          </cell>
          <cell r="J1089">
            <v>1430.74</v>
          </cell>
          <cell r="K1089">
            <v>1455</v>
          </cell>
          <cell r="L1089">
            <v>1430.74</v>
          </cell>
          <cell r="M1089">
            <v>0</v>
          </cell>
          <cell r="O1089">
            <v>0</v>
          </cell>
          <cell r="P1089">
            <v>-100</v>
          </cell>
          <cell r="Q1089" t="str">
            <v>与计算机合并</v>
          </cell>
        </row>
        <row r="1090">
          <cell r="B1090" t="str">
            <v>001-0020301</v>
          </cell>
          <cell r="C1090" t="str">
            <v>CPU</v>
          </cell>
          <cell r="F1090" t="str">
            <v>个</v>
          </cell>
          <cell r="G1090">
            <v>2001</v>
          </cell>
          <cell r="H1090">
            <v>2001</v>
          </cell>
          <cell r="I1090">
            <v>1455</v>
          </cell>
          <cell r="J1090">
            <v>1430.74</v>
          </cell>
          <cell r="K1090">
            <v>1455</v>
          </cell>
          <cell r="L1090">
            <v>1430.74</v>
          </cell>
          <cell r="M1090">
            <v>0</v>
          </cell>
          <cell r="O1090">
            <v>0</v>
          </cell>
          <cell r="P1090">
            <v>-100</v>
          </cell>
          <cell r="Q1090" t="str">
            <v>与计算机合并</v>
          </cell>
        </row>
        <row r="1091">
          <cell r="B1091" t="str">
            <v>001-0020302</v>
          </cell>
          <cell r="C1091" t="str">
            <v>CPU</v>
          </cell>
          <cell r="F1091" t="str">
            <v>个</v>
          </cell>
          <cell r="G1091">
            <v>2001</v>
          </cell>
          <cell r="H1091">
            <v>2001</v>
          </cell>
          <cell r="I1091">
            <v>1455</v>
          </cell>
          <cell r="J1091">
            <v>1430.74</v>
          </cell>
          <cell r="K1091">
            <v>1455</v>
          </cell>
          <cell r="L1091">
            <v>1430.74</v>
          </cell>
          <cell r="M1091">
            <v>0</v>
          </cell>
          <cell r="O1091">
            <v>0</v>
          </cell>
          <cell r="P1091">
            <v>-100</v>
          </cell>
          <cell r="Q1091" t="str">
            <v>与计算机合并</v>
          </cell>
        </row>
        <row r="1092">
          <cell r="B1092" t="str">
            <v>001-0020303</v>
          </cell>
          <cell r="C1092" t="str">
            <v>CPU</v>
          </cell>
          <cell r="F1092" t="str">
            <v>个</v>
          </cell>
          <cell r="G1092">
            <v>2001</v>
          </cell>
          <cell r="H1092">
            <v>2001</v>
          </cell>
          <cell r="I1092">
            <v>1455</v>
          </cell>
          <cell r="J1092">
            <v>1430.74</v>
          </cell>
          <cell r="K1092">
            <v>1455</v>
          </cell>
          <cell r="L1092">
            <v>1430.74</v>
          </cell>
          <cell r="M1092">
            <v>0</v>
          </cell>
          <cell r="O1092">
            <v>0</v>
          </cell>
          <cell r="P1092">
            <v>-100</v>
          </cell>
          <cell r="Q1092" t="str">
            <v>与计算机合并</v>
          </cell>
        </row>
        <row r="1093">
          <cell r="B1093" t="str">
            <v>001-0020304</v>
          </cell>
          <cell r="C1093" t="str">
            <v>CPU</v>
          </cell>
          <cell r="F1093" t="str">
            <v>个</v>
          </cell>
          <cell r="G1093">
            <v>2001</v>
          </cell>
          <cell r="H1093">
            <v>2001</v>
          </cell>
          <cell r="I1093">
            <v>1455</v>
          </cell>
          <cell r="J1093">
            <v>1430.74</v>
          </cell>
          <cell r="K1093">
            <v>1455</v>
          </cell>
          <cell r="L1093">
            <v>1430.74</v>
          </cell>
          <cell r="M1093">
            <v>0</v>
          </cell>
          <cell r="O1093">
            <v>0</v>
          </cell>
          <cell r="P1093">
            <v>-100</v>
          </cell>
          <cell r="Q1093" t="str">
            <v>与计算机合并</v>
          </cell>
        </row>
        <row r="1094">
          <cell r="B1094" t="str">
            <v>001-0011521</v>
          </cell>
          <cell r="C1094" t="str">
            <v>PC服务器</v>
          </cell>
          <cell r="D1094" t="str">
            <v>IBM7000</v>
          </cell>
          <cell r="E1094" t="str">
            <v>IBM</v>
          </cell>
          <cell r="F1094" t="str">
            <v>台</v>
          </cell>
          <cell r="G1094">
            <v>2000</v>
          </cell>
          <cell r="H1094">
            <v>2000</v>
          </cell>
          <cell r="I1094">
            <v>160000</v>
          </cell>
          <cell r="J1094">
            <v>136000.01</v>
          </cell>
          <cell r="K1094">
            <v>160000</v>
          </cell>
          <cell r="L1094">
            <v>136000.01</v>
          </cell>
          <cell r="M1094">
            <v>150000</v>
          </cell>
          <cell r="N1094">
            <v>83</v>
          </cell>
          <cell r="O1094">
            <v>124500</v>
          </cell>
          <cell r="P1094">
            <v>-8.4558890841258094</v>
          </cell>
        </row>
        <row r="1095">
          <cell r="B1095" t="str">
            <v>001-0005305</v>
          </cell>
          <cell r="C1095" t="str">
            <v>彩电</v>
          </cell>
          <cell r="F1095" t="str">
            <v>台</v>
          </cell>
          <cell r="G1095">
            <v>1993</v>
          </cell>
          <cell r="H1095">
            <v>1993</v>
          </cell>
          <cell r="I1095">
            <v>12900</v>
          </cell>
          <cell r="J1095">
            <v>0</v>
          </cell>
          <cell r="K1095">
            <v>12900</v>
          </cell>
          <cell r="L1095">
            <v>0</v>
          </cell>
          <cell r="M1095">
            <v>4200</v>
          </cell>
          <cell r="N1095">
            <v>5</v>
          </cell>
          <cell r="O1095">
            <v>210</v>
          </cell>
        </row>
        <row r="1096">
          <cell r="B1096" t="str">
            <v>001-0006858</v>
          </cell>
          <cell r="C1096" t="str">
            <v>彩色显示器</v>
          </cell>
          <cell r="D1096" t="str">
            <v>1024*768</v>
          </cell>
          <cell r="F1096" t="str">
            <v>台</v>
          </cell>
          <cell r="G1096">
            <v>1994</v>
          </cell>
          <cell r="H1096">
            <v>1994</v>
          </cell>
          <cell r="I1096">
            <v>3500</v>
          </cell>
          <cell r="J1096">
            <v>1049.99</v>
          </cell>
          <cell r="K1096">
            <v>3500</v>
          </cell>
          <cell r="L1096">
            <v>1049.99</v>
          </cell>
          <cell r="M1096">
            <v>0</v>
          </cell>
          <cell r="O1096">
            <v>0</v>
          </cell>
          <cell r="P1096">
            <v>-100</v>
          </cell>
          <cell r="Q1096" t="str">
            <v>与计算机合并</v>
          </cell>
        </row>
        <row r="1097">
          <cell r="B1097" t="str">
            <v>001-0006859</v>
          </cell>
          <cell r="C1097" t="str">
            <v>彩色显示器</v>
          </cell>
          <cell r="D1097" t="str">
            <v>1024*768</v>
          </cell>
          <cell r="F1097" t="str">
            <v>台</v>
          </cell>
          <cell r="G1097">
            <v>1994</v>
          </cell>
          <cell r="H1097">
            <v>1994</v>
          </cell>
          <cell r="I1097">
            <v>3500</v>
          </cell>
          <cell r="J1097">
            <v>1049.99</v>
          </cell>
          <cell r="K1097">
            <v>3500</v>
          </cell>
          <cell r="L1097">
            <v>1049.99</v>
          </cell>
          <cell r="M1097">
            <v>0</v>
          </cell>
          <cell r="O1097">
            <v>0</v>
          </cell>
          <cell r="P1097">
            <v>-100</v>
          </cell>
          <cell r="Q1097" t="str">
            <v>与计算机合并</v>
          </cell>
        </row>
        <row r="1098">
          <cell r="B1098" t="str">
            <v>001-0006860</v>
          </cell>
          <cell r="C1098" t="str">
            <v>彩色显示器</v>
          </cell>
          <cell r="D1098" t="str">
            <v>1024*768</v>
          </cell>
          <cell r="F1098" t="str">
            <v>台</v>
          </cell>
          <cell r="G1098">
            <v>1994</v>
          </cell>
          <cell r="H1098">
            <v>1994</v>
          </cell>
          <cell r="I1098">
            <v>3500</v>
          </cell>
          <cell r="J1098">
            <v>1049.99</v>
          </cell>
          <cell r="K1098">
            <v>3500</v>
          </cell>
          <cell r="L1098">
            <v>1049.99</v>
          </cell>
          <cell r="M1098">
            <v>0</v>
          </cell>
          <cell r="O1098">
            <v>0</v>
          </cell>
          <cell r="P1098">
            <v>-100</v>
          </cell>
          <cell r="Q1098" t="str">
            <v>与计算机合并</v>
          </cell>
        </row>
        <row r="1099">
          <cell r="B1099" t="str">
            <v>001-0009040</v>
          </cell>
          <cell r="C1099" t="str">
            <v>打印机</v>
          </cell>
          <cell r="D1099" t="str">
            <v>HPLJ5000</v>
          </cell>
          <cell r="F1099" t="str">
            <v>台</v>
          </cell>
          <cell r="G1099">
            <v>1998</v>
          </cell>
          <cell r="H1099">
            <v>1998</v>
          </cell>
          <cell r="I1099">
            <v>14300</v>
          </cell>
          <cell r="J1099">
            <v>9056.66</v>
          </cell>
          <cell r="K1099">
            <v>14300</v>
          </cell>
          <cell r="L1099">
            <v>9056.66</v>
          </cell>
          <cell r="M1099">
            <v>13500</v>
          </cell>
          <cell r="N1099">
            <v>40</v>
          </cell>
          <cell r="O1099">
            <v>5400</v>
          </cell>
          <cell r="P1099">
            <v>-40.375370169576861</v>
          </cell>
        </row>
        <row r="1100">
          <cell r="B1100" t="str">
            <v>001-0011700</v>
          </cell>
          <cell r="C1100" t="str">
            <v>打印机</v>
          </cell>
          <cell r="D1100" t="str">
            <v>HP6L</v>
          </cell>
          <cell r="F1100" t="str">
            <v>台</v>
          </cell>
          <cell r="G1100">
            <v>2000</v>
          </cell>
          <cell r="H1100">
            <v>2000</v>
          </cell>
          <cell r="I1100">
            <v>3150</v>
          </cell>
          <cell r="J1100">
            <v>2657.82</v>
          </cell>
          <cell r="K1100">
            <v>3150</v>
          </cell>
          <cell r="L1100">
            <v>2657.82</v>
          </cell>
          <cell r="M1100">
            <v>3100</v>
          </cell>
          <cell r="N1100">
            <v>80</v>
          </cell>
          <cell r="O1100">
            <v>2480</v>
          </cell>
          <cell r="P1100">
            <v>-6.6904455531224896</v>
          </cell>
        </row>
        <row r="1101">
          <cell r="B1101" t="str">
            <v>001-0011701</v>
          </cell>
          <cell r="C1101" t="str">
            <v>打印机</v>
          </cell>
          <cell r="D1101" t="str">
            <v>HP6L</v>
          </cell>
          <cell r="E1101" t="str">
            <v>HP</v>
          </cell>
          <cell r="F1101" t="str">
            <v>台</v>
          </cell>
          <cell r="G1101">
            <v>2000</v>
          </cell>
          <cell r="H1101">
            <v>2000</v>
          </cell>
          <cell r="I1101">
            <v>3150</v>
          </cell>
          <cell r="J1101">
            <v>2657.82</v>
          </cell>
          <cell r="K1101">
            <v>3150</v>
          </cell>
          <cell r="L1101">
            <v>2657.82</v>
          </cell>
          <cell r="M1101">
            <v>3100</v>
          </cell>
          <cell r="N1101">
            <v>80</v>
          </cell>
          <cell r="O1101">
            <v>2480</v>
          </cell>
          <cell r="P1101">
            <v>-6.6904455531224896</v>
          </cell>
        </row>
        <row r="1102">
          <cell r="B1102" t="str">
            <v>001-0011702</v>
          </cell>
          <cell r="C1102" t="str">
            <v>打印机</v>
          </cell>
          <cell r="D1102" t="str">
            <v>HP6L</v>
          </cell>
          <cell r="E1102" t="str">
            <v>HP</v>
          </cell>
          <cell r="F1102" t="str">
            <v>台</v>
          </cell>
          <cell r="G1102">
            <v>2000</v>
          </cell>
          <cell r="H1102">
            <v>2000</v>
          </cell>
          <cell r="I1102">
            <v>3150</v>
          </cell>
          <cell r="J1102">
            <v>2657.82</v>
          </cell>
          <cell r="K1102">
            <v>3150</v>
          </cell>
          <cell r="L1102">
            <v>2657.82</v>
          </cell>
          <cell r="M1102">
            <v>3100</v>
          </cell>
          <cell r="N1102">
            <v>80</v>
          </cell>
          <cell r="O1102">
            <v>2480</v>
          </cell>
          <cell r="P1102">
            <v>-6.6904455531224896</v>
          </cell>
        </row>
        <row r="1103">
          <cell r="B1103" t="str">
            <v>001-0018608</v>
          </cell>
          <cell r="C1103" t="str">
            <v>打印机</v>
          </cell>
          <cell r="D1103" t="str">
            <v>HP6L激光</v>
          </cell>
          <cell r="E1103" t="str">
            <v>HP</v>
          </cell>
          <cell r="F1103" t="str">
            <v>台</v>
          </cell>
          <cell r="G1103">
            <v>2001</v>
          </cell>
          <cell r="H1103">
            <v>2001</v>
          </cell>
          <cell r="I1103">
            <v>3090</v>
          </cell>
          <cell r="J1103">
            <v>2929.06</v>
          </cell>
          <cell r="K1103">
            <v>3090</v>
          </cell>
          <cell r="L1103">
            <v>2929.06</v>
          </cell>
          <cell r="M1103">
            <v>3000</v>
          </cell>
          <cell r="N1103">
            <v>95</v>
          </cell>
          <cell r="O1103">
            <v>2850</v>
          </cell>
          <cell r="P1103">
            <v>-2.6991594573002922</v>
          </cell>
        </row>
        <row r="1104">
          <cell r="B1104" t="str">
            <v>001-0018609</v>
          </cell>
          <cell r="C1104" t="str">
            <v>打印机</v>
          </cell>
          <cell r="D1104" t="str">
            <v>HP6L激光</v>
          </cell>
          <cell r="E1104" t="str">
            <v>HP</v>
          </cell>
          <cell r="F1104" t="str">
            <v>台</v>
          </cell>
          <cell r="G1104">
            <v>2001</v>
          </cell>
          <cell r="H1104">
            <v>2001</v>
          </cell>
          <cell r="I1104">
            <v>3090</v>
          </cell>
          <cell r="J1104">
            <v>2929.06</v>
          </cell>
          <cell r="K1104">
            <v>3090</v>
          </cell>
          <cell r="L1104">
            <v>2929.06</v>
          </cell>
          <cell r="M1104">
            <v>3000</v>
          </cell>
          <cell r="N1104">
            <v>95</v>
          </cell>
          <cell r="O1104">
            <v>2850</v>
          </cell>
          <cell r="P1104">
            <v>-2.6991594573002922</v>
          </cell>
        </row>
        <row r="1105">
          <cell r="B1105" t="str">
            <v>001-0018610</v>
          </cell>
          <cell r="C1105" t="str">
            <v>打印机</v>
          </cell>
          <cell r="D1105" t="str">
            <v>HP6L激光</v>
          </cell>
          <cell r="E1105" t="str">
            <v>HP</v>
          </cell>
          <cell r="F1105" t="str">
            <v>台</v>
          </cell>
          <cell r="G1105">
            <v>2001</v>
          </cell>
          <cell r="H1105">
            <v>2001</v>
          </cell>
          <cell r="I1105">
            <v>3090</v>
          </cell>
          <cell r="J1105">
            <v>2929.06</v>
          </cell>
          <cell r="K1105">
            <v>3090</v>
          </cell>
          <cell r="L1105">
            <v>2929.06</v>
          </cell>
          <cell r="M1105">
            <v>3000</v>
          </cell>
          <cell r="N1105">
            <v>95</v>
          </cell>
          <cell r="O1105">
            <v>2850</v>
          </cell>
          <cell r="P1105">
            <v>-2.6991594573002922</v>
          </cell>
        </row>
        <row r="1106">
          <cell r="B1106" t="str">
            <v>001-0018611</v>
          </cell>
          <cell r="C1106" t="str">
            <v>打印机</v>
          </cell>
          <cell r="D1106" t="str">
            <v>HP6L激光</v>
          </cell>
          <cell r="E1106" t="str">
            <v>HP</v>
          </cell>
          <cell r="F1106" t="str">
            <v>台</v>
          </cell>
          <cell r="G1106">
            <v>2001</v>
          </cell>
          <cell r="H1106">
            <v>2001</v>
          </cell>
          <cell r="I1106">
            <v>3090</v>
          </cell>
          <cell r="J1106">
            <v>2929.06</v>
          </cell>
          <cell r="K1106">
            <v>3090</v>
          </cell>
          <cell r="L1106">
            <v>2929.06</v>
          </cell>
          <cell r="M1106">
            <v>3000</v>
          </cell>
          <cell r="N1106">
            <v>95</v>
          </cell>
          <cell r="O1106">
            <v>2850</v>
          </cell>
          <cell r="P1106">
            <v>-2.6991594573002922</v>
          </cell>
        </row>
        <row r="1107">
          <cell r="B1107" t="str">
            <v>001-0018612</v>
          </cell>
          <cell r="C1107" t="str">
            <v>打印机</v>
          </cell>
          <cell r="D1107" t="str">
            <v>HP6L激光</v>
          </cell>
          <cell r="E1107" t="str">
            <v>HP</v>
          </cell>
          <cell r="F1107" t="str">
            <v>台</v>
          </cell>
          <cell r="G1107">
            <v>2001</v>
          </cell>
          <cell r="H1107">
            <v>2001</v>
          </cell>
          <cell r="I1107">
            <v>3090</v>
          </cell>
          <cell r="J1107">
            <v>2929.06</v>
          </cell>
          <cell r="K1107">
            <v>3090</v>
          </cell>
          <cell r="L1107">
            <v>2929.06</v>
          </cell>
          <cell r="M1107">
            <v>3000</v>
          </cell>
          <cell r="N1107">
            <v>95</v>
          </cell>
          <cell r="O1107">
            <v>2850</v>
          </cell>
          <cell r="P1107">
            <v>-2.6991594573002922</v>
          </cell>
        </row>
        <row r="1108">
          <cell r="B1108" t="str">
            <v>001-0018613</v>
          </cell>
          <cell r="C1108" t="str">
            <v>打印机</v>
          </cell>
          <cell r="D1108" t="str">
            <v>HP6L激光</v>
          </cell>
          <cell r="E1108" t="str">
            <v>HP</v>
          </cell>
          <cell r="F1108" t="str">
            <v>台</v>
          </cell>
          <cell r="G1108">
            <v>2001</v>
          </cell>
          <cell r="H1108">
            <v>2001</v>
          </cell>
          <cell r="I1108">
            <v>3090</v>
          </cell>
          <cell r="J1108">
            <v>2929.06</v>
          </cell>
          <cell r="K1108">
            <v>3090</v>
          </cell>
          <cell r="L1108">
            <v>2929.06</v>
          </cell>
          <cell r="M1108">
            <v>3000</v>
          </cell>
          <cell r="N1108">
            <v>95</v>
          </cell>
          <cell r="O1108">
            <v>2850</v>
          </cell>
          <cell r="P1108">
            <v>-2.6991594573002922</v>
          </cell>
        </row>
        <row r="1109">
          <cell r="B1109" t="str">
            <v>001-0018614</v>
          </cell>
          <cell r="C1109" t="str">
            <v>打印机</v>
          </cell>
          <cell r="D1109" t="str">
            <v>HP6L激光</v>
          </cell>
          <cell r="E1109" t="str">
            <v>HP</v>
          </cell>
          <cell r="F1109" t="str">
            <v>台</v>
          </cell>
          <cell r="G1109">
            <v>2001</v>
          </cell>
          <cell r="H1109">
            <v>2001</v>
          </cell>
          <cell r="I1109">
            <v>3090</v>
          </cell>
          <cell r="J1109">
            <v>2929.06</v>
          </cell>
          <cell r="K1109">
            <v>3090</v>
          </cell>
          <cell r="L1109">
            <v>2929.06</v>
          </cell>
          <cell r="M1109">
            <v>3000</v>
          </cell>
          <cell r="N1109">
            <v>95</v>
          </cell>
          <cell r="O1109">
            <v>2850</v>
          </cell>
          <cell r="P1109">
            <v>-2.6991594573002922</v>
          </cell>
        </row>
        <row r="1110">
          <cell r="B1110" t="str">
            <v>001-0018615</v>
          </cell>
          <cell r="C1110" t="str">
            <v>打印机</v>
          </cell>
          <cell r="D1110" t="str">
            <v>HP6L激光</v>
          </cell>
          <cell r="E1110" t="str">
            <v>HP</v>
          </cell>
          <cell r="F1110" t="str">
            <v>台</v>
          </cell>
          <cell r="G1110">
            <v>2001</v>
          </cell>
          <cell r="H1110">
            <v>2001</v>
          </cell>
          <cell r="I1110">
            <v>3090</v>
          </cell>
          <cell r="J1110">
            <v>2929.06</v>
          </cell>
          <cell r="K1110">
            <v>3090</v>
          </cell>
          <cell r="L1110">
            <v>2929.06</v>
          </cell>
          <cell r="M1110">
            <v>3000</v>
          </cell>
          <cell r="N1110">
            <v>95</v>
          </cell>
          <cell r="O1110">
            <v>2850</v>
          </cell>
          <cell r="P1110">
            <v>-2.6991594573002922</v>
          </cell>
        </row>
        <row r="1111">
          <cell r="B1111" t="str">
            <v>001-0018616</v>
          </cell>
          <cell r="C1111" t="str">
            <v>打印机</v>
          </cell>
          <cell r="D1111" t="str">
            <v>HP6L激光</v>
          </cell>
          <cell r="E1111" t="str">
            <v>HP</v>
          </cell>
          <cell r="F1111" t="str">
            <v>台</v>
          </cell>
          <cell r="G1111">
            <v>2001</v>
          </cell>
          <cell r="H1111">
            <v>2001</v>
          </cell>
          <cell r="I1111">
            <v>3090</v>
          </cell>
          <cell r="J1111">
            <v>2929.06</v>
          </cell>
          <cell r="K1111">
            <v>3090</v>
          </cell>
          <cell r="L1111">
            <v>2929.06</v>
          </cell>
          <cell r="M1111">
            <v>3000</v>
          </cell>
          <cell r="N1111">
            <v>95</v>
          </cell>
          <cell r="O1111">
            <v>2850</v>
          </cell>
          <cell r="P1111">
            <v>-2.6991594573002922</v>
          </cell>
        </row>
        <row r="1112">
          <cell r="B1112" t="str">
            <v>001-0008273</v>
          </cell>
          <cell r="C1112" t="str">
            <v>计算机</v>
          </cell>
          <cell r="D1112" t="str">
            <v>HP586/100</v>
          </cell>
          <cell r="E1112" t="str">
            <v>HP</v>
          </cell>
          <cell r="F1112" t="str">
            <v>台</v>
          </cell>
          <cell r="G1112" t="str">
            <v>199610</v>
          </cell>
          <cell r="H1112" t="str">
            <v>199610</v>
          </cell>
          <cell r="I1112">
            <v>16000</v>
          </cell>
          <cell r="J1112">
            <v>9812</v>
          </cell>
          <cell r="K1112">
            <v>16000</v>
          </cell>
          <cell r="L1112">
            <v>9812</v>
          </cell>
          <cell r="M1112">
            <v>900</v>
          </cell>
          <cell r="N1112">
            <v>100</v>
          </cell>
          <cell r="O1112">
            <v>900</v>
          </cell>
          <cell r="P1112">
            <v>-90.827558092132094</v>
          </cell>
        </row>
        <row r="1113">
          <cell r="B1113" t="str">
            <v>001-0009042</v>
          </cell>
          <cell r="C1113" t="str">
            <v>计算机</v>
          </cell>
          <cell r="D1113" t="str">
            <v>HPVE7266</v>
          </cell>
          <cell r="E1113" t="str">
            <v>HP</v>
          </cell>
          <cell r="F1113" t="str">
            <v>台</v>
          </cell>
          <cell r="G1113">
            <v>1998</v>
          </cell>
          <cell r="H1113">
            <v>1998</v>
          </cell>
          <cell r="I1113">
            <v>88200</v>
          </cell>
          <cell r="J1113">
            <v>55860</v>
          </cell>
          <cell r="K1113">
            <v>88200</v>
          </cell>
          <cell r="L1113">
            <v>55860</v>
          </cell>
          <cell r="M1113">
            <v>32000</v>
          </cell>
          <cell r="N1113">
            <v>25</v>
          </cell>
          <cell r="O1113">
            <v>8000</v>
          </cell>
          <cell r="P1113">
            <v>-85.678481919083424</v>
          </cell>
        </row>
        <row r="1114">
          <cell r="B1114" t="str">
            <v>001-0010230</v>
          </cell>
          <cell r="C1114" t="str">
            <v>计算机</v>
          </cell>
          <cell r="D1114" t="str">
            <v>HPVEI8</v>
          </cell>
          <cell r="E1114" t="str">
            <v>HP</v>
          </cell>
          <cell r="F1114" t="str">
            <v>台</v>
          </cell>
          <cell r="G1114">
            <v>1999</v>
          </cell>
          <cell r="H1114">
            <v>1999</v>
          </cell>
          <cell r="I1114">
            <v>11900</v>
          </cell>
          <cell r="J1114">
            <v>9024.16</v>
          </cell>
          <cell r="K1114">
            <v>11900</v>
          </cell>
          <cell r="L1114">
            <v>9024.16</v>
          </cell>
          <cell r="M1114">
            <v>7000</v>
          </cell>
          <cell r="N1114">
            <v>50</v>
          </cell>
          <cell r="O1114">
            <v>3500</v>
          </cell>
          <cell r="P1114">
            <v>-61.215226680378009</v>
          </cell>
        </row>
        <row r="1115">
          <cell r="B1115" t="str">
            <v>001-0010231</v>
          </cell>
          <cell r="C1115" t="str">
            <v>计算机</v>
          </cell>
          <cell r="D1115" t="str">
            <v>HPVEI8</v>
          </cell>
          <cell r="E1115" t="str">
            <v>HP</v>
          </cell>
          <cell r="F1115" t="str">
            <v>台</v>
          </cell>
          <cell r="G1115">
            <v>1999</v>
          </cell>
          <cell r="H1115">
            <v>1999</v>
          </cell>
          <cell r="I1115">
            <v>11900</v>
          </cell>
          <cell r="J1115">
            <v>9024.16</v>
          </cell>
          <cell r="K1115">
            <v>11900</v>
          </cell>
          <cell r="L1115">
            <v>9024.16</v>
          </cell>
          <cell r="M1115">
            <v>7000</v>
          </cell>
          <cell r="N1115">
            <v>50</v>
          </cell>
          <cell r="O1115">
            <v>3500</v>
          </cell>
          <cell r="P1115">
            <v>-61.215226680378009</v>
          </cell>
        </row>
        <row r="1116">
          <cell r="B1116" t="str">
            <v>001-0010232</v>
          </cell>
          <cell r="C1116" t="str">
            <v>计算机</v>
          </cell>
          <cell r="D1116" t="str">
            <v>HPVEI8</v>
          </cell>
          <cell r="E1116" t="str">
            <v>HP</v>
          </cell>
          <cell r="F1116" t="str">
            <v>台</v>
          </cell>
          <cell r="G1116">
            <v>1999</v>
          </cell>
          <cell r="H1116">
            <v>1999</v>
          </cell>
          <cell r="I1116">
            <v>11900</v>
          </cell>
          <cell r="J1116">
            <v>9024.16</v>
          </cell>
          <cell r="K1116">
            <v>11900</v>
          </cell>
          <cell r="L1116">
            <v>9024.16</v>
          </cell>
          <cell r="M1116">
            <v>7000</v>
          </cell>
          <cell r="N1116">
            <v>50</v>
          </cell>
          <cell r="O1116">
            <v>3500</v>
          </cell>
          <cell r="P1116">
            <v>-61.215226680378009</v>
          </cell>
        </row>
        <row r="1117">
          <cell r="B1117" t="str">
            <v>001-0010233</v>
          </cell>
          <cell r="C1117" t="str">
            <v>计算机</v>
          </cell>
          <cell r="D1117" t="str">
            <v>HPVEI8</v>
          </cell>
          <cell r="E1117" t="str">
            <v>HP</v>
          </cell>
          <cell r="F1117" t="str">
            <v>台</v>
          </cell>
          <cell r="G1117">
            <v>1999</v>
          </cell>
          <cell r="H1117">
            <v>1999</v>
          </cell>
          <cell r="I1117">
            <v>11900</v>
          </cell>
          <cell r="J1117">
            <v>9024.16</v>
          </cell>
          <cell r="K1117">
            <v>11900</v>
          </cell>
          <cell r="L1117">
            <v>9024.16</v>
          </cell>
          <cell r="M1117">
            <v>7000</v>
          </cell>
          <cell r="N1117">
            <v>50</v>
          </cell>
          <cell r="O1117">
            <v>3500</v>
          </cell>
          <cell r="P1117">
            <v>-61.215226680378009</v>
          </cell>
        </row>
        <row r="1118">
          <cell r="B1118" t="str">
            <v>001-0010234</v>
          </cell>
          <cell r="C1118" t="str">
            <v>计算机</v>
          </cell>
          <cell r="D1118" t="str">
            <v>HPVEI8</v>
          </cell>
          <cell r="E1118" t="str">
            <v>HP</v>
          </cell>
          <cell r="F1118" t="str">
            <v>台</v>
          </cell>
          <cell r="G1118">
            <v>1999</v>
          </cell>
          <cell r="H1118">
            <v>1999</v>
          </cell>
          <cell r="I1118">
            <v>11900</v>
          </cell>
          <cell r="J1118">
            <v>9024.16</v>
          </cell>
          <cell r="K1118">
            <v>11900</v>
          </cell>
          <cell r="L1118">
            <v>9024.16</v>
          </cell>
          <cell r="M1118">
            <v>7000</v>
          </cell>
          <cell r="N1118">
            <v>50</v>
          </cell>
          <cell r="O1118">
            <v>3500</v>
          </cell>
          <cell r="P1118">
            <v>-61.215226680378009</v>
          </cell>
        </row>
        <row r="1119">
          <cell r="B1119" t="str">
            <v>001-0011489</v>
          </cell>
          <cell r="C1119" t="str">
            <v>计算机</v>
          </cell>
          <cell r="D1119" t="str">
            <v>HP D8188A</v>
          </cell>
          <cell r="E1119" t="str">
            <v>HP</v>
          </cell>
          <cell r="F1119" t="str">
            <v>台</v>
          </cell>
          <cell r="G1119">
            <v>1999</v>
          </cell>
          <cell r="H1119">
            <v>1999</v>
          </cell>
          <cell r="I1119">
            <v>9000</v>
          </cell>
          <cell r="J1119">
            <v>7650</v>
          </cell>
          <cell r="K1119">
            <v>9000</v>
          </cell>
          <cell r="L1119">
            <v>7650</v>
          </cell>
          <cell r="M1119">
            <v>4000</v>
          </cell>
          <cell r="N1119">
            <v>50</v>
          </cell>
          <cell r="O1119">
            <v>2000</v>
          </cell>
          <cell r="P1119">
            <v>-73.856209150326805</v>
          </cell>
        </row>
        <row r="1120">
          <cell r="B1120" t="str">
            <v>001-0011490</v>
          </cell>
          <cell r="C1120" t="str">
            <v>计算机</v>
          </cell>
          <cell r="D1120" t="str">
            <v>HP D8188A</v>
          </cell>
          <cell r="E1120" t="str">
            <v>HP</v>
          </cell>
          <cell r="F1120" t="str">
            <v>台</v>
          </cell>
          <cell r="G1120">
            <v>1999</v>
          </cell>
          <cell r="H1120">
            <v>1999</v>
          </cell>
          <cell r="I1120">
            <v>9000</v>
          </cell>
          <cell r="J1120">
            <v>7650</v>
          </cell>
          <cell r="K1120">
            <v>9000</v>
          </cell>
          <cell r="L1120">
            <v>7650</v>
          </cell>
          <cell r="M1120">
            <v>4000</v>
          </cell>
          <cell r="N1120">
            <v>50</v>
          </cell>
          <cell r="O1120">
            <v>2000</v>
          </cell>
          <cell r="P1120">
            <v>-73.856209150326805</v>
          </cell>
        </row>
        <row r="1121">
          <cell r="B1121" t="str">
            <v>001-0011491</v>
          </cell>
          <cell r="C1121" t="str">
            <v>计算机</v>
          </cell>
          <cell r="D1121" t="str">
            <v>HP D8188A</v>
          </cell>
          <cell r="F1121" t="str">
            <v>台</v>
          </cell>
          <cell r="G1121">
            <v>1999</v>
          </cell>
          <cell r="H1121">
            <v>1999</v>
          </cell>
          <cell r="I1121">
            <v>9000</v>
          </cell>
          <cell r="J1121">
            <v>7650</v>
          </cell>
          <cell r="K1121">
            <v>9000</v>
          </cell>
          <cell r="L1121">
            <v>7650</v>
          </cell>
          <cell r="M1121">
            <v>4000</v>
          </cell>
          <cell r="N1121">
            <v>50</v>
          </cell>
          <cell r="O1121">
            <v>2000</v>
          </cell>
          <cell r="P1121">
            <v>-73.856209150326805</v>
          </cell>
        </row>
        <row r="1122">
          <cell r="B1122" t="str">
            <v>001-0017834</v>
          </cell>
          <cell r="C1122" t="str">
            <v>计算机</v>
          </cell>
          <cell r="D1122" t="str">
            <v>Acer7100</v>
          </cell>
          <cell r="E1122" t="str">
            <v>HP</v>
          </cell>
          <cell r="F1122" t="str">
            <v>台</v>
          </cell>
          <cell r="G1122">
            <v>2000</v>
          </cell>
          <cell r="H1122">
            <v>2000</v>
          </cell>
          <cell r="I1122">
            <v>9700</v>
          </cell>
          <cell r="J1122">
            <v>8810.84</v>
          </cell>
          <cell r="K1122">
            <v>9700</v>
          </cell>
          <cell r="L1122">
            <v>8810.84</v>
          </cell>
          <cell r="M1122">
            <v>4500</v>
          </cell>
          <cell r="N1122">
            <v>75</v>
          </cell>
          <cell r="O1122">
            <v>3375</v>
          </cell>
          <cell r="P1122">
            <v>-61.694912176364568</v>
          </cell>
        </row>
        <row r="1123">
          <cell r="B1123" t="str">
            <v>001-0017835</v>
          </cell>
          <cell r="C1123" t="str">
            <v>计算机</v>
          </cell>
          <cell r="D1123" t="str">
            <v>Acer7100</v>
          </cell>
          <cell r="E1123" t="str">
            <v>HP</v>
          </cell>
          <cell r="F1123" t="str">
            <v>台</v>
          </cell>
          <cell r="G1123">
            <v>2000</v>
          </cell>
          <cell r="H1123">
            <v>2000</v>
          </cell>
          <cell r="I1123">
            <v>9700</v>
          </cell>
          <cell r="J1123">
            <v>8810.84</v>
          </cell>
          <cell r="K1123">
            <v>9700</v>
          </cell>
          <cell r="L1123">
            <v>8810.84</v>
          </cell>
          <cell r="M1123">
            <v>4500</v>
          </cell>
          <cell r="N1123">
            <v>75</v>
          </cell>
          <cell r="O1123">
            <v>3375</v>
          </cell>
          <cell r="P1123">
            <v>-61.694912176364568</v>
          </cell>
        </row>
        <row r="1124">
          <cell r="B1124" t="str">
            <v>001-0017836</v>
          </cell>
          <cell r="C1124" t="str">
            <v>计算机</v>
          </cell>
          <cell r="D1124" t="str">
            <v>Acer7100</v>
          </cell>
          <cell r="E1124" t="str">
            <v>HP</v>
          </cell>
          <cell r="F1124" t="str">
            <v>台</v>
          </cell>
          <cell r="G1124">
            <v>2000</v>
          </cell>
          <cell r="H1124">
            <v>2000</v>
          </cell>
          <cell r="I1124">
            <v>9700</v>
          </cell>
          <cell r="J1124">
            <v>8810.84</v>
          </cell>
          <cell r="K1124">
            <v>9700</v>
          </cell>
          <cell r="L1124">
            <v>8810.84</v>
          </cell>
          <cell r="M1124">
            <v>4500</v>
          </cell>
          <cell r="N1124">
            <v>75</v>
          </cell>
          <cell r="O1124">
            <v>3375</v>
          </cell>
          <cell r="P1124">
            <v>-61.694912176364568</v>
          </cell>
        </row>
        <row r="1125">
          <cell r="B1125" t="str">
            <v>001-0017837</v>
          </cell>
          <cell r="C1125" t="str">
            <v>计算机</v>
          </cell>
          <cell r="D1125" t="str">
            <v>Acer7100</v>
          </cell>
          <cell r="E1125" t="str">
            <v>HP</v>
          </cell>
          <cell r="F1125" t="str">
            <v>台</v>
          </cell>
          <cell r="G1125">
            <v>2000</v>
          </cell>
          <cell r="H1125">
            <v>2000</v>
          </cell>
          <cell r="I1125">
            <v>9700</v>
          </cell>
          <cell r="J1125">
            <v>8810.84</v>
          </cell>
          <cell r="K1125">
            <v>9700</v>
          </cell>
          <cell r="L1125">
            <v>8810.84</v>
          </cell>
          <cell r="M1125">
            <v>4500</v>
          </cell>
          <cell r="N1125">
            <v>75</v>
          </cell>
          <cell r="O1125">
            <v>3375</v>
          </cell>
          <cell r="P1125">
            <v>-61.694912176364568</v>
          </cell>
        </row>
        <row r="1126">
          <cell r="B1126" t="str">
            <v>001-0017838</v>
          </cell>
          <cell r="C1126" t="str">
            <v>计算机</v>
          </cell>
          <cell r="D1126" t="str">
            <v>Acer7100</v>
          </cell>
          <cell r="E1126" t="str">
            <v>HP</v>
          </cell>
          <cell r="F1126" t="str">
            <v>台</v>
          </cell>
          <cell r="G1126">
            <v>2000</v>
          </cell>
          <cell r="H1126">
            <v>2000</v>
          </cell>
          <cell r="I1126">
            <v>9700</v>
          </cell>
          <cell r="J1126">
            <v>8810.84</v>
          </cell>
          <cell r="K1126">
            <v>9700</v>
          </cell>
          <cell r="L1126">
            <v>8810.84</v>
          </cell>
          <cell r="M1126">
            <v>4500</v>
          </cell>
          <cell r="N1126">
            <v>75</v>
          </cell>
          <cell r="O1126">
            <v>3375</v>
          </cell>
          <cell r="P1126">
            <v>-61.694912176364568</v>
          </cell>
        </row>
        <row r="1127">
          <cell r="B1127" t="str">
            <v>001-0017839</v>
          </cell>
          <cell r="C1127" t="str">
            <v>计算机</v>
          </cell>
          <cell r="D1127" t="str">
            <v>Acer7100</v>
          </cell>
          <cell r="E1127" t="str">
            <v>HP</v>
          </cell>
          <cell r="F1127" t="str">
            <v>台</v>
          </cell>
          <cell r="G1127">
            <v>2000</v>
          </cell>
          <cell r="H1127">
            <v>2000</v>
          </cell>
          <cell r="I1127">
            <v>9700</v>
          </cell>
          <cell r="J1127">
            <v>8810.84</v>
          </cell>
          <cell r="K1127">
            <v>9700</v>
          </cell>
          <cell r="L1127">
            <v>8810.84</v>
          </cell>
          <cell r="M1127">
            <v>4500</v>
          </cell>
          <cell r="N1127">
            <v>75</v>
          </cell>
          <cell r="O1127">
            <v>3375</v>
          </cell>
          <cell r="P1127">
            <v>-61.694912176364568</v>
          </cell>
        </row>
        <row r="1128">
          <cell r="B1128" t="str">
            <v>001-0019277</v>
          </cell>
          <cell r="C1128" t="str">
            <v>计算机</v>
          </cell>
          <cell r="D1128" t="str">
            <v>DELL</v>
          </cell>
          <cell r="E1128" t="str">
            <v>DELL</v>
          </cell>
          <cell r="F1128" t="str">
            <v>台</v>
          </cell>
          <cell r="G1128">
            <v>2001</v>
          </cell>
          <cell r="H1128">
            <v>2001</v>
          </cell>
          <cell r="I1128">
            <v>11337</v>
          </cell>
          <cell r="J1128">
            <v>11053.56</v>
          </cell>
          <cell r="K1128">
            <v>11337</v>
          </cell>
          <cell r="L1128">
            <v>11053.56</v>
          </cell>
          <cell r="M1128">
            <v>11000</v>
          </cell>
          <cell r="N1128">
            <v>95</v>
          </cell>
          <cell r="O1128">
            <v>10450</v>
          </cell>
          <cell r="P1128">
            <v>-5.4603222853089823</v>
          </cell>
        </row>
        <row r="1129">
          <cell r="B1129" t="str">
            <v>001-0019278</v>
          </cell>
          <cell r="C1129" t="str">
            <v>计算机</v>
          </cell>
          <cell r="D1129" t="str">
            <v>DELL</v>
          </cell>
          <cell r="E1129" t="str">
            <v>DELL</v>
          </cell>
          <cell r="F1129" t="str">
            <v>台</v>
          </cell>
          <cell r="G1129">
            <v>2001</v>
          </cell>
          <cell r="H1129">
            <v>2001</v>
          </cell>
          <cell r="I1129">
            <v>11337</v>
          </cell>
          <cell r="J1129">
            <v>11053.56</v>
          </cell>
          <cell r="K1129">
            <v>11337</v>
          </cell>
          <cell r="L1129">
            <v>11053.56</v>
          </cell>
          <cell r="M1129">
            <v>11000</v>
          </cell>
          <cell r="N1129">
            <v>95</v>
          </cell>
          <cell r="O1129">
            <v>10450</v>
          </cell>
          <cell r="P1129">
            <v>-5.4603222853089823</v>
          </cell>
        </row>
        <row r="1130">
          <cell r="B1130" t="str">
            <v>001-0019279</v>
          </cell>
          <cell r="C1130" t="str">
            <v>计算机</v>
          </cell>
          <cell r="D1130" t="str">
            <v>DELL</v>
          </cell>
          <cell r="E1130" t="str">
            <v>DELL</v>
          </cell>
          <cell r="F1130" t="str">
            <v>台</v>
          </cell>
          <cell r="G1130">
            <v>2001</v>
          </cell>
          <cell r="H1130">
            <v>2001</v>
          </cell>
          <cell r="I1130">
            <v>11337</v>
          </cell>
          <cell r="J1130">
            <v>11053.56</v>
          </cell>
          <cell r="K1130">
            <v>11337</v>
          </cell>
          <cell r="L1130">
            <v>11053.56</v>
          </cell>
          <cell r="M1130">
            <v>11000</v>
          </cell>
          <cell r="N1130">
            <v>95</v>
          </cell>
          <cell r="O1130">
            <v>10450</v>
          </cell>
          <cell r="P1130">
            <v>-5.4603222853089823</v>
          </cell>
        </row>
        <row r="1131">
          <cell r="B1131" t="str">
            <v>001-0019280</v>
          </cell>
          <cell r="C1131" t="str">
            <v>计算机</v>
          </cell>
          <cell r="D1131" t="str">
            <v>DELL</v>
          </cell>
          <cell r="E1131" t="str">
            <v>DELL</v>
          </cell>
          <cell r="F1131" t="str">
            <v>台</v>
          </cell>
          <cell r="G1131">
            <v>2001</v>
          </cell>
          <cell r="H1131">
            <v>2001</v>
          </cell>
          <cell r="I1131">
            <v>11337</v>
          </cell>
          <cell r="J1131">
            <v>11053.56</v>
          </cell>
          <cell r="K1131">
            <v>11337</v>
          </cell>
          <cell r="L1131">
            <v>11053.56</v>
          </cell>
          <cell r="M1131">
            <v>11000</v>
          </cell>
          <cell r="N1131">
            <v>95</v>
          </cell>
          <cell r="O1131">
            <v>10450</v>
          </cell>
          <cell r="P1131">
            <v>-5.4603222853089823</v>
          </cell>
        </row>
        <row r="1132">
          <cell r="B1132" t="str">
            <v>001-0019281</v>
          </cell>
          <cell r="C1132" t="str">
            <v>计算机</v>
          </cell>
          <cell r="D1132" t="str">
            <v>DELL</v>
          </cell>
          <cell r="E1132" t="str">
            <v>DELL</v>
          </cell>
          <cell r="F1132" t="str">
            <v>台</v>
          </cell>
          <cell r="G1132">
            <v>2001</v>
          </cell>
          <cell r="H1132">
            <v>2001</v>
          </cell>
          <cell r="I1132">
            <v>11337</v>
          </cell>
          <cell r="J1132">
            <v>11053.56</v>
          </cell>
          <cell r="K1132">
            <v>11337</v>
          </cell>
          <cell r="L1132">
            <v>11053.56</v>
          </cell>
          <cell r="M1132">
            <v>11000</v>
          </cell>
          <cell r="N1132">
            <v>95</v>
          </cell>
          <cell r="O1132">
            <v>10450</v>
          </cell>
          <cell r="P1132">
            <v>-5.4603222853089823</v>
          </cell>
        </row>
        <row r="1133">
          <cell r="B1133" t="str">
            <v>001-0019282</v>
          </cell>
          <cell r="C1133" t="str">
            <v>计算机</v>
          </cell>
          <cell r="D1133" t="str">
            <v>DELL</v>
          </cell>
          <cell r="E1133" t="str">
            <v>DELL</v>
          </cell>
          <cell r="F1133" t="str">
            <v>台</v>
          </cell>
          <cell r="G1133">
            <v>2001</v>
          </cell>
          <cell r="H1133">
            <v>2001</v>
          </cell>
          <cell r="I1133">
            <v>11337</v>
          </cell>
          <cell r="J1133">
            <v>11053.56</v>
          </cell>
          <cell r="K1133">
            <v>11337</v>
          </cell>
          <cell r="L1133">
            <v>11053.56</v>
          </cell>
          <cell r="M1133">
            <v>11000</v>
          </cell>
          <cell r="N1133">
            <v>95</v>
          </cell>
          <cell r="O1133">
            <v>10450</v>
          </cell>
          <cell r="P1133">
            <v>-5.4603222853089823</v>
          </cell>
        </row>
        <row r="1134">
          <cell r="B1134" t="str">
            <v>001-0019283</v>
          </cell>
          <cell r="C1134" t="str">
            <v>计算机</v>
          </cell>
          <cell r="D1134" t="str">
            <v>DELL</v>
          </cell>
          <cell r="E1134" t="str">
            <v>DELL</v>
          </cell>
          <cell r="F1134" t="str">
            <v>台</v>
          </cell>
          <cell r="G1134">
            <v>2001</v>
          </cell>
          <cell r="H1134">
            <v>2001</v>
          </cell>
          <cell r="I1134">
            <v>11337</v>
          </cell>
          <cell r="J1134">
            <v>11053.56</v>
          </cell>
          <cell r="K1134">
            <v>11337</v>
          </cell>
          <cell r="L1134">
            <v>11053.56</v>
          </cell>
          <cell r="M1134">
            <v>11000</v>
          </cell>
          <cell r="N1134">
            <v>95</v>
          </cell>
          <cell r="O1134">
            <v>10450</v>
          </cell>
          <cell r="P1134">
            <v>-5.4603222853089823</v>
          </cell>
        </row>
        <row r="1135">
          <cell r="B1135" t="str">
            <v>001-0019284</v>
          </cell>
          <cell r="C1135" t="str">
            <v>计算机</v>
          </cell>
          <cell r="D1135" t="str">
            <v>DELL</v>
          </cell>
          <cell r="E1135" t="str">
            <v>DELL</v>
          </cell>
          <cell r="F1135" t="str">
            <v>台</v>
          </cell>
          <cell r="G1135">
            <v>2001</v>
          </cell>
          <cell r="H1135">
            <v>2001</v>
          </cell>
          <cell r="I1135">
            <v>11337</v>
          </cell>
          <cell r="J1135">
            <v>11053.56</v>
          </cell>
          <cell r="K1135">
            <v>11337</v>
          </cell>
          <cell r="L1135">
            <v>11053.56</v>
          </cell>
          <cell r="M1135">
            <v>11000</v>
          </cell>
          <cell r="N1135">
            <v>95</v>
          </cell>
          <cell r="O1135">
            <v>10450</v>
          </cell>
          <cell r="P1135">
            <v>-5.4603222853089823</v>
          </cell>
        </row>
        <row r="1136">
          <cell r="B1136" t="str">
            <v>001-0019285</v>
          </cell>
          <cell r="C1136" t="str">
            <v>计算机</v>
          </cell>
          <cell r="D1136" t="str">
            <v>DELL</v>
          </cell>
          <cell r="E1136" t="str">
            <v>DELL</v>
          </cell>
          <cell r="F1136" t="str">
            <v>台</v>
          </cell>
          <cell r="G1136">
            <v>2001</v>
          </cell>
          <cell r="H1136">
            <v>2001</v>
          </cell>
          <cell r="I1136">
            <v>11337</v>
          </cell>
          <cell r="J1136">
            <v>11053.56</v>
          </cell>
          <cell r="K1136">
            <v>11337</v>
          </cell>
          <cell r="L1136">
            <v>11053.56</v>
          </cell>
          <cell r="M1136">
            <v>11000</v>
          </cell>
          <cell r="N1136">
            <v>95</v>
          </cell>
          <cell r="O1136">
            <v>10450</v>
          </cell>
          <cell r="P1136">
            <v>-5.4603222853089823</v>
          </cell>
        </row>
        <row r="1137">
          <cell r="B1137" t="str">
            <v>001-0020310</v>
          </cell>
          <cell r="C1137" t="str">
            <v>内存条</v>
          </cell>
          <cell r="F1137" t="str">
            <v>条</v>
          </cell>
          <cell r="G1137">
            <v>2001</v>
          </cell>
          <cell r="H1137">
            <v>2001</v>
          </cell>
          <cell r="I1137">
            <v>310</v>
          </cell>
          <cell r="J1137">
            <v>304.83999999999997</v>
          </cell>
          <cell r="K1137">
            <v>310</v>
          </cell>
          <cell r="L1137">
            <v>304.83999999999997</v>
          </cell>
          <cell r="M1137">
            <v>0</v>
          </cell>
          <cell r="O1137">
            <v>0</v>
          </cell>
          <cell r="P1137">
            <v>-100</v>
          </cell>
          <cell r="Q1137" t="str">
            <v>与计算机合并</v>
          </cell>
        </row>
        <row r="1138">
          <cell r="B1138" t="str">
            <v>001-0020311</v>
          </cell>
          <cell r="C1138" t="str">
            <v>内存条</v>
          </cell>
          <cell r="F1138" t="str">
            <v>条</v>
          </cell>
          <cell r="G1138">
            <v>2001</v>
          </cell>
          <cell r="H1138">
            <v>2001</v>
          </cell>
          <cell r="I1138">
            <v>310</v>
          </cell>
          <cell r="J1138">
            <v>304.83999999999997</v>
          </cell>
          <cell r="K1138">
            <v>310</v>
          </cell>
          <cell r="L1138">
            <v>304.83999999999997</v>
          </cell>
          <cell r="M1138">
            <v>0</v>
          </cell>
          <cell r="O1138">
            <v>0</v>
          </cell>
          <cell r="P1138">
            <v>-100</v>
          </cell>
          <cell r="Q1138" t="str">
            <v>与计算机合并</v>
          </cell>
        </row>
        <row r="1139">
          <cell r="B1139" t="str">
            <v>001-0020312</v>
          </cell>
          <cell r="C1139" t="str">
            <v>内存条</v>
          </cell>
          <cell r="F1139" t="str">
            <v>条</v>
          </cell>
          <cell r="G1139">
            <v>2001</v>
          </cell>
          <cell r="H1139">
            <v>2001</v>
          </cell>
          <cell r="I1139">
            <v>310</v>
          </cell>
          <cell r="J1139">
            <v>304.83999999999997</v>
          </cell>
          <cell r="K1139">
            <v>310</v>
          </cell>
          <cell r="L1139">
            <v>304.83999999999997</v>
          </cell>
          <cell r="M1139">
            <v>0</v>
          </cell>
          <cell r="O1139">
            <v>0</v>
          </cell>
          <cell r="P1139">
            <v>-100</v>
          </cell>
          <cell r="Q1139" t="str">
            <v>与计算机合并</v>
          </cell>
        </row>
        <row r="1140">
          <cell r="B1140" t="str">
            <v>001-0020313</v>
          </cell>
          <cell r="C1140" t="str">
            <v>内存条</v>
          </cell>
          <cell r="F1140" t="str">
            <v>条</v>
          </cell>
          <cell r="G1140">
            <v>2001</v>
          </cell>
          <cell r="H1140">
            <v>2001</v>
          </cell>
          <cell r="I1140">
            <v>310</v>
          </cell>
          <cell r="J1140">
            <v>304.83999999999997</v>
          </cell>
          <cell r="K1140">
            <v>310</v>
          </cell>
          <cell r="L1140">
            <v>304.83999999999997</v>
          </cell>
          <cell r="M1140">
            <v>0</v>
          </cell>
          <cell r="O1140">
            <v>0</v>
          </cell>
          <cell r="P1140">
            <v>-100</v>
          </cell>
          <cell r="Q1140" t="str">
            <v>与计算机合并</v>
          </cell>
        </row>
        <row r="1141">
          <cell r="B1141" t="str">
            <v>001-0020314</v>
          </cell>
          <cell r="C1141" t="str">
            <v>内存条</v>
          </cell>
          <cell r="F1141" t="str">
            <v>条</v>
          </cell>
          <cell r="G1141">
            <v>2001</v>
          </cell>
          <cell r="H1141">
            <v>2001</v>
          </cell>
          <cell r="I1141">
            <v>310</v>
          </cell>
          <cell r="J1141">
            <v>304.83999999999997</v>
          </cell>
          <cell r="K1141">
            <v>310</v>
          </cell>
          <cell r="L1141">
            <v>304.83999999999997</v>
          </cell>
          <cell r="M1141">
            <v>0</v>
          </cell>
          <cell r="O1141">
            <v>0</v>
          </cell>
          <cell r="P1141">
            <v>-100</v>
          </cell>
          <cell r="Q1141" t="str">
            <v>与计算机合并</v>
          </cell>
        </row>
        <row r="1142">
          <cell r="B1142" t="str">
            <v>001-0020315</v>
          </cell>
          <cell r="C1142" t="str">
            <v>内存条</v>
          </cell>
          <cell r="F1142" t="str">
            <v>条</v>
          </cell>
          <cell r="G1142">
            <v>2001</v>
          </cell>
          <cell r="H1142">
            <v>2001</v>
          </cell>
          <cell r="I1142">
            <v>310</v>
          </cell>
          <cell r="J1142">
            <v>304.83999999999997</v>
          </cell>
          <cell r="K1142">
            <v>310</v>
          </cell>
          <cell r="L1142">
            <v>304.83999999999997</v>
          </cell>
          <cell r="M1142">
            <v>0</v>
          </cell>
          <cell r="O1142">
            <v>0</v>
          </cell>
          <cell r="P1142">
            <v>-100</v>
          </cell>
          <cell r="Q1142" t="str">
            <v>与计算机合并</v>
          </cell>
        </row>
        <row r="1143">
          <cell r="B1143" t="str">
            <v>001-0020316</v>
          </cell>
          <cell r="C1143" t="str">
            <v>内存条</v>
          </cell>
          <cell r="F1143" t="str">
            <v>条</v>
          </cell>
          <cell r="G1143">
            <v>2001</v>
          </cell>
          <cell r="H1143">
            <v>2001</v>
          </cell>
          <cell r="I1143">
            <v>310</v>
          </cell>
          <cell r="J1143">
            <v>304.83999999999997</v>
          </cell>
          <cell r="K1143">
            <v>310</v>
          </cell>
          <cell r="L1143">
            <v>304.83999999999997</v>
          </cell>
          <cell r="M1143">
            <v>0</v>
          </cell>
          <cell r="O1143">
            <v>0</v>
          </cell>
          <cell r="P1143">
            <v>-100</v>
          </cell>
          <cell r="Q1143" t="str">
            <v>与计算机合并</v>
          </cell>
        </row>
        <row r="1144">
          <cell r="B1144" t="str">
            <v>001-0020317</v>
          </cell>
          <cell r="C1144" t="str">
            <v>内存条</v>
          </cell>
          <cell r="F1144" t="str">
            <v>条</v>
          </cell>
          <cell r="G1144">
            <v>2001</v>
          </cell>
          <cell r="H1144">
            <v>2001</v>
          </cell>
          <cell r="I1144">
            <v>310</v>
          </cell>
          <cell r="J1144">
            <v>304.83999999999997</v>
          </cell>
          <cell r="K1144">
            <v>310</v>
          </cell>
          <cell r="L1144">
            <v>304.83999999999997</v>
          </cell>
          <cell r="M1144">
            <v>0</v>
          </cell>
          <cell r="O1144">
            <v>0</v>
          </cell>
          <cell r="P1144">
            <v>-100</v>
          </cell>
          <cell r="Q1144" t="str">
            <v>与计算机合并</v>
          </cell>
        </row>
        <row r="1145">
          <cell r="B1145" t="str">
            <v>001-0020318</v>
          </cell>
          <cell r="C1145" t="str">
            <v>内存条</v>
          </cell>
          <cell r="F1145" t="str">
            <v>条</v>
          </cell>
          <cell r="G1145">
            <v>2001</v>
          </cell>
          <cell r="H1145">
            <v>2001</v>
          </cell>
          <cell r="I1145">
            <v>310</v>
          </cell>
          <cell r="J1145">
            <v>304.83999999999997</v>
          </cell>
          <cell r="K1145">
            <v>310</v>
          </cell>
          <cell r="L1145">
            <v>304.83999999999997</v>
          </cell>
          <cell r="M1145">
            <v>0</v>
          </cell>
          <cell r="O1145">
            <v>0</v>
          </cell>
          <cell r="P1145">
            <v>-100</v>
          </cell>
          <cell r="Q1145" t="str">
            <v>与计算机合并</v>
          </cell>
        </row>
        <row r="1146">
          <cell r="B1146" t="str">
            <v>001-0020319</v>
          </cell>
          <cell r="C1146" t="str">
            <v>内存条</v>
          </cell>
          <cell r="F1146" t="str">
            <v>条</v>
          </cell>
          <cell r="G1146">
            <v>2001</v>
          </cell>
          <cell r="H1146">
            <v>2001</v>
          </cell>
          <cell r="I1146">
            <v>310</v>
          </cell>
          <cell r="J1146">
            <v>304.83999999999997</v>
          </cell>
          <cell r="K1146">
            <v>310</v>
          </cell>
          <cell r="L1146">
            <v>304.83999999999997</v>
          </cell>
          <cell r="M1146">
            <v>0</v>
          </cell>
          <cell r="O1146">
            <v>0</v>
          </cell>
          <cell r="P1146">
            <v>-100</v>
          </cell>
          <cell r="Q1146" t="str">
            <v>与计算机合并</v>
          </cell>
        </row>
        <row r="1147">
          <cell r="B1147" t="str">
            <v>001-0018629</v>
          </cell>
          <cell r="C1147" t="str">
            <v>喷墨打印机</v>
          </cell>
          <cell r="D1147" t="str">
            <v>Epson Photo 1270</v>
          </cell>
          <cell r="F1147" t="str">
            <v>台</v>
          </cell>
          <cell r="G1147">
            <v>2001</v>
          </cell>
          <cell r="H1147">
            <v>2001</v>
          </cell>
          <cell r="I1147">
            <v>4500</v>
          </cell>
          <cell r="J1147">
            <v>4265.6099999999997</v>
          </cell>
          <cell r="K1147">
            <v>4500</v>
          </cell>
          <cell r="L1147">
            <v>4265.6099999999997</v>
          </cell>
          <cell r="M1147">
            <v>4300</v>
          </cell>
          <cell r="N1147">
            <v>95</v>
          </cell>
          <cell r="O1147">
            <v>4085</v>
          </cell>
          <cell r="P1147">
            <v>-4.2340954752075239</v>
          </cell>
          <cell r="Q1147" t="str">
            <v/>
          </cell>
        </row>
        <row r="1148">
          <cell r="B1148" t="str">
            <v>001-0018630</v>
          </cell>
          <cell r="C1148" t="str">
            <v>平板扫描仪</v>
          </cell>
          <cell r="D1148" t="str">
            <v>Canon FB1210U(带FAU-SⅡ适配器)</v>
          </cell>
          <cell r="F1148" t="str">
            <v>台</v>
          </cell>
          <cell r="G1148">
            <v>2001</v>
          </cell>
          <cell r="H1148">
            <v>2001</v>
          </cell>
          <cell r="I1148">
            <v>3450</v>
          </cell>
          <cell r="J1148">
            <v>3270.31</v>
          </cell>
          <cell r="K1148">
            <v>3450</v>
          </cell>
          <cell r="L1148">
            <v>3270.31</v>
          </cell>
          <cell r="M1148">
            <v>3300</v>
          </cell>
          <cell r="N1148">
            <v>95</v>
          </cell>
          <cell r="O1148">
            <v>3135</v>
          </cell>
          <cell r="P1148">
            <v>-4.1375282465576637</v>
          </cell>
          <cell r="Q1148" t="str">
            <v/>
          </cell>
        </row>
        <row r="1149">
          <cell r="B1149" t="str">
            <v>001-0020053</v>
          </cell>
          <cell r="C1149" t="str">
            <v>摄象机</v>
          </cell>
          <cell r="D1149" t="str">
            <v>SONYV30E</v>
          </cell>
          <cell r="F1149" t="str">
            <v>台</v>
          </cell>
          <cell r="G1149">
            <v>2001</v>
          </cell>
          <cell r="H1149">
            <v>2001</v>
          </cell>
          <cell r="I1149">
            <v>14230</v>
          </cell>
          <cell r="J1149">
            <v>14230</v>
          </cell>
          <cell r="K1149">
            <v>14230</v>
          </cell>
          <cell r="L1149">
            <v>14230</v>
          </cell>
          <cell r="M1149">
            <v>14200</v>
          </cell>
          <cell r="N1149">
            <v>95</v>
          </cell>
          <cell r="O1149">
            <v>13490</v>
          </cell>
          <cell r="P1149">
            <v>-5.2002810962754742</v>
          </cell>
        </row>
        <row r="1150">
          <cell r="B1150" t="str">
            <v>001-0019034</v>
          </cell>
          <cell r="C1150" t="str">
            <v>手机</v>
          </cell>
          <cell r="F1150" t="str">
            <v>台</v>
          </cell>
          <cell r="G1150">
            <v>2001</v>
          </cell>
          <cell r="H1150">
            <v>2001</v>
          </cell>
          <cell r="I1150">
            <v>275</v>
          </cell>
          <cell r="J1150">
            <v>271.55</v>
          </cell>
          <cell r="K1150">
            <v>275</v>
          </cell>
          <cell r="L1150">
            <v>271.55</v>
          </cell>
          <cell r="M1150">
            <v>270</v>
          </cell>
          <cell r="N1150">
            <v>95</v>
          </cell>
          <cell r="O1150">
            <v>256.5</v>
          </cell>
          <cell r="P1150">
            <v>-5.5422574111581699</v>
          </cell>
          <cell r="Q1150" t="str">
            <v>无入网费</v>
          </cell>
        </row>
        <row r="1151">
          <cell r="B1151" t="str">
            <v>001-0019035</v>
          </cell>
          <cell r="C1151" t="str">
            <v>手机</v>
          </cell>
          <cell r="F1151" t="str">
            <v>台</v>
          </cell>
          <cell r="G1151">
            <v>2001</v>
          </cell>
          <cell r="H1151">
            <v>2001</v>
          </cell>
          <cell r="I1151">
            <v>275</v>
          </cell>
          <cell r="J1151">
            <v>271.55</v>
          </cell>
          <cell r="K1151">
            <v>275</v>
          </cell>
          <cell r="L1151">
            <v>271.55</v>
          </cell>
          <cell r="M1151">
            <v>270</v>
          </cell>
          <cell r="N1151">
            <v>95</v>
          </cell>
          <cell r="O1151">
            <v>256.5</v>
          </cell>
          <cell r="P1151">
            <v>-5.5422574111581699</v>
          </cell>
          <cell r="Q1151" t="str">
            <v>无入网费</v>
          </cell>
        </row>
        <row r="1152">
          <cell r="B1152" t="str">
            <v>001-0020774</v>
          </cell>
          <cell r="C1152" t="str">
            <v>数码复印机</v>
          </cell>
          <cell r="D1152">
            <v>3227</v>
          </cell>
          <cell r="F1152" t="str">
            <v>台</v>
          </cell>
          <cell r="G1152">
            <v>2001</v>
          </cell>
          <cell r="H1152">
            <v>2001</v>
          </cell>
          <cell r="I1152">
            <v>30000</v>
          </cell>
          <cell r="J1152">
            <v>28750</v>
          </cell>
          <cell r="K1152">
            <v>30000</v>
          </cell>
          <cell r="L1152">
            <v>28750</v>
          </cell>
          <cell r="M1152">
            <v>30000</v>
          </cell>
          <cell r="N1152">
            <v>95</v>
          </cell>
          <cell r="O1152">
            <v>28500</v>
          </cell>
          <cell r="P1152">
            <v>-0.86956521739130432</v>
          </cell>
          <cell r="Q1152" t="str">
            <v/>
          </cell>
        </row>
        <row r="1153">
          <cell r="B1153" t="str">
            <v>001-0020054</v>
          </cell>
          <cell r="C1153" t="str">
            <v>数码相机</v>
          </cell>
          <cell r="D1153" t="str">
            <v>SONY DSC-585</v>
          </cell>
          <cell r="F1153" t="str">
            <v>台</v>
          </cell>
          <cell r="G1153">
            <v>2001</v>
          </cell>
          <cell r="H1153">
            <v>2001</v>
          </cell>
          <cell r="I1153">
            <v>7710</v>
          </cell>
          <cell r="J1153">
            <v>7710</v>
          </cell>
          <cell r="K1153">
            <v>7710</v>
          </cell>
          <cell r="L1153">
            <v>7710</v>
          </cell>
          <cell r="M1153">
            <v>7700</v>
          </cell>
          <cell r="N1153">
            <v>95</v>
          </cell>
          <cell r="O1153">
            <v>7315</v>
          </cell>
          <cell r="P1153">
            <v>-5.1232166018158232</v>
          </cell>
          <cell r="Q1153" t="str">
            <v/>
          </cell>
        </row>
        <row r="1154">
          <cell r="B1154" t="str">
            <v>001-0019327</v>
          </cell>
          <cell r="C1154" t="str">
            <v>投影仪</v>
          </cell>
          <cell r="D1154" t="str">
            <v>CP-X960</v>
          </cell>
          <cell r="F1154" t="str">
            <v>台</v>
          </cell>
          <cell r="G1154">
            <v>2001</v>
          </cell>
          <cell r="H1154">
            <v>2001</v>
          </cell>
          <cell r="I1154">
            <v>36000</v>
          </cell>
          <cell r="J1154">
            <v>35250.300000000003</v>
          </cell>
          <cell r="K1154">
            <v>36000</v>
          </cell>
          <cell r="L1154">
            <v>35250.300000000003</v>
          </cell>
          <cell r="M1154">
            <v>36000</v>
          </cell>
          <cell r="N1154">
            <v>95</v>
          </cell>
          <cell r="O1154">
            <v>34200</v>
          </cell>
          <cell r="P1154">
            <v>-2.9795491102203466</v>
          </cell>
          <cell r="Q1154" t="str">
            <v/>
          </cell>
        </row>
        <row r="1155">
          <cell r="B1155" t="str">
            <v>001-0020259</v>
          </cell>
          <cell r="C1155" t="str">
            <v>显卡</v>
          </cell>
          <cell r="E1155" t="str">
            <v>七彩虹</v>
          </cell>
          <cell r="F1155" t="str">
            <v>条</v>
          </cell>
          <cell r="G1155">
            <v>2001</v>
          </cell>
          <cell r="H1155">
            <v>2001</v>
          </cell>
          <cell r="I1155">
            <v>581</v>
          </cell>
          <cell r="J1155">
            <v>571.32000000000005</v>
          </cell>
          <cell r="K1155">
            <v>581</v>
          </cell>
          <cell r="L1155">
            <v>571.32000000000005</v>
          </cell>
          <cell r="M1155">
            <v>0</v>
          </cell>
          <cell r="O1155">
            <v>0</v>
          </cell>
          <cell r="P1155">
            <v>-100</v>
          </cell>
          <cell r="Q1155" t="str">
            <v>与计算机合并</v>
          </cell>
        </row>
        <row r="1156">
          <cell r="B1156" t="str">
            <v>001-0020260</v>
          </cell>
          <cell r="C1156" t="str">
            <v>显卡</v>
          </cell>
          <cell r="E1156" t="str">
            <v>七彩虹</v>
          </cell>
          <cell r="F1156" t="str">
            <v>条</v>
          </cell>
          <cell r="G1156">
            <v>2001</v>
          </cell>
          <cell r="H1156">
            <v>2001</v>
          </cell>
          <cell r="I1156">
            <v>581</v>
          </cell>
          <cell r="J1156">
            <v>571.32000000000005</v>
          </cell>
          <cell r="K1156">
            <v>581</v>
          </cell>
          <cell r="L1156">
            <v>571.32000000000005</v>
          </cell>
          <cell r="M1156">
            <v>0</v>
          </cell>
          <cell r="O1156">
            <v>0</v>
          </cell>
          <cell r="P1156">
            <v>-100</v>
          </cell>
          <cell r="Q1156" t="str">
            <v>与计算机合并</v>
          </cell>
        </row>
        <row r="1157">
          <cell r="B1157" t="str">
            <v>001-0020261</v>
          </cell>
          <cell r="C1157" t="str">
            <v>显卡</v>
          </cell>
          <cell r="E1157" t="str">
            <v>七彩虹</v>
          </cell>
          <cell r="F1157" t="str">
            <v>条</v>
          </cell>
          <cell r="G1157">
            <v>2001</v>
          </cell>
          <cell r="H1157">
            <v>2001</v>
          </cell>
          <cell r="I1157">
            <v>581</v>
          </cell>
          <cell r="J1157">
            <v>571.32000000000005</v>
          </cell>
          <cell r="K1157">
            <v>581</v>
          </cell>
          <cell r="L1157">
            <v>571.32000000000005</v>
          </cell>
          <cell r="M1157">
            <v>0</v>
          </cell>
          <cell r="O1157">
            <v>0</v>
          </cell>
          <cell r="P1157">
            <v>-100</v>
          </cell>
          <cell r="Q1157" t="str">
            <v>与计算机合并</v>
          </cell>
        </row>
        <row r="1158">
          <cell r="B1158" t="str">
            <v>001-0020262</v>
          </cell>
          <cell r="C1158" t="str">
            <v>显卡</v>
          </cell>
          <cell r="E1158" t="str">
            <v>七彩虹</v>
          </cell>
          <cell r="F1158" t="str">
            <v>条</v>
          </cell>
          <cell r="G1158">
            <v>2001</v>
          </cell>
          <cell r="H1158">
            <v>2001</v>
          </cell>
          <cell r="I1158">
            <v>581</v>
          </cell>
          <cell r="J1158">
            <v>571.32000000000005</v>
          </cell>
          <cell r="K1158">
            <v>581</v>
          </cell>
          <cell r="L1158">
            <v>571.32000000000005</v>
          </cell>
          <cell r="M1158">
            <v>0</v>
          </cell>
          <cell r="O1158">
            <v>0</v>
          </cell>
          <cell r="P1158">
            <v>-100</v>
          </cell>
          <cell r="Q1158" t="str">
            <v>与计算机合并</v>
          </cell>
        </row>
        <row r="1159">
          <cell r="B1159" t="str">
            <v>001-0020263</v>
          </cell>
          <cell r="C1159" t="str">
            <v>显卡</v>
          </cell>
          <cell r="E1159" t="str">
            <v>七彩虹</v>
          </cell>
          <cell r="F1159" t="str">
            <v>条</v>
          </cell>
          <cell r="G1159">
            <v>2001</v>
          </cell>
          <cell r="H1159">
            <v>2001</v>
          </cell>
          <cell r="I1159">
            <v>581</v>
          </cell>
          <cell r="J1159">
            <v>571.32000000000005</v>
          </cell>
          <cell r="K1159">
            <v>581</v>
          </cell>
          <cell r="L1159">
            <v>571.32000000000005</v>
          </cell>
          <cell r="M1159">
            <v>0</v>
          </cell>
          <cell r="O1159">
            <v>0</v>
          </cell>
          <cell r="P1159">
            <v>-100</v>
          </cell>
          <cell r="Q1159" t="str">
            <v>与计算机合并</v>
          </cell>
        </row>
        <row r="1160">
          <cell r="B1160" t="str">
            <v>001-0020264</v>
          </cell>
          <cell r="C1160" t="str">
            <v>显卡</v>
          </cell>
          <cell r="E1160" t="str">
            <v>七彩虹</v>
          </cell>
          <cell r="F1160" t="str">
            <v>条</v>
          </cell>
          <cell r="G1160">
            <v>2001</v>
          </cell>
          <cell r="H1160">
            <v>2001</v>
          </cell>
          <cell r="I1160">
            <v>581</v>
          </cell>
          <cell r="J1160">
            <v>571.32000000000005</v>
          </cell>
          <cell r="K1160">
            <v>581</v>
          </cell>
          <cell r="L1160">
            <v>571.32000000000005</v>
          </cell>
          <cell r="M1160">
            <v>0</v>
          </cell>
          <cell r="O1160">
            <v>0</v>
          </cell>
          <cell r="P1160">
            <v>-100</v>
          </cell>
          <cell r="Q1160" t="str">
            <v>与计算机合并</v>
          </cell>
        </row>
        <row r="1161">
          <cell r="B1161" t="str">
            <v>001-0020265</v>
          </cell>
          <cell r="C1161" t="str">
            <v>显卡</v>
          </cell>
          <cell r="E1161" t="str">
            <v>七彩虹</v>
          </cell>
          <cell r="F1161" t="str">
            <v>条</v>
          </cell>
          <cell r="G1161">
            <v>2001</v>
          </cell>
          <cell r="H1161">
            <v>2001</v>
          </cell>
          <cell r="I1161">
            <v>581</v>
          </cell>
          <cell r="J1161">
            <v>571.32000000000005</v>
          </cell>
          <cell r="K1161">
            <v>581</v>
          </cell>
          <cell r="L1161">
            <v>571.32000000000005</v>
          </cell>
          <cell r="M1161">
            <v>0</v>
          </cell>
          <cell r="O1161">
            <v>0</v>
          </cell>
          <cell r="P1161">
            <v>-100</v>
          </cell>
          <cell r="Q1161" t="str">
            <v>与计算机合并</v>
          </cell>
        </row>
        <row r="1162">
          <cell r="B1162" t="str">
            <v>001-0020266</v>
          </cell>
          <cell r="C1162" t="str">
            <v>显卡</v>
          </cell>
          <cell r="E1162" t="str">
            <v>七彩虹</v>
          </cell>
          <cell r="F1162" t="str">
            <v>条</v>
          </cell>
          <cell r="G1162">
            <v>2001</v>
          </cell>
          <cell r="H1162">
            <v>2001</v>
          </cell>
          <cell r="I1162">
            <v>581</v>
          </cell>
          <cell r="J1162">
            <v>571.32000000000005</v>
          </cell>
          <cell r="K1162">
            <v>581</v>
          </cell>
          <cell r="L1162">
            <v>571.32000000000005</v>
          </cell>
          <cell r="M1162">
            <v>0</v>
          </cell>
          <cell r="O1162">
            <v>0</v>
          </cell>
          <cell r="P1162">
            <v>-100</v>
          </cell>
          <cell r="Q1162" t="str">
            <v>与计算机合并</v>
          </cell>
        </row>
        <row r="1163">
          <cell r="B1163" t="str">
            <v>001-0020267</v>
          </cell>
          <cell r="C1163" t="str">
            <v>显卡</v>
          </cell>
          <cell r="E1163" t="str">
            <v>七彩虹</v>
          </cell>
          <cell r="F1163" t="str">
            <v>条</v>
          </cell>
          <cell r="G1163">
            <v>2001</v>
          </cell>
          <cell r="H1163">
            <v>2001</v>
          </cell>
          <cell r="I1163">
            <v>581</v>
          </cell>
          <cell r="J1163">
            <v>571.32000000000005</v>
          </cell>
          <cell r="K1163">
            <v>581</v>
          </cell>
          <cell r="L1163">
            <v>571.32000000000005</v>
          </cell>
          <cell r="M1163">
            <v>0</v>
          </cell>
          <cell r="O1163">
            <v>0</v>
          </cell>
          <cell r="P1163">
            <v>-100</v>
          </cell>
          <cell r="Q1163" t="str">
            <v>与计算机合并</v>
          </cell>
        </row>
        <row r="1164">
          <cell r="B1164" t="str">
            <v>001-0020268</v>
          </cell>
          <cell r="C1164" t="str">
            <v>显卡</v>
          </cell>
          <cell r="E1164" t="str">
            <v>七彩虹</v>
          </cell>
          <cell r="F1164" t="str">
            <v>条</v>
          </cell>
          <cell r="G1164">
            <v>2001</v>
          </cell>
          <cell r="H1164">
            <v>2001</v>
          </cell>
          <cell r="I1164">
            <v>581</v>
          </cell>
          <cell r="J1164">
            <v>571.32000000000005</v>
          </cell>
          <cell r="K1164">
            <v>581</v>
          </cell>
          <cell r="L1164">
            <v>571.32000000000005</v>
          </cell>
          <cell r="M1164">
            <v>0</v>
          </cell>
          <cell r="O1164">
            <v>0</v>
          </cell>
          <cell r="P1164">
            <v>-100</v>
          </cell>
          <cell r="Q1164" t="str">
            <v>与计算机合并</v>
          </cell>
        </row>
        <row r="1165">
          <cell r="B1165" t="str">
            <v>001-0020241</v>
          </cell>
          <cell r="C1165" t="str">
            <v>硬盘</v>
          </cell>
          <cell r="D1165" t="str">
            <v>40G</v>
          </cell>
          <cell r="E1165" t="str">
            <v>迈拓公司</v>
          </cell>
          <cell r="F1165" t="str">
            <v>个</v>
          </cell>
          <cell r="G1165">
            <v>2001</v>
          </cell>
          <cell r="H1165">
            <v>2001</v>
          </cell>
          <cell r="I1165">
            <v>863</v>
          </cell>
          <cell r="J1165">
            <v>848.62</v>
          </cell>
          <cell r="K1165">
            <v>863</v>
          </cell>
          <cell r="L1165">
            <v>848.62</v>
          </cell>
          <cell r="M1165">
            <v>0</v>
          </cell>
          <cell r="O1165">
            <v>0</v>
          </cell>
          <cell r="P1165">
            <v>-100</v>
          </cell>
          <cell r="Q1165" t="str">
            <v>与计算机合并</v>
          </cell>
        </row>
        <row r="1166">
          <cell r="B1166" t="str">
            <v>001-0020242</v>
          </cell>
          <cell r="C1166" t="str">
            <v>硬盘</v>
          </cell>
          <cell r="D1166" t="str">
            <v>40G</v>
          </cell>
          <cell r="E1166" t="str">
            <v>迈拓公司</v>
          </cell>
          <cell r="F1166" t="str">
            <v>个</v>
          </cell>
          <cell r="G1166">
            <v>2001</v>
          </cell>
          <cell r="H1166">
            <v>2001</v>
          </cell>
          <cell r="I1166">
            <v>863</v>
          </cell>
          <cell r="J1166">
            <v>848.62</v>
          </cell>
          <cell r="K1166">
            <v>863</v>
          </cell>
          <cell r="L1166">
            <v>848.62</v>
          </cell>
          <cell r="M1166">
            <v>0</v>
          </cell>
          <cell r="O1166">
            <v>0</v>
          </cell>
          <cell r="P1166">
            <v>-100</v>
          </cell>
          <cell r="Q1166" t="str">
            <v>与计算机合并</v>
          </cell>
        </row>
        <row r="1167">
          <cell r="B1167" t="str">
            <v>001-0020243</v>
          </cell>
          <cell r="C1167" t="str">
            <v>硬盘</v>
          </cell>
          <cell r="D1167" t="str">
            <v>40G</v>
          </cell>
          <cell r="E1167" t="str">
            <v>迈拓公司</v>
          </cell>
          <cell r="F1167" t="str">
            <v>个</v>
          </cell>
          <cell r="G1167">
            <v>2001</v>
          </cell>
          <cell r="H1167">
            <v>2001</v>
          </cell>
          <cell r="I1167">
            <v>863</v>
          </cell>
          <cell r="J1167">
            <v>848.62</v>
          </cell>
          <cell r="K1167">
            <v>863</v>
          </cell>
          <cell r="L1167">
            <v>848.62</v>
          </cell>
          <cell r="M1167">
            <v>0</v>
          </cell>
          <cell r="O1167">
            <v>0</v>
          </cell>
          <cell r="P1167">
            <v>-100</v>
          </cell>
          <cell r="Q1167" t="str">
            <v>与计算机合并</v>
          </cell>
        </row>
        <row r="1168">
          <cell r="B1168" t="str">
            <v>001-0020244</v>
          </cell>
          <cell r="C1168" t="str">
            <v>硬盘</v>
          </cell>
          <cell r="D1168" t="str">
            <v>40G</v>
          </cell>
          <cell r="E1168" t="str">
            <v>迈拓公司</v>
          </cell>
          <cell r="F1168" t="str">
            <v>个</v>
          </cell>
          <cell r="G1168">
            <v>2001</v>
          </cell>
          <cell r="H1168">
            <v>2001</v>
          </cell>
          <cell r="I1168">
            <v>863</v>
          </cell>
          <cell r="J1168">
            <v>848.62</v>
          </cell>
          <cell r="K1168">
            <v>863</v>
          </cell>
          <cell r="L1168">
            <v>848.62</v>
          </cell>
          <cell r="M1168">
            <v>0</v>
          </cell>
          <cell r="O1168">
            <v>0</v>
          </cell>
          <cell r="P1168">
            <v>-100</v>
          </cell>
          <cell r="Q1168" t="str">
            <v>与计算机合并</v>
          </cell>
        </row>
        <row r="1169">
          <cell r="B1169" t="str">
            <v>001-0020245</v>
          </cell>
          <cell r="C1169" t="str">
            <v>硬盘</v>
          </cell>
          <cell r="D1169" t="str">
            <v>40G</v>
          </cell>
          <cell r="E1169" t="str">
            <v>迈拓公司</v>
          </cell>
          <cell r="F1169" t="str">
            <v>个</v>
          </cell>
          <cell r="G1169">
            <v>2001</v>
          </cell>
          <cell r="H1169">
            <v>2001</v>
          </cell>
          <cell r="I1169">
            <v>863</v>
          </cell>
          <cell r="J1169">
            <v>848.62</v>
          </cell>
          <cell r="K1169">
            <v>863</v>
          </cell>
          <cell r="L1169">
            <v>848.62</v>
          </cell>
          <cell r="M1169">
            <v>0</v>
          </cell>
          <cell r="O1169">
            <v>0</v>
          </cell>
          <cell r="P1169">
            <v>-100</v>
          </cell>
          <cell r="Q1169" t="str">
            <v>与计算机合并</v>
          </cell>
        </row>
        <row r="1170">
          <cell r="B1170" t="str">
            <v>001-0020246</v>
          </cell>
          <cell r="C1170" t="str">
            <v>硬盘</v>
          </cell>
          <cell r="D1170" t="str">
            <v>40G</v>
          </cell>
          <cell r="E1170" t="str">
            <v>迈拓公司</v>
          </cell>
          <cell r="F1170" t="str">
            <v>个</v>
          </cell>
          <cell r="G1170">
            <v>2001</v>
          </cell>
          <cell r="H1170">
            <v>2001</v>
          </cell>
          <cell r="I1170">
            <v>863</v>
          </cell>
          <cell r="J1170">
            <v>848.62</v>
          </cell>
          <cell r="K1170">
            <v>863</v>
          </cell>
          <cell r="L1170">
            <v>848.62</v>
          </cell>
          <cell r="M1170">
            <v>0</v>
          </cell>
          <cell r="O1170">
            <v>0</v>
          </cell>
          <cell r="P1170">
            <v>-100</v>
          </cell>
          <cell r="Q1170" t="str">
            <v>与计算机合并</v>
          </cell>
        </row>
        <row r="1171">
          <cell r="B1171" t="str">
            <v>001-0020247</v>
          </cell>
          <cell r="C1171" t="str">
            <v>硬盘</v>
          </cell>
          <cell r="D1171" t="str">
            <v>40G</v>
          </cell>
          <cell r="E1171" t="str">
            <v>迈拓公司</v>
          </cell>
          <cell r="F1171" t="str">
            <v>个</v>
          </cell>
          <cell r="G1171">
            <v>2001</v>
          </cell>
          <cell r="H1171">
            <v>2001</v>
          </cell>
          <cell r="I1171">
            <v>863</v>
          </cell>
          <cell r="J1171">
            <v>848.62</v>
          </cell>
          <cell r="K1171">
            <v>863</v>
          </cell>
          <cell r="L1171">
            <v>848.62</v>
          </cell>
          <cell r="M1171">
            <v>0</v>
          </cell>
          <cell r="O1171">
            <v>0</v>
          </cell>
          <cell r="P1171">
            <v>-100</v>
          </cell>
          <cell r="Q1171" t="str">
            <v>与计算机合并</v>
          </cell>
        </row>
        <row r="1172">
          <cell r="B1172" t="str">
            <v>001-0020248</v>
          </cell>
          <cell r="C1172" t="str">
            <v>硬盘</v>
          </cell>
          <cell r="D1172" t="str">
            <v>40G</v>
          </cell>
          <cell r="E1172" t="str">
            <v>迈拓公司</v>
          </cell>
          <cell r="F1172" t="str">
            <v>个</v>
          </cell>
          <cell r="G1172">
            <v>2001</v>
          </cell>
          <cell r="H1172">
            <v>2001</v>
          </cell>
          <cell r="I1172">
            <v>863</v>
          </cell>
          <cell r="J1172">
            <v>848.62</v>
          </cell>
          <cell r="K1172">
            <v>863</v>
          </cell>
          <cell r="L1172">
            <v>848.62</v>
          </cell>
          <cell r="M1172">
            <v>0</v>
          </cell>
          <cell r="O1172">
            <v>0</v>
          </cell>
          <cell r="P1172">
            <v>-100</v>
          </cell>
          <cell r="Q1172" t="str">
            <v>与计算机合并</v>
          </cell>
        </row>
        <row r="1173">
          <cell r="B1173" t="str">
            <v>001-0020249</v>
          </cell>
          <cell r="C1173" t="str">
            <v>硬盘</v>
          </cell>
          <cell r="D1173" t="str">
            <v>40G</v>
          </cell>
          <cell r="E1173" t="str">
            <v>迈拓公司</v>
          </cell>
          <cell r="F1173" t="str">
            <v>个</v>
          </cell>
          <cell r="G1173">
            <v>2001</v>
          </cell>
          <cell r="H1173">
            <v>2001</v>
          </cell>
          <cell r="I1173">
            <v>863</v>
          </cell>
          <cell r="J1173">
            <v>848.62</v>
          </cell>
          <cell r="K1173">
            <v>863</v>
          </cell>
          <cell r="L1173">
            <v>848.62</v>
          </cell>
          <cell r="M1173">
            <v>0</v>
          </cell>
          <cell r="O1173">
            <v>0</v>
          </cell>
          <cell r="P1173">
            <v>-100</v>
          </cell>
          <cell r="Q1173" t="str">
            <v>与计算机合并</v>
          </cell>
        </row>
        <row r="1174">
          <cell r="B1174" t="str">
            <v>001-0020250</v>
          </cell>
          <cell r="C1174" t="str">
            <v>硬盘</v>
          </cell>
          <cell r="D1174" t="str">
            <v>40G</v>
          </cell>
          <cell r="E1174" t="str">
            <v>迈拓公司</v>
          </cell>
          <cell r="F1174" t="str">
            <v>个</v>
          </cell>
          <cell r="G1174">
            <v>2001</v>
          </cell>
          <cell r="H1174">
            <v>2001</v>
          </cell>
          <cell r="I1174">
            <v>863</v>
          </cell>
          <cell r="J1174">
            <v>848.62</v>
          </cell>
          <cell r="K1174">
            <v>863</v>
          </cell>
          <cell r="L1174">
            <v>848.62</v>
          </cell>
          <cell r="M1174">
            <v>0</v>
          </cell>
          <cell r="O1174">
            <v>0</v>
          </cell>
          <cell r="P1174">
            <v>-100</v>
          </cell>
          <cell r="Q1174" t="str">
            <v>与计算机合并</v>
          </cell>
        </row>
        <row r="1175">
          <cell r="B1175" t="str">
            <v>001-0020277</v>
          </cell>
          <cell r="C1175" t="str">
            <v>主板</v>
          </cell>
          <cell r="E1175" t="str">
            <v>升技</v>
          </cell>
          <cell r="F1175" t="str">
            <v>条</v>
          </cell>
          <cell r="G1175">
            <v>2001</v>
          </cell>
          <cell r="H1175">
            <v>2001</v>
          </cell>
          <cell r="I1175">
            <v>1303</v>
          </cell>
          <cell r="J1175">
            <v>1281.28</v>
          </cell>
          <cell r="K1175">
            <v>1303</v>
          </cell>
          <cell r="L1175">
            <v>1281.28</v>
          </cell>
          <cell r="M1175">
            <v>0</v>
          </cell>
          <cell r="O1175">
            <v>0</v>
          </cell>
          <cell r="P1175">
            <v>-100</v>
          </cell>
          <cell r="Q1175" t="str">
            <v>与计算机合并</v>
          </cell>
        </row>
        <row r="1176">
          <cell r="B1176" t="str">
            <v>001-0020278</v>
          </cell>
          <cell r="C1176" t="str">
            <v>主板</v>
          </cell>
          <cell r="E1176" t="str">
            <v>升技</v>
          </cell>
          <cell r="F1176" t="str">
            <v>条</v>
          </cell>
          <cell r="G1176">
            <v>2001</v>
          </cell>
          <cell r="H1176">
            <v>2001</v>
          </cell>
          <cell r="I1176">
            <v>1303</v>
          </cell>
          <cell r="J1176">
            <v>1281.28</v>
          </cell>
          <cell r="K1176">
            <v>1303</v>
          </cell>
          <cell r="L1176">
            <v>1281.28</v>
          </cell>
          <cell r="M1176">
            <v>0</v>
          </cell>
          <cell r="O1176">
            <v>0</v>
          </cell>
          <cell r="P1176">
            <v>-100</v>
          </cell>
          <cell r="Q1176" t="str">
            <v>与计算机合并</v>
          </cell>
        </row>
        <row r="1177">
          <cell r="B1177" t="str">
            <v>001-0020279</v>
          </cell>
          <cell r="C1177" t="str">
            <v>主板</v>
          </cell>
          <cell r="E1177" t="str">
            <v>升技</v>
          </cell>
          <cell r="F1177" t="str">
            <v>条</v>
          </cell>
          <cell r="G1177">
            <v>2001</v>
          </cell>
          <cell r="H1177">
            <v>2001</v>
          </cell>
          <cell r="I1177">
            <v>1303</v>
          </cell>
          <cell r="J1177">
            <v>1281.28</v>
          </cell>
          <cell r="K1177">
            <v>1303</v>
          </cell>
          <cell r="L1177">
            <v>1281.28</v>
          </cell>
          <cell r="M1177">
            <v>0</v>
          </cell>
          <cell r="O1177">
            <v>0</v>
          </cell>
          <cell r="P1177">
            <v>-100</v>
          </cell>
          <cell r="Q1177" t="str">
            <v>与计算机合并</v>
          </cell>
        </row>
        <row r="1178">
          <cell r="B1178" t="str">
            <v>001-0020280</v>
          </cell>
          <cell r="C1178" t="str">
            <v>主板</v>
          </cell>
          <cell r="E1178" t="str">
            <v>升技</v>
          </cell>
          <cell r="F1178" t="str">
            <v>条</v>
          </cell>
          <cell r="G1178">
            <v>2001</v>
          </cell>
          <cell r="H1178">
            <v>2001</v>
          </cell>
          <cell r="I1178">
            <v>1303</v>
          </cell>
          <cell r="J1178">
            <v>1281.28</v>
          </cell>
          <cell r="K1178">
            <v>1303</v>
          </cell>
          <cell r="L1178">
            <v>1281.28</v>
          </cell>
          <cell r="M1178">
            <v>0</v>
          </cell>
          <cell r="O1178">
            <v>0</v>
          </cell>
          <cell r="P1178">
            <v>-100</v>
          </cell>
          <cell r="Q1178" t="str">
            <v>与计算机合并</v>
          </cell>
        </row>
        <row r="1179">
          <cell r="B1179" t="str">
            <v>001-0020281</v>
          </cell>
          <cell r="C1179" t="str">
            <v>主板</v>
          </cell>
          <cell r="E1179" t="str">
            <v>升技</v>
          </cell>
          <cell r="F1179" t="str">
            <v>条</v>
          </cell>
          <cell r="G1179">
            <v>2001</v>
          </cell>
          <cell r="H1179">
            <v>2001</v>
          </cell>
          <cell r="I1179">
            <v>1303</v>
          </cell>
          <cell r="J1179">
            <v>1281.28</v>
          </cell>
          <cell r="K1179">
            <v>1303</v>
          </cell>
          <cell r="L1179">
            <v>1281.28</v>
          </cell>
          <cell r="M1179">
            <v>0</v>
          </cell>
          <cell r="O1179">
            <v>0</v>
          </cell>
          <cell r="P1179">
            <v>-100</v>
          </cell>
          <cell r="Q1179" t="str">
            <v>与计算机合并</v>
          </cell>
        </row>
        <row r="1180">
          <cell r="B1180" t="str">
            <v>001-0020282</v>
          </cell>
          <cell r="C1180" t="str">
            <v>主板</v>
          </cell>
          <cell r="E1180" t="str">
            <v>升技</v>
          </cell>
          <cell r="F1180" t="str">
            <v>条</v>
          </cell>
          <cell r="G1180">
            <v>2001</v>
          </cell>
          <cell r="H1180">
            <v>2001</v>
          </cell>
          <cell r="I1180">
            <v>1303</v>
          </cell>
          <cell r="J1180">
            <v>1281.28</v>
          </cell>
          <cell r="K1180">
            <v>1303</v>
          </cell>
          <cell r="L1180">
            <v>1281.28</v>
          </cell>
          <cell r="M1180">
            <v>0</v>
          </cell>
          <cell r="O1180">
            <v>0</v>
          </cell>
          <cell r="P1180">
            <v>-100</v>
          </cell>
          <cell r="Q1180" t="str">
            <v>与计算机合并</v>
          </cell>
        </row>
        <row r="1181">
          <cell r="B1181" t="str">
            <v>001-0020283</v>
          </cell>
          <cell r="C1181" t="str">
            <v>主板</v>
          </cell>
          <cell r="E1181" t="str">
            <v>升技</v>
          </cell>
          <cell r="F1181" t="str">
            <v>条</v>
          </cell>
          <cell r="G1181">
            <v>2001</v>
          </cell>
          <cell r="H1181">
            <v>2001</v>
          </cell>
          <cell r="I1181">
            <v>1303</v>
          </cell>
          <cell r="J1181">
            <v>1281.28</v>
          </cell>
          <cell r="K1181">
            <v>1303</v>
          </cell>
          <cell r="L1181">
            <v>1281.28</v>
          </cell>
          <cell r="M1181">
            <v>0</v>
          </cell>
          <cell r="O1181">
            <v>0</v>
          </cell>
          <cell r="P1181">
            <v>-100</v>
          </cell>
          <cell r="Q1181" t="str">
            <v>与计算机合并</v>
          </cell>
        </row>
        <row r="1182">
          <cell r="B1182" t="str">
            <v>001-0020284</v>
          </cell>
          <cell r="C1182" t="str">
            <v>主板</v>
          </cell>
          <cell r="E1182" t="str">
            <v>升技</v>
          </cell>
          <cell r="F1182" t="str">
            <v>条</v>
          </cell>
          <cell r="G1182">
            <v>2001</v>
          </cell>
          <cell r="H1182">
            <v>2001</v>
          </cell>
          <cell r="I1182">
            <v>1303</v>
          </cell>
          <cell r="J1182">
            <v>1281.28</v>
          </cell>
          <cell r="K1182">
            <v>1303</v>
          </cell>
          <cell r="L1182">
            <v>1281.28</v>
          </cell>
          <cell r="M1182">
            <v>0</v>
          </cell>
          <cell r="O1182">
            <v>0</v>
          </cell>
          <cell r="P1182">
            <v>-100</v>
          </cell>
          <cell r="Q1182" t="str">
            <v>与计算机合并</v>
          </cell>
        </row>
        <row r="1183">
          <cell r="B1183" t="str">
            <v>001-0020285</v>
          </cell>
          <cell r="C1183" t="str">
            <v>主板</v>
          </cell>
          <cell r="E1183" t="str">
            <v>升技</v>
          </cell>
          <cell r="F1183" t="str">
            <v>条</v>
          </cell>
          <cell r="G1183">
            <v>2001</v>
          </cell>
          <cell r="H1183">
            <v>2001</v>
          </cell>
          <cell r="I1183">
            <v>1303</v>
          </cell>
          <cell r="J1183">
            <v>1281.28</v>
          </cell>
          <cell r="K1183">
            <v>1303</v>
          </cell>
          <cell r="L1183">
            <v>1281.28</v>
          </cell>
          <cell r="M1183">
            <v>0</v>
          </cell>
          <cell r="O1183">
            <v>0</v>
          </cell>
          <cell r="P1183">
            <v>-100</v>
          </cell>
          <cell r="Q1183" t="str">
            <v>与计算机合并</v>
          </cell>
        </row>
        <row r="1184">
          <cell r="B1184" t="str">
            <v>001-0020286</v>
          </cell>
          <cell r="C1184" t="str">
            <v>主板</v>
          </cell>
          <cell r="E1184" t="str">
            <v>升技</v>
          </cell>
          <cell r="F1184" t="str">
            <v>条</v>
          </cell>
          <cell r="G1184">
            <v>2001</v>
          </cell>
          <cell r="H1184">
            <v>2001</v>
          </cell>
          <cell r="I1184">
            <v>1303</v>
          </cell>
          <cell r="J1184">
            <v>1281.28</v>
          </cell>
          <cell r="K1184">
            <v>1303</v>
          </cell>
          <cell r="L1184">
            <v>1281.28</v>
          </cell>
          <cell r="M1184">
            <v>0</v>
          </cell>
          <cell r="O1184">
            <v>0</v>
          </cell>
          <cell r="P1184">
            <v>-100</v>
          </cell>
          <cell r="Q1184" t="str">
            <v>与计算机合并</v>
          </cell>
        </row>
        <row r="1185">
          <cell r="B1185" t="str">
            <v>001-0009041</v>
          </cell>
          <cell r="C1185" t="str">
            <v>打印机</v>
          </cell>
          <cell r="D1185" t="str">
            <v>HP激打6L</v>
          </cell>
          <cell r="E1185" t="str">
            <v>HP公司</v>
          </cell>
          <cell r="F1185" t="str">
            <v>台</v>
          </cell>
          <cell r="G1185">
            <v>9807</v>
          </cell>
          <cell r="H1185">
            <v>9807</v>
          </cell>
          <cell r="I1185">
            <v>13200</v>
          </cell>
          <cell r="J1185">
            <v>8360</v>
          </cell>
          <cell r="K1185">
            <v>13200</v>
          </cell>
          <cell r="L1185">
            <v>8360</v>
          </cell>
          <cell r="M1185">
            <v>2800</v>
          </cell>
          <cell r="N1185">
            <v>30</v>
          </cell>
          <cell r="O1185">
            <v>840</v>
          </cell>
          <cell r="P1185">
            <v>-89.952153110047846</v>
          </cell>
          <cell r="Q1185" t="str">
            <v/>
          </cell>
        </row>
        <row r="1186">
          <cell r="B1186" t="str">
            <v>001-0001897</v>
          </cell>
          <cell r="C1186" t="str">
            <v>空调器</v>
          </cell>
          <cell r="D1186" t="str">
            <v>400大卡</v>
          </cell>
          <cell r="F1186" t="str">
            <v>台</v>
          </cell>
          <cell r="G1186">
            <v>9807</v>
          </cell>
          <cell r="H1186">
            <v>9807</v>
          </cell>
          <cell r="I1186">
            <v>4828.76</v>
          </cell>
          <cell r="J1186">
            <v>1405.54</v>
          </cell>
          <cell r="K1186">
            <v>4828.76</v>
          </cell>
          <cell r="L1186">
            <v>1405.54</v>
          </cell>
          <cell r="M1186">
            <v>0</v>
          </cell>
          <cell r="O1186">
            <v>0</v>
          </cell>
          <cell r="P1186">
            <v>-100</v>
          </cell>
          <cell r="Q1186" t="str">
            <v>电子设备</v>
          </cell>
        </row>
        <row r="1187">
          <cell r="B1187" t="str">
            <v>001-0008054</v>
          </cell>
          <cell r="C1187" t="str">
            <v>空调</v>
          </cell>
          <cell r="D1187" t="str">
            <v>索华柜式5匹</v>
          </cell>
          <cell r="F1187" t="str">
            <v>台</v>
          </cell>
          <cell r="G1187">
            <v>9607</v>
          </cell>
          <cell r="H1187">
            <v>9607</v>
          </cell>
          <cell r="I1187">
            <v>12805</v>
          </cell>
          <cell r="J1187">
            <v>7624.09</v>
          </cell>
          <cell r="K1187">
            <v>12805</v>
          </cell>
          <cell r="L1187">
            <v>7624.09</v>
          </cell>
          <cell r="M1187">
            <v>6500</v>
          </cell>
          <cell r="N1187">
            <v>35</v>
          </cell>
          <cell r="O1187">
            <v>2275</v>
          </cell>
          <cell r="P1187">
            <v>-70.160373237986434</v>
          </cell>
          <cell r="Q1187" t="str">
            <v>电子设备</v>
          </cell>
        </row>
        <row r="1188">
          <cell r="B1188" t="str">
            <v>001-0008055</v>
          </cell>
          <cell r="C1188" t="str">
            <v>空调</v>
          </cell>
          <cell r="D1188" t="str">
            <v>索华柜式5匹</v>
          </cell>
          <cell r="F1188" t="str">
            <v>台</v>
          </cell>
          <cell r="G1188">
            <v>9607</v>
          </cell>
          <cell r="H1188">
            <v>9607</v>
          </cell>
          <cell r="I1188">
            <v>12805</v>
          </cell>
          <cell r="J1188">
            <v>7624.09</v>
          </cell>
          <cell r="K1188">
            <v>12805</v>
          </cell>
          <cell r="L1188">
            <v>7624.09</v>
          </cell>
          <cell r="M1188">
            <v>6500</v>
          </cell>
          <cell r="N1188">
            <v>35</v>
          </cell>
          <cell r="O1188">
            <v>2275</v>
          </cell>
          <cell r="P1188">
            <v>-70.160373237986434</v>
          </cell>
          <cell r="Q1188" t="str">
            <v>电子设备</v>
          </cell>
        </row>
        <row r="1189">
          <cell r="B1189" t="str">
            <v>001-0011129</v>
          </cell>
          <cell r="C1189" t="str">
            <v>吸尘器</v>
          </cell>
          <cell r="D1189" t="str">
            <v>春花ZCS-100S</v>
          </cell>
          <cell r="F1189" t="str">
            <v>台</v>
          </cell>
          <cell r="G1189">
            <v>9912</v>
          </cell>
          <cell r="H1189">
            <v>9912</v>
          </cell>
          <cell r="I1189">
            <v>2450</v>
          </cell>
          <cell r="J1189">
            <v>2067.9699999999998</v>
          </cell>
          <cell r="K1189">
            <v>2450</v>
          </cell>
          <cell r="L1189">
            <v>2067.9699999999998</v>
          </cell>
          <cell r="M1189">
            <v>1800</v>
          </cell>
          <cell r="N1189">
            <v>35</v>
          </cell>
          <cell r="O1189">
            <v>630</v>
          </cell>
          <cell r="P1189">
            <v>-69.535341421780771</v>
          </cell>
          <cell r="Q1189" t="str">
            <v>电子设备</v>
          </cell>
        </row>
        <row r="1190">
          <cell r="B1190" t="str">
            <v>001-0011492</v>
          </cell>
          <cell r="C1190" t="str">
            <v>计算机</v>
          </cell>
          <cell r="D1190" t="str">
            <v>HP D8188A</v>
          </cell>
          <cell r="E1190" t="str">
            <v>HP公司</v>
          </cell>
          <cell r="F1190" t="str">
            <v>台</v>
          </cell>
          <cell r="G1190">
            <v>9910</v>
          </cell>
          <cell r="H1190">
            <v>9910</v>
          </cell>
          <cell r="I1190">
            <v>9000</v>
          </cell>
          <cell r="J1190">
            <v>7650</v>
          </cell>
          <cell r="K1190">
            <v>9000</v>
          </cell>
          <cell r="L1190">
            <v>7650</v>
          </cell>
          <cell r="M1190">
            <v>6000</v>
          </cell>
          <cell r="N1190">
            <v>50</v>
          </cell>
          <cell r="O1190">
            <v>3000</v>
          </cell>
          <cell r="P1190">
            <v>-60.784313725490193</v>
          </cell>
          <cell r="Q1190" t="str">
            <v>电子设备</v>
          </cell>
        </row>
        <row r="1191">
          <cell r="B1191" t="str">
            <v>001-0011493</v>
          </cell>
          <cell r="C1191" t="str">
            <v>计算机</v>
          </cell>
          <cell r="D1191" t="str">
            <v>HP D8188A</v>
          </cell>
          <cell r="E1191" t="str">
            <v>HP公司</v>
          </cell>
          <cell r="F1191" t="str">
            <v>台</v>
          </cell>
          <cell r="G1191">
            <v>9910</v>
          </cell>
          <cell r="H1191">
            <v>9910</v>
          </cell>
          <cell r="I1191">
            <v>9000</v>
          </cell>
          <cell r="J1191">
            <v>7650</v>
          </cell>
          <cell r="K1191">
            <v>9000</v>
          </cell>
          <cell r="L1191">
            <v>7650</v>
          </cell>
          <cell r="M1191">
            <v>6000</v>
          </cell>
          <cell r="N1191">
            <v>50</v>
          </cell>
          <cell r="O1191">
            <v>3000</v>
          </cell>
          <cell r="P1191">
            <v>-60.784313725490193</v>
          </cell>
          <cell r="Q1191" t="str">
            <v>电子设备</v>
          </cell>
        </row>
        <row r="1192">
          <cell r="B1192" t="str">
            <v>001-0011494</v>
          </cell>
          <cell r="C1192" t="str">
            <v>计算机</v>
          </cell>
          <cell r="D1192" t="str">
            <v>HP D8188A</v>
          </cell>
          <cell r="E1192" t="str">
            <v>HP公司</v>
          </cell>
          <cell r="F1192" t="str">
            <v>台</v>
          </cell>
          <cell r="G1192">
            <v>9910</v>
          </cell>
          <cell r="H1192">
            <v>9910</v>
          </cell>
          <cell r="I1192">
            <v>9000</v>
          </cell>
          <cell r="J1192">
            <v>7650</v>
          </cell>
          <cell r="K1192">
            <v>9000</v>
          </cell>
          <cell r="L1192">
            <v>7650</v>
          </cell>
          <cell r="M1192">
            <v>6000</v>
          </cell>
          <cell r="N1192">
            <v>50</v>
          </cell>
          <cell r="O1192">
            <v>3000</v>
          </cell>
          <cell r="P1192">
            <v>-60.784313725490193</v>
          </cell>
          <cell r="Q1192" t="str">
            <v>电子设备</v>
          </cell>
        </row>
        <row r="1193">
          <cell r="B1193" t="str">
            <v>001-0011495</v>
          </cell>
          <cell r="C1193" t="str">
            <v>计算机</v>
          </cell>
          <cell r="D1193" t="str">
            <v>HP D8188A</v>
          </cell>
          <cell r="E1193" t="str">
            <v>HP公司</v>
          </cell>
          <cell r="F1193" t="str">
            <v>台</v>
          </cell>
          <cell r="G1193">
            <v>9910</v>
          </cell>
          <cell r="H1193">
            <v>9910</v>
          </cell>
          <cell r="I1193">
            <v>9000</v>
          </cell>
          <cell r="J1193">
            <v>7650</v>
          </cell>
          <cell r="K1193">
            <v>9000</v>
          </cell>
          <cell r="L1193">
            <v>7650</v>
          </cell>
          <cell r="M1193">
            <v>6000</v>
          </cell>
          <cell r="N1193">
            <v>50</v>
          </cell>
          <cell r="O1193">
            <v>3000</v>
          </cell>
          <cell r="P1193">
            <v>-60.784313725490193</v>
          </cell>
          <cell r="Q1193" t="str">
            <v>电子设备</v>
          </cell>
        </row>
        <row r="1194">
          <cell r="B1194" t="str">
            <v>001-0011496</v>
          </cell>
          <cell r="C1194" t="str">
            <v>计算机</v>
          </cell>
          <cell r="D1194" t="str">
            <v>HP D8188A</v>
          </cell>
          <cell r="E1194" t="str">
            <v>HP公司</v>
          </cell>
          <cell r="F1194" t="str">
            <v>台</v>
          </cell>
          <cell r="G1194">
            <v>9910</v>
          </cell>
          <cell r="H1194">
            <v>9910</v>
          </cell>
          <cell r="I1194">
            <v>9000</v>
          </cell>
          <cell r="J1194">
            <v>7650</v>
          </cell>
          <cell r="K1194">
            <v>9000</v>
          </cell>
          <cell r="L1194">
            <v>7650</v>
          </cell>
          <cell r="M1194">
            <v>6000</v>
          </cell>
          <cell r="N1194">
            <v>50</v>
          </cell>
          <cell r="O1194">
            <v>3000</v>
          </cell>
          <cell r="P1194">
            <v>-60.784313725490193</v>
          </cell>
          <cell r="Q1194" t="str">
            <v>电子设备</v>
          </cell>
        </row>
        <row r="1195">
          <cell r="B1195" t="str">
            <v>001-0011497</v>
          </cell>
          <cell r="C1195" t="str">
            <v>计算机</v>
          </cell>
          <cell r="D1195" t="str">
            <v>HP D8188A</v>
          </cell>
          <cell r="E1195" t="str">
            <v>HP公司</v>
          </cell>
          <cell r="F1195" t="str">
            <v>台</v>
          </cell>
          <cell r="G1195">
            <v>9910</v>
          </cell>
          <cell r="H1195">
            <v>9910</v>
          </cell>
          <cell r="I1195">
            <v>9000</v>
          </cell>
          <cell r="J1195">
            <v>7650</v>
          </cell>
          <cell r="K1195">
            <v>9000</v>
          </cell>
          <cell r="L1195">
            <v>7650</v>
          </cell>
          <cell r="M1195">
            <v>6000</v>
          </cell>
          <cell r="N1195">
            <v>50</v>
          </cell>
          <cell r="O1195">
            <v>3000</v>
          </cell>
          <cell r="P1195">
            <v>-60.784313725490193</v>
          </cell>
          <cell r="Q1195" t="str">
            <v>电子设备</v>
          </cell>
        </row>
        <row r="1196">
          <cell r="B1196" t="str">
            <v>001-0011498</v>
          </cell>
          <cell r="C1196" t="str">
            <v>计算机</v>
          </cell>
          <cell r="D1196" t="str">
            <v>HP D8188A</v>
          </cell>
          <cell r="E1196" t="str">
            <v>HP公司</v>
          </cell>
          <cell r="F1196" t="str">
            <v>台</v>
          </cell>
          <cell r="G1196">
            <v>9910</v>
          </cell>
          <cell r="H1196">
            <v>9910</v>
          </cell>
          <cell r="I1196">
            <v>9000</v>
          </cell>
          <cell r="J1196">
            <v>7650</v>
          </cell>
          <cell r="K1196">
            <v>9000</v>
          </cell>
          <cell r="L1196">
            <v>7650</v>
          </cell>
          <cell r="M1196">
            <v>6000</v>
          </cell>
          <cell r="N1196">
            <v>50</v>
          </cell>
          <cell r="O1196">
            <v>3000</v>
          </cell>
          <cell r="P1196">
            <v>-60.784313725490193</v>
          </cell>
          <cell r="Q1196" t="str">
            <v>电子设备</v>
          </cell>
        </row>
        <row r="1197">
          <cell r="B1197" t="str">
            <v>001-0011651</v>
          </cell>
          <cell r="C1197" t="str">
            <v>对讲机</v>
          </cell>
          <cell r="D1197" t="str">
            <v/>
          </cell>
          <cell r="F1197" t="str">
            <v>台</v>
          </cell>
          <cell r="G1197">
            <v>9910</v>
          </cell>
          <cell r="H1197">
            <v>9910</v>
          </cell>
          <cell r="I1197">
            <v>3660</v>
          </cell>
          <cell r="J1197">
            <v>3416</v>
          </cell>
          <cell r="K1197">
            <v>3660</v>
          </cell>
          <cell r="L1197">
            <v>3416</v>
          </cell>
          <cell r="M1197">
            <v>3200</v>
          </cell>
          <cell r="N1197">
            <v>75</v>
          </cell>
          <cell r="O1197">
            <v>2400</v>
          </cell>
          <cell r="P1197">
            <v>-29.742388758782202</v>
          </cell>
          <cell r="Q1197" t="str">
            <v>电子设备</v>
          </cell>
        </row>
        <row r="1198">
          <cell r="B1198" t="str">
            <v>001-0011652</v>
          </cell>
          <cell r="C1198" t="str">
            <v>对讲机</v>
          </cell>
          <cell r="D1198" t="str">
            <v/>
          </cell>
          <cell r="F1198" t="str">
            <v>台</v>
          </cell>
          <cell r="G1198">
            <v>9910</v>
          </cell>
          <cell r="H1198">
            <v>9910</v>
          </cell>
          <cell r="I1198">
            <v>3660</v>
          </cell>
          <cell r="J1198">
            <v>3416</v>
          </cell>
          <cell r="K1198">
            <v>3660</v>
          </cell>
          <cell r="L1198">
            <v>3416</v>
          </cell>
          <cell r="M1198">
            <v>3200</v>
          </cell>
          <cell r="N1198">
            <v>75</v>
          </cell>
          <cell r="O1198">
            <v>2400</v>
          </cell>
          <cell r="P1198">
            <v>-29.742388758782202</v>
          </cell>
          <cell r="Q1198" t="str">
            <v>电子设备</v>
          </cell>
        </row>
        <row r="1199">
          <cell r="B1199" t="str">
            <v>001-0017727</v>
          </cell>
          <cell r="C1199" t="str">
            <v>空调</v>
          </cell>
          <cell r="D1199" t="str">
            <v>东芝牌江南Ⅲ型立式JFR-7000</v>
          </cell>
          <cell r="F1199" t="str">
            <v>台</v>
          </cell>
          <cell r="G1199">
            <v>9212</v>
          </cell>
          <cell r="H1199">
            <v>9212</v>
          </cell>
          <cell r="I1199">
            <v>23674.57</v>
          </cell>
          <cell r="J1199">
            <v>8038.72</v>
          </cell>
          <cell r="K1199">
            <v>23674.57</v>
          </cell>
          <cell r="L1199">
            <v>8038.72</v>
          </cell>
          <cell r="M1199">
            <v>0</v>
          </cell>
          <cell r="O1199">
            <v>0</v>
          </cell>
          <cell r="P1199">
            <v>-100</v>
          </cell>
          <cell r="Q1199" t="str">
            <v>待报废</v>
          </cell>
        </row>
        <row r="1200">
          <cell r="B1200" t="str">
            <v>001-0017981</v>
          </cell>
          <cell r="C1200" t="str">
            <v>空调</v>
          </cell>
          <cell r="D1200" t="str">
            <v>格力RF-16W</v>
          </cell>
          <cell r="F1200" t="str">
            <v>台</v>
          </cell>
          <cell r="G1200" t="str">
            <v>0107</v>
          </cell>
          <cell r="H1200" t="str">
            <v>0107</v>
          </cell>
          <cell r="I1200">
            <v>11960</v>
          </cell>
          <cell r="J1200">
            <v>11960</v>
          </cell>
          <cell r="K1200">
            <v>11960</v>
          </cell>
          <cell r="L1200">
            <v>11960</v>
          </cell>
          <cell r="M1200">
            <v>11000</v>
          </cell>
          <cell r="N1200">
            <v>90</v>
          </cell>
          <cell r="O1200">
            <v>9900</v>
          </cell>
          <cell r="P1200">
            <v>-17.224080267558527</v>
          </cell>
          <cell r="Q1200" t="str">
            <v>电子设备</v>
          </cell>
        </row>
        <row r="1201">
          <cell r="B1201" t="str">
            <v>001-0017982</v>
          </cell>
          <cell r="C1201" t="str">
            <v>空调</v>
          </cell>
          <cell r="D1201" t="str">
            <v>格力RF-16W</v>
          </cell>
          <cell r="F1201" t="str">
            <v>台</v>
          </cell>
          <cell r="G1201" t="str">
            <v>0107</v>
          </cell>
          <cell r="H1201" t="str">
            <v>0107</v>
          </cell>
          <cell r="I1201">
            <v>11960</v>
          </cell>
          <cell r="J1201">
            <v>11960</v>
          </cell>
          <cell r="K1201">
            <v>11960</v>
          </cell>
          <cell r="L1201">
            <v>11960</v>
          </cell>
          <cell r="M1201">
            <v>11000</v>
          </cell>
          <cell r="N1201">
            <v>90</v>
          </cell>
          <cell r="O1201">
            <v>9900</v>
          </cell>
          <cell r="P1201">
            <v>-17.224080267558527</v>
          </cell>
          <cell r="Q1201" t="str">
            <v>电子设备</v>
          </cell>
        </row>
        <row r="1202">
          <cell r="B1202" t="str">
            <v>001-0019168</v>
          </cell>
          <cell r="C1202" t="str">
            <v>空调</v>
          </cell>
          <cell r="D1202" t="str">
            <v>美的 KER-342    1.5P</v>
          </cell>
          <cell r="E1202" t="str">
            <v>美的 公司</v>
          </cell>
          <cell r="F1202" t="str">
            <v>台</v>
          </cell>
          <cell r="G1202" t="str">
            <v>0111</v>
          </cell>
          <cell r="H1202" t="str">
            <v>0111</v>
          </cell>
          <cell r="I1202">
            <v>2580</v>
          </cell>
          <cell r="J1202">
            <v>2580</v>
          </cell>
          <cell r="K1202">
            <v>2580</v>
          </cell>
          <cell r="L1202">
            <v>2580</v>
          </cell>
          <cell r="M1202">
            <v>2200</v>
          </cell>
          <cell r="N1202">
            <v>90</v>
          </cell>
          <cell r="O1202">
            <v>1980</v>
          </cell>
          <cell r="P1202">
            <v>-23.255813953488371</v>
          </cell>
          <cell r="Q1202" t="str">
            <v>起重设备</v>
          </cell>
        </row>
        <row r="1203">
          <cell r="B1203" t="str">
            <v>001-0019169</v>
          </cell>
          <cell r="C1203" t="str">
            <v>空调</v>
          </cell>
          <cell r="D1203" t="str">
            <v>美的 KER-342    1.5P</v>
          </cell>
          <cell r="E1203" t="str">
            <v>美的 公司</v>
          </cell>
          <cell r="F1203" t="str">
            <v>台</v>
          </cell>
          <cell r="G1203" t="str">
            <v>0111</v>
          </cell>
          <cell r="H1203" t="str">
            <v>0111</v>
          </cell>
          <cell r="I1203">
            <v>2580</v>
          </cell>
          <cell r="J1203">
            <v>2580</v>
          </cell>
          <cell r="K1203">
            <v>2580</v>
          </cell>
          <cell r="L1203">
            <v>2580</v>
          </cell>
          <cell r="M1203">
            <v>2200</v>
          </cell>
          <cell r="N1203">
            <v>90</v>
          </cell>
          <cell r="O1203">
            <v>1980</v>
          </cell>
          <cell r="P1203">
            <v>-23.255813953488371</v>
          </cell>
          <cell r="Q1203" t="str">
            <v>起重设备</v>
          </cell>
        </row>
        <row r="1204">
          <cell r="B1204" t="str">
            <v>001-0019170</v>
          </cell>
          <cell r="C1204" t="str">
            <v>空调</v>
          </cell>
          <cell r="D1204" t="str">
            <v>美的 KER-342    1.5P</v>
          </cell>
          <cell r="E1204" t="str">
            <v>美的 公司</v>
          </cell>
          <cell r="F1204" t="str">
            <v>台</v>
          </cell>
          <cell r="G1204" t="str">
            <v>0111</v>
          </cell>
          <cell r="H1204" t="str">
            <v>0111</v>
          </cell>
          <cell r="I1204">
            <v>2580</v>
          </cell>
          <cell r="J1204">
            <v>2580</v>
          </cell>
          <cell r="K1204">
            <v>2580</v>
          </cell>
          <cell r="L1204">
            <v>2580</v>
          </cell>
          <cell r="M1204">
            <v>2200</v>
          </cell>
          <cell r="N1204">
            <v>90</v>
          </cell>
          <cell r="O1204">
            <v>1980</v>
          </cell>
          <cell r="P1204">
            <v>-23.255813953488371</v>
          </cell>
          <cell r="Q1204" t="str">
            <v>起重设备</v>
          </cell>
        </row>
        <row r="1205">
          <cell r="B1205" t="str">
            <v>001-0019171</v>
          </cell>
          <cell r="C1205" t="str">
            <v>空调</v>
          </cell>
          <cell r="D1205" t="str">
            <v>美的 KER-342    1.5P</v>
          </cell>
          <cell r="E1205" t="str">
            <v>美的 公司</v>
          </cell>
          <cell r="F1205" t="str">
            <v>台</v>
          </cell>
          <cell r="G1205" t="str">
            <v>0111</v>
          </cell>
          <cell r="H1205" t="str">
            <v>0111</v>
          </cell>
          <cell r="I1205">
            <v>2580</v>
          </cell>
          <cell r="J1205">
            <v>2580</v>
          </cell>
          <cell r="K1205">
            <v>2580</v>
          </cell>
          <cell r="L1205">
            <v>2580</v>
          </cell>
          <cell r="M1205">
            <v>2200</v>
          </cell>
          <cell r="N1205">
            <v>90</v>
          </cell>
          <cell r="O1205">
            <v>1980</v>
          </cell>
          <cell r="P1205">
            <v>-23.255813953488371</v>
          </cell>
          <cell r="Q1205" t="str">
            <v>起重设备</v>
          </cell>
        </row>
        <row r="1206">
          <cell r="B1206" t="str">
            <v>001-0019172</v>
          </cell>
          <cell r="C1206" t="str">
            <v>空调</v>
          </cell>
          <cell r="D1206" t="str">
            <v>美的 KER-342    1.5P</v>
          </cell>
          <cell r="E1206" t="str">
            <v>美的 公司</v>
          </cell>
          <cell r="F1206" t="str">
            <v>台</v>
          </cell>
          <cell r="G1206" t="str">
            <v>0111</v>
          </cell>
          <cell r="H1206" t="str">
            <v>0111</v>
          </cell>
          <cell r="I1206">
            <v>2580</v>
          </cell>
          <cell r="J1206">
            <v>2580</v>
          </cell>
          <cell r="K1206">
            <v>2580</v>
          </cell>
          <cell r="L1206">
            <v>2580</v>
          </cell>
          <cell r="M1206">
            <v>2200</v>
          </cell>
          <cell r="N1206">
            <v>90</v>
          </cell>
          <cell r="O1206">
            <v>1980</v>
          </cell>
          <cell r="P1206">
            <v>-23.255813953488371</v>
          </cell>
          <cell r="Q1206" t="str">
            <v>起重设备</v>
          </cell>
        </row>
        <row r="1207">
          <cell r="B1207" t="str">
            <v>001-0019173</v>
          </cell>
          <cell r="C1207" t="str">
            <v>空调</v>
          </cell>
          <cell r="D1207" t="str">
            <v>美的 KER-342    1.5P</v>
          </cell>
          <cell r="E1207" t="str">
            <v>美的 公司</v>
          </cell>
          <cell r="F1207" t="str">
            <v>台</v>
          </cell>
          <cell r="G1207" t="str">
            <v>0111</v>
          </cell>
          <cell r="H1207" t="str">
            <v>0111</v>
          </cell>
          <cell r="I1207">
            <v>2580</v>
          </cell>
          <cell r="J1207">
            <v>2580</v>
          </cell>
          <cell r="K1207">
            <v>2580</v>
          </cell>
          <cell r="L1207">
            <v>2580</v>
          </cell>
          <cell r="M1207">
            <v>2200</v>
          </cell>
          <cell r="N1207">
            <v>90</v>
          </cell>
          <cell r="O1207">
            <v>1980</v>
          </cell>
          <cell r="P1207">
            <v>-23.255813953488371</v>
          </cell>
          <cell r="Q1207" t="str">
            <v>起重设备</v>
          </cell>
        </row>
        <row r="1208">
          <cell r="B1208" t="str">
            <v>001-0019174</v>
          </cell>
          <cell r="C1208" t="str">
            <v>空调</v>
          </cell>
          <cell r="D1208" t="str">
            <v>美的 KER-342    1.5P</v>
          </cell>
          <cell r="E1208" t="str">
            <v>美的 公司</v>
          </cell>
          <cell r="F1208" t="str">
            <v>台</v>
          </cell>
          <cell r="G1208" t="str">
            <v>0111</v>
          </cell>
          <cell r="H1208" t="str">
            <v>0111</v>
          </cell>
          <cell r="I1208">
            <v>2580</v>
          </cell>
          <cell r="J1208">
            <v>2580</v>
          </cell>
          <cell r="K1208">
            <v>2580</v>
          </cell>
          <cell r="L1208">
            <v>2580</v>
          </cell>
          <cell r="M1208">
            <v>2200</v>
          </cell>
          <cell r="N1208">
            <v>90</v>
          </cell>
          <cell r="O1208">
            <v>1980</v>
          </cell>
          <cell r="P1208">
            <v>-23.255813953488371</v>
          </cell>
          <cell r="Q1208" t="str">
            <v>起重设备</v>
          </cell>
        </row>
        <row r="1209">
          <cell r="B1209" t="str">
            <v>001-0019175</v>
          </cell>
          <cell r="C1209" t="str">
            <v>空调</v>
          </cell>
          <cell r="D1209" t="str">
            <v>美的 KER-342    1.5P</v>
          </cell>
          <cell r="E1209" t="str">
            <v>美的 公司</v>
          </cell>
          <cell r="F1209" t="str">
            <v>台</v>
          </cell>
          <cell r="G1209" t="str">
            <v>0111</v>
          </cell>
          <cell r="H1209" t="str">
            <v>0111</v>
          </cell>
          <cell r="I1209">
            <v>2580</v>
          </cell>
          <cell r="J1209">
            <v>2580</v>
          </cell>
          <cell r="K1209">
            <v>2580</v>
          </cell>
          <cell r="L1209">
            <v>2580</v>
          </cell>
          <cell r="M1209">
            <v>2200</v>
          </cell>
          <cell r="N1209">
            <v>90</v>
          </cell>
          <cell r="O1209">
            <v>1980</v>
          </cell>
          <cell r="P1209">
            <v>-23.255813953488371</v>
          </cell>
          <cell r="Q1209" t="str">
            <v>起重设备</v>
          </cell>
        </row>
        <row r="1210">
          <cell r="B1210" t="str">
            <v>001-0019176</v>
          </cell>
          <cell r="C1210" t="str">
            <v>空调</v>
          </cell>
          <cell r="D1210" t="str">
            <v>美的 KER-342    1.5P</v>
          </cell>
          <cell r="E1210" t="str">
            <v>美的 公司</v>
          </cell>
          <cell r="F1210" t="str">
            <v>台</v>
          </cell>
          <cell r="G1210" t="str">
            <v>0111</v>
          </cell>
          <cell r="H1210" t="str">
            <v>0111</v>
          </cell>
          <cell r="I1210">
            <v>2580</v>
          </cell>
          <cell r="J1210">
            <v>2580</v>
          </cell>
          <cell r="K1210">
            <v>2580</v>
          </cell>
          <cell r="L1210">
            <v>2580</v>
          </cell>
          <cell r="M1210">
            <v>2200</v>
          </cell>
          <cell r="N1210">
            <v>90</v>
          </cell>
          <cell r="O1210">
            <v>1980</v>
          </cell>
          <cell r="P1210">
            <v>-23.255813953488371</v>
          </cell>
          <cell r="Q1210" t="str">
            <v>起重设备</v>
          </cell>
        </row>
        <row r="1211">
          <cell r="B1211" t="str">
            <v>001-0019177</v>
          </cell>
          <cell r="C1211" t="str">
            <v>空调</v>
          </cell>
          <cell r="D1211" t="str">
            <v>美的 KER-342    1.5P</v>
          </cell>
          <cell r="E1211" t="str">
            <v>美的 公司</v>
          </cell>
          <cell r="F1211" t="str">
            <v>台</v>
          </cell>
          <cell r="G1211" t="str">
            <v>0111</v>
          </cell>
          <cell r="H1211" t="str">
            <v>0111</v>
          </cell>
          <cell r="I1211">
            <v>2580</v>
          </cell>
          <cell r="J1211">
            <v>2580</v>
          </cell>
          <cell r="K1211">
            <v>2580</v>
          </cell>
          <cell r="L1211">
            <v>2580</v>
          </cell>
          <cell r="M1211">
            <v>2200</v>
          </cell>
          <cell r="N1211">
            <v>90</v>
          </cell>
          <cell r="O1211">
            <v>1980</v>
          </cell>
          <cell r="P1211">
            <v>-23.255813953488371</v>
          </cell>
          <cell r="Q1211" t="str">
            <v>起重设备</v>
          </cell>
        </row>
        <row r="1212">
          <cell r="B1212" t="str">
            <v>001-0019178</v>
          </cell>
          <cell r="C1212" t="str">
            <v>空调</v>
          </cell>
          <cell r="D1212" t="str">
            <v>美的 KER-342    1.5P</v>
          </cell>
          <cell r="E1212" t="str">
            <v>美的 公司</v>
          </cell>
          <cell r="F1212" t="str">
            <v>台</v>
          </cell>
          <cell r="G1212" t="str">
            <v>0111</v>
          </cell>
          <cell r="H1212" t="str">
            <v>0111</v>
          </cell>
          <cell r="I1212">
            <v>2580</v>
          </cell>
          <cell r="J1212">
            <v>2580</v>
          </cell>
          <cell r="K1212">
            <v>2580</v>
          </cell>
          <cell r="L1212">
            <v>2580</v>
          </cell>
          <cell r="M1212">
            <v>2200</v>
          </cell>
          <cell r="N1212">
            <v>90</v>
          </cell>
          <cell r="O1212">
            <v>1980</v>
          </cell>
          <cell r="P1212">
            <v>-23.255813953488371</v>
          </cell>
          <cell r="Q1212" t="str">
            <v>起重设备</v>
          </cell>
        </row>
        <row r="1213">
          <cell r="B1213" t="str">
            <v>001-0019179</v>
          </cell>
          <cell r="C1213" t="str">
            <v>空调</v>
          </cell>
          <cell r="D1213" t="str">
            <v>美的 KER-342    1.5P</v>
          </cell>
          <cell r="E1213" t="str">
            <v>美的 公司</v>
          </cell>
          <cell r="F1213" t="str">
            <v>台</v>
          </cell>
          <cell r="G1213" t="str">
            <v>0111</v>
          </cell>
          <cell r="H1213" t="str">
            <v>0111</v>
          </cell>
          <cell r="I1213">
            <v>2580</v>
          </cell>
          <cell r="J1213">
            <v>2580</v>
          </cell>
          <cell r="K1213">
            <v>2580</v>
          </cell>
          <cell r="L1213">
            <v>2580</v>
          </cell>
          <cell r="M1213">
            <v>2200</v>
          </cell>
          <cell r="N1213">
            <v>90</v>
          </cell>
          <cell r="O1213">
            <v>1980</v>
          </cell>
          <cell r="P1213">
            <v>-23.255813953488371</v>
          </cell>
          <cell r="Q1213" t="str">
            <v>起重设备</v>
          </cell>
        </row>
        <row r="1214">
          <cell r="B1214" t="str">
            <v>001-0019180</v>
          </cell>
          <cell r="C1214" t="str">
            <v>空调</v>
          </cell>
          <cell r="D1214" t="str">
            <v>美的 KER-342    1.5P</v>
          </cell>
          <cell r="E1214" t="str">
            <v>美的 公司</v>
          </cell>
          <cell r="F1214" t="str">
            <v>台</v>
          </cell>
          <cell r="G1214" t="str">
            <v>0111</v>
          </cell>
          <cell r="H1214" t="str">
            <v>0111</v>
          </cell>
          <cell r="I1214">
            <v>2580</v>
          </cell>
          <cell r="J1214">
            <v>2580</v>
          </cell>
          <cell r="K1214">
            <v>2580</v>
          </cell>
          <cell r="L1214">
            <v>2580</v>
          </cell>
          <cell r="M1214">
            <v>2200</v>
          </cell>
          <cell r="N1214">
            <v>90</v>
          </cell>
          <cell r="O1214">
            <v>1980</v>
          </cell>
          <cell r="P1214">
            <v>-23.255813953488371</v>
          </cell>
          <cell r="Q1214" t="str">
            <v>起重设备</v>
          </cell>
        </row>
        <row r="1215">
          <cell r="B1215" t="str">
            <v>001-0019181</v>
          </cell>
          <cell r="C1215" t="str">
            <v>空调</v>
          </cell>
          <cell r="D1215" t="str">
            <v>美的 KER-342    1.5P</v>
          </cell>
          <cell r="E1215" t="str">
            <v>美的 公司</v>
          </cell>
          <cell r="F1215" t="str">
            <v>台</v>
          </cell>
          <cell r="G1215" t="str">
            <v>0111</v>
          </cell>
          <cell r="H1215" t="str">
            <v>0111</v>
          </cell>
          <cell r="I1215">
            <v>2580</v>
          </cell>
          <cell r="J1215">
            <v>2580</v>
          </cell>
          <cell r="K1215">
            <v>2580</v>
          </cell>
          <cell r="L1215">
            <v>2580</v>
          </cell>
          <cell r="M1215">
            <v>2200</v>
          </cell>
          <cell r="N1215">
            <v>90</v>
          </cell>
          <cell r="O1215">
            <v>1980</v>
          </cell>
          <cell r="P1215">
            <v>-23.255813953488371</v>
          </cell>
          <cell r="Q1215" t="str">
            <v>起重设备</v>
          </cell>
        </row>
        <row r="1216">
          <cell r="B1216" t="str">
            <v>001-0009494</v>
          </cell>
          <cell r="C1216" t="str">
            <v>主机</v>
          </cell>
          <cell r="D1216" t="str">
            <v/>
          </cell>
          <cell r="F1216" t="str">
            <v>台</v>
          </cell>
          <cell r="I1216">
            <v>105437.5</v>
          </cell>
          <cell r="J1216">
            <v>77874.38</v>
          </cell>
          <cell r="K1216">
            <v>105437.5</v>
          </cell>
          <cell r="L1216">
            <v>77874.38</v>
          </cell>
          <cell r="M1216">
            <v>85000</v>
          </cell>
          <cell r="N1216">
            <v>80</v>
          </cell>
          <cell r="O1216">
            <v>68000</v>
          </cell>
          <cell r="P1216">
            <v>-12.679882652035246</v>
          </cell>
        </row>
        <row r="1217">
          <cell r="B1217" t="str">
            <v>001-0009495</v>
          </cell>
          <cell r="C1217" t="str">
            <v>主机</v>
          </cell>
          <cell r="D1217" t="str">
            <v/>
          </cell>
          <cell r="F1217" t="str">
            <v>台</v>
          </cell>
          <cell r="I1217">
            <v>105437.5</v>
          </cell>
          <cell r="J1217">
            <v>71170.3</v>
          </cell>
          <cell r="K1217">
            <v>105437.5</v>
          </cell>
          <cell r="L1217">
            <v>71170.3</v>
          </cell>
          <cell r="M1217">
            <v>85000</v>
          </cell>
          <cell r="N1217">
            <v>80</v>
          </cell>
          <cell r="O1217">
            <v>68000</v>
          </cell>
          <cell r="P1217">
            <v>-4.454526677560728</v>
          </cell>
        </row>
        <row r="1218">
          <cell r="B1218" t="str">
            <v>001-0009496</v>
          </cell>
          <cell r="C1218" t="str">
            <v>主机</v>
          </cell>
          <cell r="D1218" t="str">
            <v/>
          </cell>
          <cell r="F1218" t="str">
            <v>台</v>
          </cell>
          <cell r="I1218">
            <v>105437.5</v>
          </cell>
          <cell r="J1218">
            <v>71170.3</v>
          </cell>
          <cell r="K1218">
            <v>105437.5</v>
          </cell>
          <cell r="L1218">
            <v>71170.3</v>
          </cell>
          <cell r="M1218">
            <v>85000</v>
          </cell>
          <cell r="N1218">
            <v>80</v>
          </cell>
          <cell r="O1218">
            <v>68000</v>
          </cell>
          <cell r="P1218">
            <v>-4.454526677560728</v>
          </cell>
        </row>
        <row r="1219">
          <cell r="B1219" t="str">
            <v>001-0009499</v>
          </cell>
          <cell r="C1219" t="str">
            <v>打印机</v>
          </cell>
          <cell r="D1219" t="str">
            <v/>
          </cell>
          <cell r="F1219" t="str">
            <v>台</v>
          </cell>
          <cell r="I1219">
            <v>8125</v>
          </cell>
          <cell r="J1219">
            <v>5484.37</v>
          </cell>
          <cell r="K1219">
            <v>8125</v>
          </cell>
          <cell r="L1219">
            <v>5484.37</v>
          </cell>
          <cell r="M1219">
            <v>6800</v>
          </cell>
          <cell r="N1219">
            <v>80</v>
          </cell>
          <cell r="O1219">
            <v>5440</v>
          </cell>
          <cell r="P1219">
            <v>-0.80902637859954551</v>
          </cell>
        </row>
        <row r="1220">
          <cell r="B1220" t="str">
            <v>001-0010673</v>
          </cell>
          <cell r="C1220" t="str">
            <v>服务器</v>
          </cell>
          <cell r="D1220" t="str">
            <v>Compaq Proliant 5000</v>
          </cell>
          <cell r="F1220" t="str">
            <v>台</v>
          </cell>
          <cell r="I1220">
            <v>134200</v>
          </cell>
          <cell r="J1220">
            <v>104005.01</v>
          </cell>
          <cell r="K1220">
            <v>134200</v>
          </cell>
          <cell r="L1220">
            <v>104005.01</v>
          </cell>
          <cell r="M1220">
            <v>110000</v>
          </cell>
          <cell r="N1220">
            <v>80</v>
          </cell>
          <cell r="O1220">
            <v>88000</v>
          </cell>
          <cell r="P1220">
            <v>-15.388691371694494</v>
          </cell>
        </row>
        <row r="1221">
          <cell r="B1221" t="str">
            <v>001-0010678</v>
          </cell>
          <cell r="C1221" t="str">
            <v>打印机</v>
          </cell>
          <cell r="D1221" t="str">
            <v>HPLaserjet 6L</v>
          </cell>
          <cell r="E1221" t="str">
            <v/>
          </cell>
          <cell r="F1221" t="str">
            <v>台</v>
          </cell>
          <cell r="I1221">
            <v>3990</v>
          </cell>
          <cell r="J1221">
            <v>3092.25</v>
          </cell>
          <cell r="K1221">
            <v>3990</v>
          </cell>
          <cell r="L1221">
            <v>3092.25</v>
          </cell>
          <cell r="M1221">
            <v>3150</v>
          </cell>
          <cell r="N1221">
            <v>80</v>
          </cell>
          <cell r="O1221">
            <v>2520</v>
          </cell>
          <cell r="P1221">
            <v>-18.505942275042443</v>
          </cell>
        </row>
        <row r="1222">
          <cell r="B1222" t="str">
            <v>001-0010679</v>
          </cell>
          <cell r="C1222" t="str">
            <v>打印机</v>
          </cell>
          <cell r="D1222" t="str">
            <v>HPLaserjet 6L</v>
          </cell>
          <cell r="E1222" t="str">
            <v/>
          </cell>
          <cell r="F1222" t="str">
            <v>台</v>
          </cell>
          <cell r="I1222">
            <v>3990</v>
          </cell>
          <cell r="J1222">
            <v>3092.25</v>
          </cell>
          <cell r="K1222">
            <v>3990</v>
          </cell>
          <cell r="L1222">
            <v>3092.25</v>
          </cell>
          <cell r="M1222">
            <v>3150</v>
          </cell>
          <cell r="N1222">
            <v>80</v>
          </cell>
          <cell r="O1222">
            <v>2520</v>
          </cell>
          <cell r="P1222">
            <v>-18.505942275042443</v>
          </cell>
        </row>
        <row r="1223">
          <cell r="B1223" t="str">
            <v>001-0010680</v>
          </cell>
          <cell r="C1223" t="str">
            <v>打印机</v>
          </cell>
          <cell r="D1223" t="str">
            <v>HPLaserjet 6L</v>
          </cell>
          <cell r="E1223" t="str">
            <v/>
          </cell>
          <cell r="F1223" t="str">
            <v>台</v>
          </cell>
          <cell r="I1223">
            <v>3990</v>
          </cell>
          <cell r="J1223">
            <v>3092.25</v>
          </cell>
          <cell r="K1223">
            <v>3990</v>
          </cell>
          <cell r="L1223">
            <v>3092.25</v>
          </cell>
          <cell r="M1223">
            <v>3150</v>
          </cell>
          <cell r="N1223">
            <v>80</v>
          </cell>
          <cell r="O1223">
            <v>2520</v>
          </cell>
          <cell r="P1223">
            <v>-18.505942275042443</v>
          </cell>
        </row>
        <row r="1224">
          <cell r="B1224" t="str">
            <v>001-0010681</v>
          </cell>
          <cell r="C1224" t="str">
            <v>打印机</v>
          </cell>
          <cell r="D1224" t="str">
            <v>HPLaserjet 6L</v>
          </cell>
          <cell r="E1224" t="str">
            <v/>
          </cell>
          <cell r="F1224" t="str">
            <v>台</v>
          </cell>
          <cell r="I1224">
            <v>3990</v>
          </cell>
          <cell r="J1224">
            <v>3092.25</v>
          </cell>
          <cell r="K1224">
            <v>3990</v>
          </cell>
          <cell r="L1224">
            <v>3092.25</v>
          </cell>
          <cell r="M1224">
            <v>3150</v>
          </cell>
          <cell r="N1224">
            <v>80</v>
          </cell>
          <cell r="O1224">
            <v>2520</v>
          </cell>
          <cell r="P1224">
            <v>-18.505942275042443</v>
          </cell>
        </row>
        <row r="1225">
          <cell r="B1225" t="str">
            <v>001-0010682</v>
          </cell>
          <cell r="C1225" t="str">
            <v>打印机</v>
          </cell>
          <cell r="D1225" t="str">
            <v>HPLaserjet 6L</v>
          </cell>
          <cell r="E1225" t="str">
            <v/>
          </cell>
          <cell r="F1225" t="str">
            <v>台</v>
          </cell>
          <cell r="I1225">
            <v>3990</v>
          </cell>
          <cell r="J1225">
            <v>3092.25</v>
          </cell>
          <cell r="K1225">
            <v>3990</v>
          </cell>
          <cell r="L1225">
            <v>3092.25</v>
          </cell>
          <cell r="M1225">
            <v>3150</v>
          </cell>
          <cell r="N1225">
            <v>80</v>
          </cell>
          <cell r="O1225">
            <v>2520</v>
          </cell>
          <cell r="P1225">
            <v>-18.505942275042443</v>
          </cell>
        </row>
        <row r="1226">
          <cell r="B1226" t="str">
            <v>001-0010683</v>
          </cell>
          <cell r="C1226" t="str">
            <v>打印机</v>
          </cell>
          <cell r="D1226" t="str">
            <v>HPLaserjet 6L</v>
          </cell>
          <cell r="E1226" t="str">
            <v/>
          </cell>
          <cell r="F1226" t="str">
            <v>台</v>
          </cell>
          <cell r="I1226">
            <v>3990</v>
          </cell>
          <cell r="J1226">
            <v>3092.25</v>
          </cell>
          <cell r="K1226">
            <v>3990</v>
          </cell>
          <cell r="L1226">
            <v>3092.25</v>
          </cell>
          <cell r="M1226">
            <v>3150</v>
          </cell>
          <cell r="N1226">
            <v>80</v>
          </cell>
          <cell r="O1226">
            <v>2520</v>
          </cell>
          <cell r="P1226">
            <v>-18.505942275042443</v>
          </cell>
        </row>
        <row r="1227">
          <cell r="B1227" t="str">
            <v>001-0010690</v>
          </cell>
          <cell r="C1227" t="str">
            <v>打印机</v>
          </cell>
          <cell r="D1227" t="str">
            <v>HPLaserjet 5si</v>
          </cell>
          <cell r="E1227" t="str">
            <v/>
          </cell>
          <cell r="F1227" t="str">
            <v>台</v>
          </cell>
          <cell r="I1227">
            <v>3000</v>
          </cell>
          <cell r="J1227">
            <v>2325</v>
          </cell>
          <cell r="K1227">
            <v>3000</v>
          </cell>
          <cell r="L1227">
            <v>2325</v>
          </cell>
          <cell r="M1227">
            <v>2400</v>
          </cell>
          <cell r="N1227">
            <v>80</v>
          </cell>
          <cell r="O1227">
            <v>1920</v>
          </cell>
          <cell r="P1227">
            <v>-17.419354838709676</v>
          </cell>
        </row>
        <row r="1228">
          <cell r="B1228" t="str">
            <v>001-0010691</v>
          </cell>
          <cell r="C1228" t="str">
            <v>打印机</v>
          </cell>
          <cell r="D1228" t="str">
            <v>EPSON MJ1520K</v>
          </cell>
          <cell r="E1228" t="str">
            <v/>
          </cell>
          <cell r="F1228" t="str">
            <v>台</v>
          </cell>
          <cell r="I1228">
            <v>7800</v>
          </cell>
          <cell r="J1228">
            <v>6045</v>
          </cell>
          <cell r="K1228">
            <v>7800</v>
          </cell>
          <cell r="L1228">
            <v>6045</v>
          </cell>
          <cell r="M1228">
            <v>6500</v>
          </cell>
          <cell r="N1228">
            <v>80</v>
          </cell>
          <cell r="O1228">
            <v>5200</v>
          </cell>
          <cell r="P1228">
            <v>-13.978494623655912</v>
          </cell>
        </row>
        <row r="1229">
          <cell r="B1229" t="str">
            <v>001-0010693</v>
          </cell>
          <cell r="C1229" t="str">
            <v>CD刻录机</v>
          </cell>
          <cell r="D1229" t="str">
            <v>SONY CDU-9611S内置</v>
          </cell>
          <cell r="E1229" t="str">
            <v/>
          </cell>
          <cell r="F1229" t="str">
            <v>台</v>
          </cell>
          <cell r="I1229">
            <v>6000</v>
          </cell>
          <cell r="J1229">
            <v>4650</v>
          </cell>
          <cell r="K1229">
            <v>6000</v>
          </cell>
          <cell r="L1229">
            <v>4650</v>
          </cell>
          <cell r="M1229">
            <v>4700</v>
          </cell>
          <cell r="N1229">
            <v>80</v>
          </cell>
          <cell r="O1229">
            <v>3760</v>
          </cell>
          <cell r="P1229">
            <v>-19.13978494623656</v>
          </cell>
        </row>
        <row r="1230">
          <cell r="B1230" t="str">
            <v>001-0010694</v>
          </cell>
          <cell r="C1230" t="str">
            <v>PC机</v>
          </cell>
          <cell r="D1230" t="str">
            <v>Compaq  5/166  16M/2.1G</v>
          </cell>
          <cell r="E1230" t="str">
            <v/>
          </cell>
          <cell r="F1230" t="str">
            <v>台</v>
          </cell>
          <cell r="I1230">
            <v>11000</v>
          </cell>
          <cell r="J1230">
            <v>8524.99</v>
          </cell>
          <cell r="K1230">
            <v>11000</v>
          </cell>
          <cell r="L1230">
            <v>8524.99</v>
          </cell>
          <cell r="M1230">
            <v>3000</v>
          </cell>
          <cell r="N1230">
            <v>60</v>
          </cell>
          <cell r="O1230">
            <v>1800</v>
          </cell>
          <cell r="P1230">
            <v>-78.885605730915813</v>
          </cell>
        </row>
        <row r="1231">
          <cell r="B1231" t="str">
            <v>001-0010695</v>
          </cell>
          <cell r="C1231" t="str">
            <v>PC机</v>
          </cell>
          <cell r="D1231" t="str">
            <v>Compaq  5/166  16M/2.1G</v>
          </cell>
          <cell r="E1231" t="str">
            <v/>
          </cell>
          <cell r="F1231" t="str">
            <v>台</v>
          </cell>
          <cell r="I1231">
            <v>11000</v>
          </cell>
          <cell r="J1231">
            <v>8524.99</v>
          </cell>
          <cell r="K1231">
            <v>11000</v>
          </cell>
          <cell r="L1231">
            <v>8524.99</v>
          </cell>
          <cell r="M1231">
            <v>3000</v>
          </cell>
          <cell r="N1231">
            <v>60</v>
          </cell>
          <cell r="O1231">
            <v>1800</v>
          </cell>
          <cell r="P1231">
            <v>-78.885605730915813</v>
          </cell>
        </row>
        <row r="1232">
          <cell r="B1232" t="str">
            <v>001-0010696</v>
          </cell>
          <cell r="C1232" t="str">
            <v>PC机</v>
          </cell>
          <cell r="D1232" t="str">
            <v>Compaq  5/166  16M/2.1G</v>
          </cell>
          <cell r="E1232" t="str">
            <v/>
          </cell>
          <cell r="F1232" t="str">
            <v>台</v>
          </cell>
          <cell r="I1232">
            <v>11000</v>
          </cell>
          <cell r="J1232">
            <v>8524.99</v>
          </cell>
          <cell r="K1232">
            <v>11000</v>
          </cell>
          <cell r="L1232">
            <v>8524.99</v>
          </cell>
          <cell r="M1232">
            <v>3000</v>
          </cell>
          <cell r="N1232">
            <v>60</v>
          </cell>
          <cell r="O1232">
            <v>1800</v>
          </cell>
          <cell r="P1232">
            <v>-78.885605730915813</v>
          </cell>
        </row>
        <row r="1233">
          <cell r="B1233" t="str">
            <v>001-0010697</v>
          </cell>
          <cell r="C1233" t="str">
            <v>PC机</v>
          </cell>
          <cell r="D1233" t="str">
            <v>Compaq  5/166  16M/2.1G</v>
          </cell>
          <cell r="E1233" t="str">
            <v/>
          </cell>
          <cell r="F1233" t="str">
            <v>台</v>
          </cell>
          <cell r="I1233">
            <v>11000</v>
          </cell>
          <cell r="J1233">
            <v>8524.99</v>
          </cell>
          <cell r="K1233">
            <v>11000</v>
          </cell>
          <cell r="L1233">
            <v>8524.99</v>
          </cell>
          <cell r="M1233">
            <v>3000</v>
          </cell>
          <cell r="N1233">
            <v>60</v>
          </cell>
          <cell r="O1233">
            <v>1800</v>
          </cell>
          <cell r="P1233">
            <v>-78.885605730915813</v>
          </cell>
        </row>
        <row r="1234">
          <cell r="B1234" t="str">
            <v>001-0010698</v>
          </cell>
          <cell r="C1234" t="str">
            <v>PC机</v>
          </cell>
          <cell r="D1234" t="str">
            <v>Compaq  5/166  16M/2.1G</v>
          </cell>
          <cell r="E1234" t="str">
            <v/>
          </cell>
          <cell r="F1234" t="str">
            <v>台</v>
          </cell>
          <cell r="I1234">
            <v>11000</v>
          </cell>
          <cell r="J1234">
            <v>8524.99</v>
          </cell>
          <cell r="K1234">
            <v>11000</v>
          </cell>
          <cell r="L1234">
            <v>8524.99</v>
          </cell>
          <cell r="M1234">
            <v>3000</v>
          </cell>
          <cell r="N1234">
            <v>60</v>
          </cell>
          <cell r="O1234">
            <v>1800</v>
          </cell>
          <cell r="P1234">
            <v>-78.885605730915813</v>
          </cell>
        </row>
        <row r="1235">
          <cell r="B1235" t="str">
            <v>001-0010699</v>
          </cell>
          <cell r="C1235" t="str">
            <v>PC机</v>
          </cell>
          <cell r="D1235" t="str">
            <v>Compaq  5/166  16M/2.1G</v>
          </cell>
          <cell r="E1235" t="str">
            <v/>
          </cell>
          <cell r="F1235" t="str">
            <v>台</v>
          </cell>
          <cell r="I1235">
            <v>11000</v>
          </cell>
          <cell r="J1235">
            <v>8524.99</v>
          </cell>
          <cell r="K1235">
            <v>11000</v>
          </cell>
          <cell r="L1235">
            <v>8524.99</v>
          </cell>
          <cell r="M1235">
            <v>3000</v>
          </cell>
          <cell r="N1235">
            <v>60</v>
          </cell>
          <cell r="O1235">
            <v>1800</v>
          </cell>
          <cell r="P1235">
            <v>-78.885605730915813</v>
          </cell>
        </row>
        <row r="1236">
          <cell r="B1236" t="str">
            <v>001-0010700</v>
          </cell>
          <cell r="C1236" t="str">
            <v>PC机</v>
          </cell>
          <cell r="D1236" t="str">
            <v>Compaq  5/166  16M/2.1G</v>
          </cell>
          <cell r="E1236" t="str">
            <v/>
          </cell>
          <cell r="F1236" t="str">
            <v>台</v>
          </cell>
          <cell r="I1236">
            <v>11000</v>
          </cell>
          <cell r="J1236">
            <v>8524.99</v>
          </cell>
          <cell r="K1236">
            <v>11000</v>
          </cell>
          <cell r="L1236">
            <v>8524.99</v>
          </cell>
          <cell r="M1236">
            <v>3000</v>
          </cell>
          <cell r="N1236">
            <v>60</v>
          </cell>
          <cell r="O1236">
            <v>1800</v>
          </cell>
          <cell r="P1236">
            <v>-78.885605730915813</v>
          </cell>
        </row>
        <row r="1237">
          <cell r="B1237" t="str">
            <v>001-0010701</v>
          </cell>
          <cell r="C1237" t="str">
            <v>PC机</v>
          </cell>
          <cell r="D1237" t="str">
            <v>Compaq  5/166  16M/2.1G</v>
          </cell>
          <cell r="E1237" t="str">
            <v/>
          </cell>
          <cell r="F1237" t="str">
            <v>台</v>
          </cell>
          <cell r="I1237">
            <v>11000</v>
          </cell>
          <cell r="J1237">
            <v>8524.99</v>
          </cell>
          <cell r="K1237">
            <v>11000</v>
          </cell>
          <cell r="L1237">
            <v>8524.99</v>
          </cell>
          <cell r="M1237">
            <v>3000</v>
          </cell>
          <cell r="N1237">
            <v>60</v>
          </cell>
          <cell r="O1237">
            <v>1800</v>
          </cell>
          <cell r="P1237">
            <v>-78.885605730915813</v>
          </cell>
        </row>
        <row r="1238">
          <cell r="B1238" t="str">
            <v>001-0010702</v>
          </cell>
          <cell r="C1238" t="str">
            <v>PC机</v>
          </cell>
          <cell r="D1238" t="str">
            <v>Compaq  5/166  16M/2.1G</v>
          </cell>
          <cell r="E1238" t="str">
            <v/>
          </cell>
          <cell r="F1238" t="str">
            <v>台</v>
          </cell>
          <cell r="I1238">
            <v>11000</v>
          </cell>
          <cell r="J1238">
            <v>8524.99</v>
          </cell>
          <cell r="K1238">
            <v>11000</v>
          </cell>
          <cell r="L1238">
            <v>8524.99</v>
          </cell>
          <cell r="M1238">
            <v>3000</v>
          </cell>
          <cell r="N1238">
            <v>60</v>
          </cell>
          <cell r="O1238">
            <v>1800</v>
          </cell>
          <cell r="P1238">
            <v>-78.885605730915813</v>
          </cell>
        </row>
        <row r="1239">
          <cell r="B1239" t="str">
            <v>001-0010703</v>
          </cell>
          <cell r="C1239" t="str">
            <v>PC机</v>
          </cell>
          <cell r="D1239" t="str">
            <v>Compaq  5/166  16M/2.1G</v>
          </cell>
          <cell r="E1239" t="str">
            <v/>
          </cell>
          <cell r="F1239" t="str">
            <v>台</v>
          </cell>
          <cell r="I1239">
            <v>11000</v>
          </cell>
          <cell r="J1239">
            <v>8524.99</v>
          </cell>
          <cell r="K1239">
            <v>11000</v>
          </cell>
          <cell r="L1239">
            <v>8524.99</v>
          </cell>
          <cell r="M1239">
            <v>3000</v>
          </cell>
          <cell r="N1239">
            <v>60</v>
          </cell>
          <cell r="O1239">
            <v>1800</v>
          </cell>
          <cell r="P1239">
            <v>-78.885605730915813</v>
          </cell>
        </row>
        <row r="1240">
          <cell r="B1240" t="str">
            <v>001-0010704</v>
          </cell>
          <cell r="C1240" t="str">
            <v>PC机</v>
          </cell>
          <cell r="D1240" t="str">
            <v>Compaq  5/166  16M/2.1G</v>
          </cell>
          <cell r="E1240" t="str">
            <v/>
          </cell>
          <cell r="F1240" t="str">
            <v>台</v>
          </cell>
          <cell r="I1240">
            <v>11000</v>
          </cell>
          <cell r="J1240">
            <v>8524.99</v>
          </cell>
          <cell r="K1240">
            <v>11000</v>
          </cell>
          <cell r="L1240">
            <v>8524.99</v>
          </cell>
          <cell r="M1240">
            <v>3000</v>
          </cell>
          <cell r="N1240">
            <v>60</v>
          </cell>
          <cell r="O1240">
            <v>1800</v>
          </cell>
          <cell r="P1240">
            <v>-78.885605730915813</v>
          </cell>
        </row>
        <row r="1241">
          <cell r="B1241" t="str">
            <v>001-0010705</v>
          </cell>
          <cell r="C1241" t="str">
            <v>PC机</v>
          </cell>
          <cell r="D1241" t="str">
            <v>Compaq  5/166  16M/2.1G</v>
          </cell>
          <cell r="E1241" t="str">
            <v/>
          </cell>
          <cell r="F1241" t="str">
            <v>台</v>
          </cell>
          <cell r="I1241">
            <v>11000</v>
          </cell>
          <cell r="J1241">
            <v>8524.99</v>
          </cell>
          <cell r="K1241">
            <v>11000</v>
          </cell>
          <cell r="L1241">
            <v>8524.99</v>
          </cell>
          <cell r="M1241">
            <v>3000</v>
          </cell>
          <cell r="N1241">
            <v>60</v>
          </cell>
          <cell r="O1241">
            <v>1800</v>
          </cell>
          <cell r="P1241">
            <v>-78.885605730915813</v>
          </cell>
        </row>
        <row r="1242">
          <cell r="B1242" t="str">
            <v>001-0010706</v>
          </cell>
          <cell r="C1242" t="str">
            <v>PC机</v>
          </cell>
          <cell r="D1242" t="str">
            <v>Compaq  5/166  16M/2.1G</v>
          </cell>
          <cell r="E1242" t="str">
            <v/>
          </cell>
          <cell r="F1242" t="str">
            <v>台</v>
          </cell>
          <cell r="I1242">
            <v>11000</v>
          </cell>
          <cell r="J1242">
            <v>8524.99</v>
          </cell>
          <cell r="K1242">
            <v>11000</v>
          </cell>
          <cell r="L1242">
            <v>8524.99</v>
          </cell>
          <cell r="M1242">
            <v>3000</v>
          </cell>
          <cell r="N1242">
            <v>60</v>
          </cell>
          <cell r="O1242">
            <v>1800</v>
          </cell>
          <cell r="P1242">
            <v>-78.885605730915813</v>
          </cell>
        </row>
        <row r="1243">
          <cell r="B1243" t="str">
            <v>001-0010707</v>
          </cell>
          <cell r="C1243" t="str">
            <v>PC机</v>
          </cell>
          <cell r="D1243" t="str">
            <v>Compaq  5/166  16M/2.1G</v>
          </cell>
          <cell r="E1243" t="str">
            <v/>
          </cell>
          <cell r="F1243" t="str">
            <v>台</v>
          </cell>
          <cell r="I1243">
            <v>11000</v>
          </cell>
          <cell r="J1243">
            <v>8524.99</v>
          </cell>
          <cell r="K1243">
            <v>11000</v>
          </cell>
          <cell r="L1243">
            <v>8524.99</v>
          </cell>
          <cell r="M1243">
            <v>3000</v>
          </cell>
          <cell r="N1243">
            <v>60</v>
          </cell>
          <cell r="O1243">
            <v>1800</v>
          </cell>
          <cell r="P1243">
            <v>-78.885605730915813</v>
          </cell>
        </row>
        <row r="1244">
          <cell r="B1244" t="str">
            <v>001-0010708</v>
          </cell>
          <cell r="C1244" t="str">
            <v>PC机</v>
          </cell>
          <cell r="D1244" t="str">
            <v>Compaq  5/166  16M/2.1G</v>
          </cell>
          <cell r="E1244" t="str">
            <v/>
          </cell>
          <cell r="F1244" t="str">
            <v>台</v>
          </cell>
          <cell r="I1244">
            <v>11000</v>
          </cell>
          <cell r="J1244">
            <v>8524.99</v>
          </cell>
          <cell r="K1244">
            <v>11000</v>
          </cell>
          <cell r="L1244">
            <v>8524.99</v>
          </cell>
          <cell r="M1244">
            <v>3000</v>
          </cell>
          <cell r="N1244">
            <v>60</v>
          </cell>
          <cell r="O1244">
            <v>1800</v>
          </cell>
          <cell r="P1244">
            <v>-78.885605730915813</v>
          </cell>
        </row>
        <row r="1245">
          <cell r="B1245" t="str">
            <v>001-0010709</v>
          </cell>
          <cell r="C1245" t="str">
            <v>PC机</v>
          </cell>
          <cell r="D1245" t="str">
            <v>Compaq  5/166  16M/2.1G</v>
          </cell>
          <cell r="E1245" t="str">
            <v/>
          </cell>
          <cell r="F1245" t="str">
            <v>台</v>
          </cell>
          <cell r="I1245">
            <v>11000</v>
          </cell>
          <cell r="J1245">
            <v>8524.99</v>
          </cell>
          <cell r="K1245">
            <v>11000</v>
          </cell>
          <cell r="L1245">
            <v>8524.99</v>
          </cell>
          <cell r="M1245">
            <v>3000</v>
          </cell>
          <cell r="N1245">
            <v>60</v>
          </cell>
          <cell r="O1245">
            <v>1800</v>
          </cell>
          <cell r="P1245">
            <v>-78.885605730915813</v>
          </cell>
        </row>
        <row r="1246">
          <cell r="B1246" t="str">
            <v>001-0010710</v>
          </cell>
          <cell r="C1246" t="str">
            <v>PC机</v>
          </cell>
          <cell r="D1246" t="str">
            <v>Compaq  5/166  16M/2.1G</v>
          </cell>
          <cell r="E1246" t="str">
            <v/>
          </cell>
          <cell r="F1246" t="str">
            <v>台</v>
          </cell>
          <cell r="I1246">
            <v>11000</v>
          </cell>
          <cell r="J1246">
            <v>8524.99</v>
          </cell>
          <cell r="K1246">
            <v>11000</v>
          </cell>
          <cell r="L1246">
            <v>8524.99</v>
          </cell>
          <cell r="M1246">
            <v>3000</v>
          </cell>
          <cell r="N1246">
            <v>60</v>
          </cell>
          <cell r="O1246">
            <v>1800</v>
          </cell>
          <cell r="P1246">
            <v>-78.885605730915813</v>
          </cell>
        </row>
        <row r="1247">
          <cell r="B1247" t="str">
            <v>001-0010711</v>
          </cell>
          <cell r="C1247" t="str">
            <v>PC机</v>
          </cell>
          <cell r="D1247" t="str">
            <v>Compaq  5/166  16M/2.1G</v>
          </cell>
          <cell r="E1247" t="str">
            <v/>
          </cell>
          <cell r="F1247" t="str">
            <v>台</v>
          </cell>
          <cell r="I1247">
            <v>11000</v>
          </cell>
          <cell r="J1247">
            <v>8524.99</v>
          </cell>
          <cell r="K1247">
            <v>11000</v>
          </cell>
          <cell r="L1247">
            <v>8524.99</v>
          </cell>
          <cell r="M1247">
            <v>3000</v>
          </cell>
          <cell r="N1247">
            <v>60</v>
          </cell>
          <cell r="O1247">
            <v>1800</v>
          </cell>
          <cell r="P1247">
            <v>-78.885605730915813</v>
          </cell>
        </row>
        <row r="1248">
          <cell r="B1248" t="str">
            <v>001-0010712</v>
          </cell>
          <cell r="C1248" t="str">
            <v>PC机</v>
          </cell>
          <cell r="D1248" t="str">
            <v>Compaq  5/166  16M/2.1G</v>
          </cell>
          <cell r="E1248" t="str">
            <v/>
          </cell>
          <cell r="F1248" t="str">
            <v>台</v>
          </cell>
          <cell r="I1248">
            <v>11000</v>
          </cell>
          <cell r="J1248">
            <v>8524.99</v>
          </cell>
          <cell r="K1248">
            <v>11000</v>
          </cell>
          <cell r="L1248">
            <v>8524.99</v>
          </cell>
          <cell r="M1248">
            <v>3000</v>
          </cell>
          <cell r="N1248">
            <v>60</v>
          </cell>
          <cell r="O1248">
            <v>1800</v>
          </cell>
          <cell r="P1248">
            <v>-78.885605730915813</v>
          </cell>
        </row>
        <row r="1249">
          <cell r="B1249" t="str">
            <v>001-0010713</v>
          </cell>
          <cell r="C1249" t="str">
            <v>PC机</v>
          </cell>
          <cell r="D1249" t="str">
            <v>Compaq  5/166  16M/2.1G</v>
          </cell>
          <cell r="E1249" t="str">
            <v/>
          </cell>
          <cell r="F1249" t="str">
            <v>台</v>
          </cell>
          <cell r="I1249">
            <v>11000</v>
          </cell>
          <cell r="J1249">
            <v>8524.99</v>
          </cell>
          <cell r="K1249">
            <v>11000</v>
          </cell>
          <cell r="L1249">
            <v>8524.99</v>
          </cell>
          <cell r="M1249">
            <v>3000</v>
          </cell>
          <cell r="N1249">
            <v>60</v>
          </cell>
          <cell r="O1249">
            <v>1800</v>
          </cell>
          <cell r="P1249">
            <v>-78.885605730915813</v>
          </cell>
        </row>
        <row r="1250">
          <cell r="B1250" t="str">
            <v>001-0010714</v>
          </cell>
          <cell r="C1250" t="str">
            <v>PC机</v>
          </cell>
          <cell r="D1250" t="str">
            <v>Compaq  5/166  16M/2.1G</v>
          </cell>
          <cell r="E1250" t="str">
            <v/>
          </cell>
          <cell r="F1250" t="str">
            <v>台</v>
          </cell>
          <cell r="I1250">
            <v>11000</v>
          </cell>
          <cell r="J1250">
            <v>8524.99</v>
          </cell>
          <cell r="K1250">
            <v>11000</v>
          </cell>
          <cell r="L1250">
            <v>8524.99</v>
          </cell>
          <cell r="M1250">
            <v>3000</v>
          </cell>
          <cell r="N1250">
            <v>60</v>
          </cell>
          <cell r="O1250">
            <v>1800</v>
          </cell>
          <cell r="P1250">
            <v>-78.885605730915813</v>
          </cell>
        </row>
        <row r="1251">
          <cell r="B1251" t="str">
            <v>001-0010715</v>
          </cell>
          <cell r="C1251" t="str">
            <v>PC机</v>
          </cell>
          <cell r="D1251" t="str">
            <v>Compaq  5/166  16M/2.1G</v>
          </cell>
          <cell r="E1251" t="str">
            <v/>
          </cell>
          <cell r="F1251" t="str">
            <v>台</v>
          </cell>
          <cell r="I1251">
            <v>11000</v>
          </cell>
          <cell r="J1251">
            <v>8524.99</v>
          </cell>
          <cell r="K1251">
            <v>11000</v>
          </cell>
          <cell r="L1251">
            <v>8524.99</v>
          </cell>
          <cell r="M1251">
            <v>3000</v>
          </cell>
          <cell r="N1251">
            <v>60</v>
          </cell>
          <cell r="O1251">
            <v>1800</v>
          </cell>
          <cell r="P1251">
            <v>-78.885605730915813</v>
          </cell>
        </row>
        <row r="1252">
          <cell r="B1252" t="str">
            <v>001-0010716</v>
          </cell>
          <cell r="C1252" t="str">
            <v>PC机</v>
          </cell>
          <cell r="D1252" t="str">
            <v>Compaq  5/166  16M/2.1G</v>
          </cell>
          <cell r="E1252" t="str">
            <v/>
          </cell>
          <cell r="F1252" t="str">
            <v>台</v>
          </cell>
          <cell r="I1252">
            <v>11000</v>
          </cell>
          <cell r="J1252">
            <v>8524.99</v>
          </cell>
          <cell r="K1252">
            <v>11000</v>
          </cell>
          <cell r="L1252">
            <v>8524.99</v>
          </cell>
          <cell r="M1252">
            <v>3000</v>
          </cell>
          <cell r="N1252">
            <v>60</v>
          </cell>
          <cell r="O1252">
            <v>1800</v>
          </cell>
          <cell r="P1252">
            <v>-78.885605730915813</v>
          </cell>
        </row>
        <row r="1253">
          <cell r="B1253" t="str">
            <v>001-0010717</v>
          </cell>
          <cell r="C1253" t="str">
            <v>PC机</v>
          </cell>
          <cell r="D1253" t="str">
            <v>Compaq  5/166  16M/2.1G</v>
          </cell>
          <cell r="E1253" t="str">
            <v/>
          </cell>
          <cell r="F1253" t="str">
            <v>台</v>
          </cell>
          <cell r="I1253">
            <v>11000</v>
          </cell>
          <cell r="J1253">
            <v>8524.99</v>
          </cell>
          <cell r="K1253">
            <v>11000</v>
          </cell>
          <cell r="L1253">
            <v>8524.99</v>
          </cell>
          <cell r="M1253">
            <v>3000</v>
          </cell>
          <cell r="N1253">
            <v>60</v>
          </cell>
          <cell r="O1253">
            <v>1800</v>
          </cell>
          <cell r="P1253">
            <v>-78.885605730915813</v>
          </cell>
        </row>
        <row r="1254">
          <cell r="B1254" t="str">
            <v>001-0010718</v>
          </cell>
          <cell r="C1254" t="str">
            <v>PC机</v>
          </cell>
          <cell r="D1254" t="str">
            <v>Compaq  5/166  16M/2.1G</v>
          </cell>
          <cell r="E1254" t="str">
            <v/>
          </cell>
          <cell r="F1254" t="str">
            <v>台</v>
          </cell>
          <cell r="I1254">
            <v>11000</v>
          </cell>
          <cell r="J1254">
            <v>8524.99</v>
          </cell>
          <cell r="K1254">
            <v>11000</v>
          </cell>
          <cell r="L1254">
            <v>8524.99</v>
          </cell>
          <cell r="M1254">
            <v>3000</v>
          </cell>
          <cell r="N1254">
            <v>60</v>
          </cell>
          <cell r="O1254">
            <v>1800</v>
          </cell>
          <cell r="P1254">
            <v>-78.885605730915813</v>
          </cell>
        </row>
        <row r="1255">
          <cell r="B1255" t="str">
            <v>001-0010744</v>
          </cell>
          <cell r="C1255" t="str">
            <v>读写光盘机</v>
          </cell>
          <cell r="D1255" t="str">
            <v>HP C1114F 2.6GB外置式</v>
          </cell>
          <cell r="E1255" t="str">
            <v/>
          </cell>
          <cell r="F1255" t="str">
            <v>台</v>
          </cell>
          <cell r="I1255">
            <v>18000</v>
          </cell>
          <cell r="J1255">
            <v>13950</v>
          </cell>
          <cell r="K1255">
            <v>18000</v>
          </cell>
          <cell r="L1255">
            <v>13950</v>
          </cell>
          <cell r="M1255">
            <v>14500</v>
          </cell>
          <cell r="N1255">
            <v>80</v>
          </cell>
          <cell r="O1255">
            <v>11600</v>
          </cell>
          <cell r="P1255">
            <v>-16.845878136200717</v>
          </cell>
        </row>
        <row r="1256">
          <cell r="B1256" t="str">
            <v>001-0010750</v>
          </cell>
          <cell r="C1256" t="str">
            <v>3com  3c250T×/1网络设备</v>
          </cell>
          <cell r="D1256" t="str">
            <v>100MHUB</v>
          </cell>
          <cell r="E1256" t="str">
            <v/>
          </cell>
          <cell r="F1256" t="str">
            <v>台</v>
          </cell>
          <cell r="I1256">
            <v>8000</v>
          </cell>
          <cell r="J1256">
            <v>6199.99</v>
          </cell>
          <cell r="K1256">
            <v>8000</v>
          </cell>
          <cell r="L1256">
            <v>6199.99</v>
          </cell>
          <cell r="M1256">
            <v>7200</v>
          </cell>
          <cell r="N1256">
            <v>80</v>
          </cell>
          <cell r="O1256">
            <v>5760</v>
          </cell>
          <cell r="P1256">
            <v>-7.0966243493941077</v>
          </cell>
        </row>
        <row r="1257">
          <cell r="B1257" t="str">
            <v>001-0010751</v>
          </cell>
          <cell r="C1257" t="str">
            <v>3com  3c250T×/1网络设备</v>
          </cell>
          <cell r="D1257" t="str">
            <v>100MHUB</v>
          </cell>
          <cell r="E1257" t="str">
            <v/>
          </cell>
          <cell r="F1257" t="str">
            <v>台</v>
          </cell>
          <cell r="I1257">
            <v>8000</v>
          </cell>
          <cell r="J1257">
            <v>6199.99</v>
          </cell>
          <cell r="K1257">
            <v>8000</v>
          </cell>
          <cell r="L1257">
            <v>6199.99</v>
          </cell>
          <cell r="M1257">
            <v>7200</v>
          </cell>
          <cell r="N1257">
            <v>80</v>
          </cell>
          <cell r="O1257">
            <v>5760</v>
          </cell>
          <cell r="P1257">
            <v>-7.0966243493941077</v>
          </cell>
        </row>
        <row r="1258">
          <cell r="B1258" t="str">
            <v>001-0010752</v>
          </cell>
          <cell r="C1258" t="str">
            <v>3com  3c250T×/1网络设备</v>
          </cell>
          <cell r="D1258" t="str">
            <v>100MHUB</v>
          </cell>
          <cell r="E1258" t="str">
            <v/>
          </cell>
          <cell r="F1258" t="str">
            <v>台</v>
          </cell>
          <cell r="I1258">
            <v>8000</v>
          </cell>
          <cell r="J1258">
            <v>6199.99</v>
          </cell>
          <cell r="K1258">
            <v>8000</v>
          </cell>
          <cell r="L1258">
            <v>6199.99</v>
          </cell>
          <cell r="M1258">
            <v>7200</v>
          </cell>
          <cell r="N1258">
            <v>80</v>
          </cell>
          <cell r="O1258">
            <v>5760</v>
          </cell>
          <cell r="P1258">
            <v>-7.0966243493941077</v>
          </cell>
        </row>
        <row r="1259">
          <cell r="B1259" t="str">
            <v>001-0010753</v>
          </cell>
          <cell r="C1259" t="str">
            <v>3com  3c250T×/1网络设备</v>
          </cell>
          <cell r="D1259" t="str">
            <v>100MHUB</v>
          </cell>
          <cell r="E1259" t="str">
            <v/>
          </cell>
          <cell r="F1259" t="str">
            <v>台</v>
          </cell>
          <cell r="I1259">
            <v>8000</v>
          </cell>
          <cell r="J1259">
            <v>6199.99</v>
          </cell>
          <cell r="K1259">
            <v>8000</v>
          </cell>
          <cell r="L1259">
            <v>6199.99</v>
          </cell>
          <cell r="M1259">
            <v>7200</v>
          </cell>
          <cell r="N1259">
            <v>80</v>
          </cell>
          <cell r="O1259">
            <v>5760</v>
          </cell>
          <cell r="P1259">
            <v>-7.0966243493941077</v>
          </cell>
        </row>
        <row r="1260">
          <cell r="B1260" t="str">
            <v>001-0010754</v>
          </cell>
          <cell r="C1260" t="str">
            <v>3com  3c250T×/1网络设备</v>
          </cell>
          <cell r="D1260" t="str">
            <v>100MHUB</v>
          </cell>
          <cell r="E1260" t="str">
            <v/>
          </cell>
          <cell r="F1260" t="str">
            <v>台</v>
          </cell>
          <cell r="I1260">
            <v>8000</v>
          </cell>
          <cell r="J1260">
            <v>6199.99</v>
          </cell>
          <cell r="K1260">
            <v>8000</v>
          </cell>
          <cell r="L1260">
            <v>6199.99</v>
          </cell>
          <cell r="M1260">
            <v>7200</v>
          </cell>
          <cell r="N1260">
            <v>80</v>
          </cell>
          <cell r="O1260">
            <v>5760</v>
          </cell>
          <cell r="P1260">
            <v>-7.0966243493941077</v>
          </cell>
        </row>
        <row r="1261">
          <cell r="B1261" t="str">
            <v>001-0010757</v>
          </cell>
          <cell r="C1261" t="str">
            <v>配线架</v>
          </cell>
          <cell r="D1261" t="str">
            <v>AT&amp;T  110PB2-300FT</v>
          </cell>
          <cell r="E1261" t="str">
            <v/>
          </cell>
          <cell r="F1261" t="str">
            <v>台</v>
          </cell>
          <cell r="I1261">
            <v>2600</v>
          </cell>
          <cell r="J1261">
            <v>2112.69</v>
          </cell>
          <cell r="K1261">
            <v>2600</v>
          </cell>
          <cell r="L1261">
            <v>2112.69</v>
          </cell>
          <cell r="M1261">
            <v>2400</v>
          </cell>
          <cell r="N1261">
            <v>80</v>
          </cell>
          <cell r="O1261">
            <v>1920</v>
          </cell>
          <cell r="P1261">
            <v>-9.1205998040412961</v>
          </cell>
        </row>
        <row r="1262">
          <cell r="B1262" t="str">
            <v>001-0010758</v>
          </cell>
          <cell r="C1262" t="str">
            <v>配线架</v>
          </cell>
          <cell r="D1262" t="str">
            <v>AT&amp;T  110PB2-300FT</v>
          </cell>
          <cell r="E1262" t="str">
            <v/>
          </cell>
          <cell r="F1262" t="str">
            <v>台</v>
          </cell>
          <cell r="I1262">
            <v>2600</v>
          </cell>
          <cell r="J1262">
            <v>2112.69</v>
          </cell>
          <cell r="K1262">
            <v>2600</v>
          </cell>
          <cell r="L1262">
            <v>2112.69</v>
          </cell>
          <cell r="M1262">
            <v>2400</v>
          </cell>
          <cell r="N1262">
            <v>80</v>
          </cell>
          <cell r="O1262">
            <v>1920</v>
          </cell>
          <cell r="P1262">
            <v>-9.1205998040412961</v>
          </cell>
        </row>
        <row r="1263">
          <cell r="B1263" t="str">
            <v>001-0010759</v>
          </cell>
          <cell r="C1263" t="str">
            <v>配线架</v>
          </cell>
          <cell r="D1263" t="str">
            <v>AT&amp;T  110PB2-300FT</v>
          </cell>
          <cell r="E1263" t="str">
            <v/>
          </cell>
          <cell r="F1263" t="str">
            <v>台</v>
          </cell>
          <cell r="I1263">
            <v>2600</v>
          </cell>
          <cell r="J1263">
            <v>2112.69</v>
          </cell>
          <cell r="K1263">
            <v>2600</v>
          </cell>
          <cell r="L1263">
            <v>2112.69</v>
          </cell>
          <cell r="M1263">
            <v>2400</v>
          </cell>
          <cell r="N1263">
            <v>80</v>
          </cell>
          <cell r="O1263">
            <v>1920</v>
          </cell>
          <cell r="P1263">
            <v>-9.1205998040412961</v>
          </cell>
        </row>
        <row r="1264">
          <cell r="B1264" t="str">
            <v>001-0010764</v>
          </cell>
          <cell r="C1264" t="str">
            <v>3com  3c16940网络设备</v>
          </cell>
          <cell r="D1264" t="str">
            <v>100M  Switch</v>
          </cell>
          <cell r="E1264" t="str">
            <v/>
          </cell>
          <cell r="F1264" t="str">
            <v>台</v>
          </cell>
          <cell r="I1264">
            <v>40000</v>
          </cell>
          <cell r="J1264">
            <v>32502.99</v>
          </cell>
          <cell r="K1264">
            <v>40000</v>
          </cell>
          <cell r="L1264">
            <v>32502.99</v>
          </cell>
          <cell r="M1264">
            <v>38000</v>
          </cell>
          <cell r="N1264">
            <v>80</v>
          </cell>
          <cell r="O1264">
            <v>30400</v>
          </cell>
          <cell r="P1264">
            <v>-6.4701432083632966</v>
          </cell>
        </row>
        <row r="1265">
          <cell r="B1265" t="str">
            <v>001-0010765</v>
          </cell>
          <cell r="C1265" t="str">
            <v>3com  3c16942网络设备</v>
          </cell>
          <cell r="D1265" t="str">
            <v>100M  Switch</v>
          </cell>
          <cell r="E1265" t="str">
            <v/>
          </cell>
          <cell r="F1265" t="str">
            <v>台</v>
          </cell>
          <cell r="I1265">
            <v>20000</v>
          </cell>
          <cell r="J1265">
            <v>16251.51</v>
          </cell>
          <cell r="K1265">
            <v>20000</v>
          </cell>
          <cell r="L1265">
            <v>16251.51</v>
          </cell>
          <cell r="M1265">
            <v>19000</v>
          </cell>
          <cell r="N1265">
            <v>80</v>
          </cell>
          <cell r="O1265">
            <v>15200</v>
          </cell>
          <cell r="P1265">
            <v>-6.4702295355939246</v>
          </cell>
        </row>
        <row r="1266">
          <cell r="B1266" t="str">
            <v>001-0010767</v>
          </cell>
          <cell r="C1266" t="str">
            <v>3com  3c16900网络设备</v>
          </cell>
          <cell r="D1266" t="str">
            <v>10M  Switch</v>
          </cell>
          <cell r="E1266" t="str">
            <v/>
          </cell>
          <cell r="F1266" t="str">
            <v>台</v>
          </cell>
          <cell r="I1266">
            <v>15000</v>
          </cell>
          <cell r="J1266">
            <v>12188.61</v>
          </cell>
          <cell r="K1266">
            <v>15000</v>
          </cell>
          <cell r="L1266">
            <v>12188.61</v>
          </cell>
          <cell r="M1266">
            <v>14000</v>
          </cell>
          <cell r="N1266">
            <v>80</v>
          </cell>
          <cell r="O1266">
            <v>11200</v>
          </cell>
          <cell r="P1266">
            <v>-8.1109330760439491</v>
          </cell>
        </row>
        <row r="1267">
          <cell r="B1267" t="str">
            <v>001-0010772</v>
          </cell>
          <cell r="C1267" t="str">
            <v>光纤模块</v>
          </cell>
          <cell r="D1267" t="str">
            <v>3com  3c262</v>
          </cell>
          <cell r="E1267" t="str">
            <v/>
          </cell>
          <cell r="F1267" t="str">
            <v>台</v>
          </cell>
          <cell r="I1267">
            <v>5200</v>
          </cell>
          <cell r="J1267">
            <v>4225.38</v>
          </cell>
          <cell r="K1267">
            <v>5200</v>
          </cell>
          <cell r="L1267">
            <v>4225.38</v>
          </cell>
          <cell r="M1267">
            <v>5000</v>
          </cell>
          <cell r="N1267">
            <v>80</v>
          </cell>
          <cell r="O1267">
            <v>4000</v>
          </cell>
          <cell r="P1267">
            <v>-5.3339581292096829</v>
          </cell>
        </row>
        <row r="1268">
          <cell r="B1268" t="str">
            <v>001-0010773</v>
          </cell>
          <cell r="C1268" t="str">
            <v>光纤模块</v>
          </cell>
          <cell r="D1268" t="str">
            <v>3com  3c262</v>
          </cell>
          <cell r="E1268" t="str">
            <v/>
          </cell>
          <cell r="F1268" t="str">
            <v>台</v>
          </cell>
          <cell r="I1268">
            <v>5200</v>
          </cell>
          <cell r="J1268">
            <v>4225.38</v>
          </cell>
          <cell r="K1268">
            <v>5200</v>
          </cell>
          <cell r="L1268">
            <v>4225.38</v>
          </cell>
          <cell r="M1268">
            <v>5000</v>
          </cell>
          <cell r="N1268">
            <v>80</v>
          </cell>
          <cell r="O1268">
            <v>4000</v>
          </cell>
          <cell r="P1268">
            <v>-5.3339581292096829</v>
          </cell>
        </row>
        <row r="1269">
          <cell r="B1269" t="str">
            <v>001-0010774</v>
          </cell>
          <cell r="C1269" t="str">
            <v>光纤模块</v>
          </cell>
          <cell r="D1269" t="str">
            <v>3com  3c262</v>
          </cell>
          <cell r="E1269" t="str">
            <v/>
          </cell>
          <cell r="F1269" t="str">
            <v>台</v>
          </cell>
          <cell r="I1269">
            <v>5200</v>
          </cell>
          <cell r="J1269">
            <v>4225.38</v>
          </cell>
          <cell r="K1269">
            <v>5200</v>
          </cell>
          <cell r="L1269">
            <v>4225.38</v>
          </cell>
          <cell r="M1269">
            <v>5000</v>
          </cell>
          <cell r="N1269">
            <v>80</v>
          </cell>
          <cell r="O1269">
            <v>4000</v>
          </cell>
          <cell r="P1269">
            <v>-5.3339581292096829</v>
          </cell>
        </row>
        <row r="1270">
          <cell r="B1270" t="str">
            <v>001-0010775</v>
          </cell>
          <cell r="C1270" t="str">
            <v>光纤模块</v>
          </cell>
          <cell r="D1270" t="str">
            <v>3com  3c262</v>
          </cell>
          <cell r="E1270" t="str">
            <v/>
          </cell>
          <cell r="F1270" t="str">
            <v>台</v>
          </cell>
          <cell r="I1270">
            <v>5200</v>
          </cell>
          <cell r="J1270">
            <v>4225.38</v>
          </cell>
          <cell r="K1270">
            <v>5200</v>
          </cell>
          <cell r="L1270">
            <v>4225.38</v>
          </cell>
          <cell r="M1270">
            <v>5000</v>
          </cell>
          <cell r="N1270">
            <v>80</v>
          </cell>
          <cell r="O1270">
            <v>4000</v>
          </cell>
          <cell r="P1270">
            <v>-5.3339581292096829</v>
          </cell>
        </row>
        <row r="1271">
          <cell r="B1271" t="str">
            <v>001-0010776</v>
          </cell>
          <cell r="C1271" t="str">
            <v>光纤模块</v>
          </cell>
          <cell r="D1271" t="str">
            <v>3com  3c262</v>
          </cell>
          <cell r="E1271" t="str">
            <v/>
          </cell>
          <cell r="F1271" t="str">
            <v>台</v>
          </cell>
          <cell r="I1271">
            <v>5200</v>
          </cell>
          <cell r="J1271">
            <v>4225.38</v>
          </cell>
          <cell r="K1271">
            <v>5200</v>
          </cell>
          <cell r="L1271">
            <v>4225.38</v>
          </cell>
          <cell r="M1271">
            <v>5000</v>
          </cell>
          <cell r="N1271">
            <v>80</v>
          </cell>
          <cell r="O1271">
            <v>4000</v>
          </cell>
          <cell r="P1271">
            <v>-5.3339581292096829</v>
          </cell>
        </row>
        <row r="1272">
          <cell r="B1272" t="str">
            <v>001-0010780</v>
          </cell>
          <cell r="C1272" t="str">
            <v>扫描仪</v>
          </cell>
          <cell r="D1272" t="str">
            <v>HP Scaner  4C</v>
          </cell>
          <cell r="E1272" t="str">
            <v/>
          </cell>
          <cell r="F1272" t="str">
            <v>台</v>
          </cell>
          <cell r="I1272">
            <v>8400</v>
          </cell>
          <cell r="J1272">
            <v>7050.54</v>
          </cell>
          <cell r="K1272">
            <v>8400</v>
          </cell>
          <cell r="L1272">
            <v>7050.54</v>
          </cell>
          <cell r="M1272">
            <v>8000</v>
          </cell>
          <cell r="N1272">
            <v>80</v>
          </cell>
          <cell r="O1272">
            <v>6400</v>
          </cell>
          <cell r="P1272">
            <v>-9.226810996037182</v>
          </cell>
        </row>
        <row r="1273">
          <cell r="C1273" t="str">
            <v>（水工）</v>
          </cell>
        </row>
        <row r="1274">
          <cell r="B1274" t="str">
            <v>001-0002957</v>
          </cell>
          <cell r="C1274" t="str">
            <v>松下柜式空调</v>
          </cell>
          <cell r="D1274" t="str">
            <v>CXBH VSN</v>
          </cell>
          <cell r="E1274" t="str">
            <v>松下</v>
          </cell>
          <cell r="F1274" t="str">
            <v>台</v>
          </cell>
          <cell r="G1274" t="str">
            <v>199003</v>
          </cell>
          <cell r="H1274" t="str">
            <v>199003</v>
          </cell>
          <cell r="I1274">
            <v>27282.99</v>
          </cell>
          <cell r="J1274">
            <v>3419.93</v>
          </cell>
          <cell r="K1274">
            <v>27282.99</v>
          </cell>
          <cell r="L1274">
            <v>3419.93</v>
          </cell>
          <cell r="M1274">
            <v>0</v>
          </cell>
          <cell r="O1274">
            <v>0</v>
          </cell>
          <cell r="P1274">
            <v>-100</v>
          </cell>
          <cell r="Q1274" t="str">
            <v>报废</v>
          </cell>
        </row>
        <row r="1275">
          <cell r="B1275" t="str">
            <v>001-0002958</v>
          </cell>
          <cell r="C1275" t="str">
            <v>松下柜式空调</v>
          </cell>
          <cell r="D1275" t="str">
            <v>CXBH VSN</v>
          </cell>
          <cell r="E1275" t="str">
            <v>松下</v>
          </cell>
          <cell r="F1275" t="str">
            <v>台</v>
          </cell>
          <cell r="G1275" t="str">
            <v>199003</v>
          </cell>
          <cell r="H1275" t="str">
            <v>199003</v>
          </cell>
          <cell r="I1275">
            <v>27282.99</v>
          </cell>
          <cell r="J1275">
            <v>3419.93</v>
          </cell>
          <cell r="K1275">
            <v>27282.99</v>
          </cell>
          <cell r="L1275">
            <v>3419.93</v>
          </cell>
          <cell r="M1275">
            <v>0</v>
          </cell>
          <cell r="O1275">
            <v>0</v>
          </cell>
          <cell r="P1275">
            <v>-100</v>
          </cell>
          <cell r="Q1275" t="str">
            <v>报废</v>
          </cell>
        </row>
        <row r="1276">
          <cell r="B1276" t="str">
            <v>001-0003945</v>
          </cell>
          <cell r="C1276" t="str">
            <v>经纬仪</v>
          </cell>
          <cell r="D1276" t="str">
            <v>010B</v>
          </cell>
          <cell r="F1276" t="str">
            <v>台</v>
          </cell>
          <cell r="I1276">
            <v>42656.9</v>
          </cell>
          <cell r="J1276">
            <v>5939.26</v>
          </cell>
          <cell r="K1276">
            <v>42656.9</v>
          </cell>
          <cell r="L1276">
            <v>5939.26</v>
          </cell>
          <cell r="M1276">
            <v>0</v>
          </cell>
          <cell r="O1276">
            <v>0</v>
          </cell>
          <cell r="P1276">
            <v>-100</v>
          </cell>
          <cell r="Q1276" t="str">
            <v>报废</v>
          </cell>
        </row>
        <row r="1277">
          <cell r="B1277" t="str">
            <v>001-0004242</v>
          </cell>
          <cell r="C1277" t="str">
            <v>复印机</v>
          </cell>
          <cell r="D1277" t="str">
            <v>FT-4490</v>
          </cell>
          <cell r="F1277" t="str">
            <v>台</v>
          </cell>
          <cell r="I1277">
            <v>45500.69</v>
          </cell>
          <cell r="J1277">
            <v>24168.45</v>
          </cell>
          <cell r="K1277">
            <v>45500.69</v>
          </cell>
          <cell r="L1277">
            <v>24168.45</v>
          </cell>
          <cell r="M1277">
            <v>34000</v>
          </cell>
          <cell r="N1277">
            <v>50</v>
          </cell>
          <cell r="O1277">
            <v>17000</v>
          </cell>
          <cell r="P1277">
            <v>-29.66036299390321</v>
          </cell>
        </row>
        <row r="1278">
          <cell r="B1278" t="str">
            <v>001-0004767</v>
          </cell>
          <cell r="C1278" t="str">
            <v>相机（包括变焦镜闪光灯）</v>
          </cell>
          <cell r="D1278" t="str">
            <v>理光XR-10MD</v>
          </cell>
          <cell r="E1278" t="str">
            <v>理光</v>
          </cell>
          <cell r="F1278" t="str">
            <v>台</v>
          </cell>
          <cell r="G1278" t="str">
            <v>199102</v>
          </cell>
          <cell r="H1278" t="str">
            <v>199102</v>
          </cell>
          <cell r="I1278">
            <v>5926.45</v>
          </cell>
          <cell r="J1278">
            <v>1906.54</v>
          </cell>
          <cell r="K1278">
            <v>5926.45</v>
          </cell>
          <cell r="L1278">
            <v>1906.54</v>
          </cell>
          <cell r="M1278">
            <v>0</v>
          </cell>
          <cell r="O1278">
            <v>0</v>
          </cell>
          <cell r="P1278">
            <v>-100</v>
          </cell>
          <cell r="Q1278" t="str">
            <v>报废</v>
          </cell>
        </row>
        <row r="1279">
          <cell r="B1279" t="str">
            <v>001-0004883</v>
          </cell>
          <cell r="C1279" t="str">
            <v>标准绘图架</v>
          </cell>
          <cell r="D1279" t="str">
            <v>MA-1型</v>
          </cell>
          <cell r="F1279" t="str">
            <v>台</v>
          </cell>
          <cell r="I1279">
            <v>1968.33</v>
          </cell>
          <cell r="J1279">
            <v>1005.81</v>
          </cell>
          <cell r="K1279">
            <v>1968.33</v>
          </cell>
          <cell r="L1279">
            <v>1005.81</v>
          </cell>
          <cell r="M1279">
            <v>1500</v>
          </cell>
          <cell r="N1279">
            <v>50</v>
          </cell>
          <cell r="O1279">
            <v>750</v>
          </cell>
          <cell r="P1279">
            <v>-25.433232916753656</v>
          </cell>
        </row>
        <row r="1280">
          <cell r="B1280" t="str">
            <v>001-0005170</v>
          </cell>
          <cell r="C1280" t="str">
            <v>计算机</v>
          </cell>
          <cell r="D1280" t="str">
            <v>便携式   PC-Z500</v>
          </cell>
          <cell r="F1280" t="str">
            <v>台</v>
          </cell>
          <cell r="I1280">
            <v>4000</v>
          </cell>
          <cell r="J1280">
            <v>500.01</v>
          </cell>
          <cell r="K1280">
            <v>4000</v>
          </cell>
          <cell r="L1280">
            <v>500.01</v>
          </cell>
          <cell r="M1280">
            <v>500</v>
          </cell>
          <cell r="N1280">
            <v>100</v>
          </cell>
          <cell r="O1280">
            <v>500</v>
          </cell>
          <cell r="P1280">
            <v>-1.9999600007981648E-3</v>
          </cell>
        </row>
        <row r="1281">
          <cell r="B1281" t="str">
            <v>001-0005344</v>
          </cell>
          <cell r="C1281" t="str">
            <v>大坝模型</v>
          </cell>
          <cell r="D1281" t="str">
            <v/>
          </cell>
          <cell r="F1281" t="str">
            <v>台</v>
          </cell>
          <cell r="I1281">
            <v>2000</v>
          </cell>
          <cell r="J1281">
            <v>597.79</v>
          </cell>
          <cell r="K1281">
            <v>2000</v>
          </cell>
          <cell r="L1281">
            <v>597.79</v>
          </cell>
          <cell r="M1281">
            <v>500</v>
          </cell>
          <cell r="N1281">
            <v>100</v>
          </cell>
          <cell r="O1281">
            <v>500</v>
          </cell>
          <cell r="P1281">
            <v>-16.358587463825085</v>
          </cell>
        </row>
        <row r="1282">
          <cell r="B1282" t="str">
            <v>001-0005524</v>
          </cell>
          <cell r="C1282" t="str">
            <v>显示器</v>
          </cell>
          <cell r="D1282" t="str">
            <v>TVG1024*708</v>
          </cell>
          <cell r="F1282" t="str">
            <v>台</v>
          </cell>
          <cell r="I1282">
            <v>3000</v>
          </cell>
          <cell r="J1282">
            <v>550</v>
          </cell>
          <cell r="K1282">
            <v>3000</v>
          </cell>
          <cell r="L1282">
            <v>550</v>
          </cell>
          <cell r="M1282">
            <v>500</v>
          </cell>
          <cell r="N1282">
            <v>100</v>
          </cell>
          <cell r="O1282">
            <v>500</v>
          </cell>
          <cell r="P1282">
            <v>-9.0909090909090917</v>
          </cell>
        </row>
        <row r="1283">
          <cell r="B1283" t="str">
            <v>001-0005525</v>
          </cell>
          <cell r="C1283" t="str">
            <v>显示器</v>
          </cell>
          <cell r="D1283" t="str">
            <v>TVG1024*708</v>
          </cell>
          <cell r="F1283" t="str">
            <v>台</v>
          </cell>
          <cell r="I1283">
            <v>3000</v>
          </cell>
          <cell r="J1283">
            <v>550</v>
          </cell>
          <cell r="K1283">
            <v>3000</v>
          </cell>
          <cell r="L1283">
            <v>550</v>
          </cell>
          <cell r="M1283">
            <v>500</v>
          </cell>
          <cell r="N1283">
            <v>100</v>
          </cell>
          <cell r="O1283">
            <v>500</v>
          </cell>
          <cell r="P1283">
            <v>-9.0909090909090917</v>
          </cell>
        </row>
        <row r="1284">
          <cell r="B1284" t="str">
            <v>001-0005858</v>
          </cell>
          <cell r="C1284" t="str">
            <v>电脑话务员</v>
          </cell>
          <cell r="D1284" t="str">
            <v>DD-900</v>
          </cell>
          <cell r="F1284" t="str">
            <v>台</v>
          </cell>
          <cell r="I1284">
            <v>9322</v>
          </cell>
          <cell r="J1284">
            <v>5865.1</v>
          </cell>
          <cell r="K1284">
            <v>9322</v>
          </cell>
          <cell r="L1284">
            <v>5865.1</v>
          </cell>
          <cell r="M1284">
            <v>900</v>
          </cell>
          <cell r="N1284">
            <v>60</v>
          </cell>
          <cell r="O1284">
            <v>540</v>
          </cell>
          <cell r="P1284">
            <v>-90.792995856848137</v>
          </cell>
        </row>
        <row r="1285">
          <cell r="B1285" t="str">
            <v>001-0005859</v>
          </cell>
          <cell r="C1285" t="str">
            <v>电脑话务员</v>
          </cell>
          <cell r="D1285" t="str">
            <v>DD-900</v>
          </cell>
          <cell r="F1285" t="str">
            <v>台</v>
          </cell>
          <cell r="I1285">
            <v>9322</v>
          </cell>
          <cell r="J1285">
            <v>5865.1</v>
          </cell>
          <cell r="K1285">
            <v>9322</v>
          </cell>
          <cell r="L1285">
            <v>5865.1</v>
          </cell>
          <cell r="M1285">
            <v>900</v>
          </cell>
          <cell r="N1285">
            <v>60</v>
          </cell>
          <cell r="O1285">
            <v>540</v>
          </cell>
          <cell r="P1285">
            <v>-90.792995856848137</v>
          </cell>
        </row>
        <row r="1286">
          <cell r="B1286" t="str">
            <v>001-0006798</v>
          </cell>
          <cell r="C1286" t="str">
            <v>电冰箱</v>
          </cell>
          <cell r="D1286" t="str">
            <v>0.4立方米</v>
          </cell>
          <cell r="F1286" t="str">
            <v>台</v>
          </cell>
          <cell r="I1286">
            <v>6033</v>
          </cell>
          <cell r="J1286">
            <v>4088.6</v>
          </cell>
          <cell r="K1286">
            <v>6033</v>
          </cell>
          <cell r="L1286">
            <v>4088.6</v>
          </cell>
          <cell r="M1286">
            <v>5000</v>
          </cell>
          <cell r="N1286">
            <v>60</v>
          </cell>
          <cell r="O1286">
            <v>3000</v>
          </cell>
          <cell r="P1286">
            <v>-26.625250697060114</v>
          </cell>
        </row>
        <row r="1287">
          <cell r="B1287" t="str">
            <v>001-0006799</v>
          </cell>
          <cell r="C1287" t="str">
            <v>电烤饼机</v>
          </cell>
          <cell r="D1287" t="str">
            <v/>
          </cell>
          <cell r="F1287" t="str">
            <v>台</v>
          </cell>
          <cell r="I1287">
            <v>2423</v>
          </cell>
          <cell r="J1287">
            <v>1642.08</v>
          </cell>
          <cell r="K1287">
            <v>2423</v>
          </cell>
          <cell r="L1287">
            <v>1642.08</v>
          </cell>
          <cell r="M1287">
            <v>2000</v>
          </cell>
          <cell r="N1287">
            <v>60</v>
          </cell>
          <cell r="O1287">
            <v>1200</v>
          </cell>
          <cell r="P1287">
            <v>-26.921952645425311</v>
          </cell>
        </row>
        <row r="1288">
          <cell r="B1288" t="str">
            <v>001-0006800</v>
          </cell>
          <cell r="C1288" t="str">
            <v>电烤箱</v>
          </cell>
          <cell r="D1288" t="str">
            <v/>
          </cell>
          <cell r="F1288" t="str">
            <v>台</v>
          </cell>
          <cell r="I1288">
            <v>5460</v>
          </cell>
          <cell r="J1288">
            <v>3700.29</v>
          </cell>
          <cell r="K1288">
            <v>5460</v>
          </cell>
          <cell r="L1288">
            <v>3700.29</v>
          </cell>
          <cell r="M1288">
            <v>4500</v>
          </cell>
          <cell r="N1288">
            <v>60</v>
          </cell>
          <cell r="O1288">
            <v>2700</v>
          </cell>
          <cell r="P1288">
            <v>-27.032746082063834</v>
          </cell>
        </row>
        <row r="1289">
          <cell r="B1289" t="str">
            <v>001-0006801</v>
          </cell>
          <cell r="C1289" t="str">
            <v>合面机</v>
          </cell>
          <cell r="D1289" t="str">
            <v>25型</v>
          </cell>
          <cell r="F1289" t="str">
            <v>台</v>
          </cell>
          <cell r="I1289">
            <v>2470</v>
          </cell>
          <cell r="J1289">
            <v>1673.92</v>
          </cell>
          <cell r="K1289">
            <v>2470</v>
          </cell>
          <cell r="L1289">
            <v>1673.92</v>
          </cell>
          <cell r="M1289">
            <v>2400</v>
          </cell>
          <cell r="N1289">
            <v>60</v>
          </cell>
          <cell r="O1289">
            <v>1440</v>
          </cell>
          <cell r="P1289">
            <v>-13.974383483081631</v>
          </cell>
        </row>
        <row r="1290">
          <cell r="B1290" t="str">
            <v>001-0006802</v>
          </cell>
          <cell r="C1290" t="str">
            <v>蒸饭车</v>
          </cell>
          <cell r="D1290" t="str">
            <v>100型</v>
          </cell>
          <cell r="F1290" t="str">
            <v>台</v>
          </cell>
          <cell r="I1290">
            <v>4275</v>
          </cell>
          <cell r="J1290">
            <v>2897.2</v>
          </cell>
          <cell r="K1290">
            <v>4275</v>
          </cell>
          <cell r="L1290">
            <v>2897.2</v>
          </cell>
          <cell r="M1290">
            <v>4200</v>
          </cell>
          <cell r="N1290">
            <v>60</v>
          </cell>
          <cell r="O1290">
            <v>2520</v>
          </cell>
          <cell r="P1290">
            <v>-13.019467071655386</v>
          </cell>
        </row>
        <row r="1291">
          <cell r="B1291" t="str">
            <v>001-0006803</v>
          </cell>
          <cell r="C1291" t="str">
            <v>消毒柜</v>
          </cell>
          <cell r="D1291" t="str">
            <v>250型</v>
          </cell>
          <cell r="F1291" t="str">
            <v>台</v>
          </cell>
          <cell r="I1291">
            <v>2850</v>
          </cell>
          <cell r="J1291">
            <v>1931.45</v>
          </cell>
          <cell r="K1291">
            <v>2850</v>
          </cell>
          <cell r="L1291">
            <v>1931.45</v>
          </cell>
          <cell r="M1291">
            <v>2200</v>
          </cell>
          <cell r="N1291">
            <v>60</v>
          </cell>
          <cell r="O1291">
            <v>1320</v>
          </cell>
          <cell r="P1291">
            <v>-31.657562970825033</v>
          </cell>
        </row>
        <row r="1292">
          <cell r="B1292" t="str">
            <v>001-0006804</v>
          </cell>
          <cell r="C1292" t="str">
            <v>开水器</v>
          </cell>
          <cell r="D1292" t="str">
            <v/>
          </cell>
          <cell r="F1292" t="str">
            <v>台</v>
          </cell>
          <cell r="I1292">
            <v>2780</v>
          </cell>
          <cell r="J1292">
            <v>1884.03</v>
          </cell>
          <cell r="K1292">
            <v>2780</v>
          </cell>
          <cell r="L1292">
            <v>1884.03</v>
          </cell>
          <cell r="M1292">
            <v>2400</v>
          </cell>
          <cell r="N1292">
            <v>60</v>
          </cell>
          <cell r="O1292">
            <v>1440</v>
          </cell>
          <cell r="P1292">
            <v>-23.568096049425964</v>
          </cell>
        </row>
        <row r="1293">
          <cell r="B1293" t="str">
            <v>001-0006805</v>
          </cell>
          <cell r="C1293" t="str">
            <v>绞肉机</v>
          </cell>
          <cell r="D1293" t="str">
            <v>27型</v>
          </cell>
          <cell r="F1293" t="str">
            <v>台</v>
          </cell>
          <cell r="I1293">
            <v>2133</v>
          </cell>
          <cell r="J1293">
            <v>1445.55</v>
          </cell>
          <cell r="K1293">
            <v>2133</v>
          </cell>
          <cell r="L1293">
            <v>1445.55</v>
          </cell>
          <cell r="M1293">
            <v>2100</v>
          </cell>
          <cell r="N1293">
            <v>60</v>
          </cell>
          <cell r="O1293">
            <v>1260</v>
          </cell>
          <cell r="P1293">
            <v>-12.835944796098367</v>
          </cell>
        </row>
        <row r="1294">
          <cell r="B1294" t="str">
            <v>001-0006924</v>
          </cell>
          <cell r="C1294" t="str">
            <v>彩电</v>
          </cell>
          <cell r="D1294" t="str">
            <v>康佳2910</v>
          </cell>
          <cell r="F1294" t="str">
            <v>台</v>
          </cell>
          <cell r="I1294">
            <v>8558</v>
          </cell>
          <cell r="J1294">
            <v>1158.8800000000001</v>
          </cell>
          <cell r="K1294">
            <v>8558</v>
          </cell>
          <cell r="L1294">
            <v>1158.8800000000001</v>
          </cell>
          <cell r="M1294">
            <v>2500</v>
          </cell>
          <cell r="N1294">
            <v>20</v>
          </cell>
          <cell r="O1294">
            <v>500</v>
          </cell>
          <cell r="P1294">
            <v>-56.854894380781452</v>
          </cell>
        </row>
        <row r="1295">
          <cell r="B1295" t="str">
            <v>001-0006925</v>
          </cell>
          <cell r="C1295" t="str">
            <v>彩电</v>
          </cell>
          <cell r="D1295" t="str">
            <v>康佳2910</v>
          </cell>
          <cell r="F1295" t="str">
            <v>台</v>
          </cell>
          <cell r="I1295">
            <v>8558</v>
          </cell>
          <cell r="J1295">
            <v>1158.8800000000001</v>
          </cell>
          <cell r="K1295">
            <v>8558</v>
          </cell>
          <cell r="L1295">
            <v>1158.8800000000001</v>
          </cell>
          <cell r="M1295">
            <v>2500</v>
          </cell>
          <cell r="N1295">
            <v>20</v>
          </cell>
          <cell r="O1295">
            <v>500</v>
          </cell>
          <cell r="P1295">
            <v>-56.854894380781452</v>
          </cell>
        </row>
        <row r="1296">
          <cell r="B1296" t="str">
            <v>001-0006977</v>
          </cell>
          <cell r="C1296" t="str">
            <v>音响</v>
          </cell>
          <cell r="D1296" t="str">
            <v/>
          </cell>
          <cell r="F1296" t="str">
            <v>台</v>
          </cell>
          <cell r="I1296">
            <v>44000</v>
          </cell>
          <cell r="J1296">
            <v>6875.01</v>
          </cell>
          <cell r="K1296">
            <v>44000</v>
          </cell>
          <cell r="L1296">
            <v>6875.01</v>
          </cell>
          <cell r="M1296">
            <v>15000</v>
          </cell>
          <cell r="N1296">
            <v>15</v>
          </cell>
          <cell r="O1296">
            <v>2250</v>
          </cell>
          <cell r="P1296">
            <v>-67.272774875963819</v>
          </cell>
        </row>
        <row r="1297">
          <cell r="B1297" t="str">
            <v>001-0007140</v>
          </cell>
          <cell r="C1297" t="str">
            <v>电热水器</v>
          </cell>
          <cell r="D1297" t="str">
            <v/>
          </cell>
          <cell r="E1297" t="str">
            <v>阿里斯顿</v>
          </cell>
          <cell r="F1297" t="str">
            <v>台</v>
          </cell>
          <cell r="G1297" t="str">
            <v>199704</v>
          </cell>
          <cell r="H1297" t="str">
            <v>199704</v>
          </cell>
          <cell r="I1297">
            <v>3500</v>
          </cell>
          <cell r="J1297">
            <v>1833.98</v>
          </cell>
          <cell r="K1297">
            <v>3500</v>
          </cell>
          <cell r="L1297">
            <v>1833.98</v>
          </cell>
          <cell r="M1297">
            <v>2000</v>
          </cell>
          <cell r="N1297">
            <v>50</v>
          </cell>
          <cell r="O1297">
            <v>1000</v>
          </cell>
          <cell r="P1297">
            <v>-45.473778340003705</v>
          </cell>
        </row>
        <row r="1298">
          <cell r="B1298" t="str">
            <v>001-0007141</v>
          </cell>
          <cell r="C1298" t="str">
            <v>电热水器</v>
          </cell>
          <cell r="D1298" t="str">
            <v/>
          </cell>
          <cell r="E1298" t="str">
            <v>阿里斯顿</v>
          </cell>
          <cell r="F1298" t="str">
            <v>台</v>
          </cell>
          <cell r="G1298" t="str">
            <v>199704</v>
          </cell>
          <cell r="H1298" t="str">
            <v>199704</v>
          </cell>
          <cell r="I1298">
            <v>3500</v>
          </cell>
          <cell r="J1298">
            <v>1833.98</v>
          </cell>
          <cell r="K1298">
            <v>3500</v>
          </cell>
          <cell r="L1298">
            <v>1833.98</v>
          </cell>
          <cell r="M1298">
            <v>2000</v>
          </cell>
          <cell r="N1298">
            <v>50</v>
          </cell>
          <cell r="O1298">
            <v>1000</v>
          </cell>
          <cell r="P1298">
            <v>-45.473778340003705</v>
          </cell>
        </row>
        <row r="1299">
          <cell r="B1299" t="str">
            <v>001-0007403</v>
          </cell>
          <cell r="C1299" t="str">
            <v>计算机</v>
          </cell>
          <cell r="D1299" t="str">
            <v/>
          </cell>
          <cell r="F1299" t="str">
            <v>台</v>
          </cell>
          <cell r="I1299">
            <v>57100</v>
          </cell>
          <cell r="J1299">
            <v>26579.57</v>
          </cell>
          <cell r="K1299">
            <v>57100</v>
          </cell>
          <cell r="L1299">
            <v>26579.57</v>
          </cell>
          <cell r="M1299">
            <v>15000</v>
          </cell>
          <cell r="N1299">
            <v>30</v>
          </cell>
          <cell r="O1299">
            <v>4500</v>
          </cell>
          <cell r="P1299">
            <v>-83.069703535459752</v>
          </cell>
        </row>
        <row r="1300">
          <cell r="B1300" t="str">
            <v>001-0007419</v>
          </cell>
          <cell r="C1300" t="str">
            <v>打印机</v>
          </cell>
          <cell r="D1300" t="str">
            <v/>
          </cell>
          <cell r="F1300" t="str">
            <v>台</v>
          </cell>
          <cell r="I1300">
            <v>4100</v>
          </cell>
          <cell r="J1300">
            <v>1908.52</v>
          </cell>
          <cell r="K1300">
            <v>4100</v>
          </cell>
          <cell r="L1300">
            <v>1908.52</v>
          </cell>
          <cell r="M1300">
            <v>3200</v>
          </cell>
          <cell r="N1300">
            <v>15</v>
          </cell>
          <cell r="O1300">
            <v>480</v>
          </cell>
          <cell r="P1300">
            <v>-74.849621696393015</v>
          </cell>
        </row>
        <row r="1301">
          <cell r="B1301" t="str">
            <v>001-0011161</v>
          </cell>
          <cell r="C1301" t="str">
            <v>中心站计算机</v>
          </cell>
          <cell r="D1301" t="str">
            <v>奔Ⅲ 128M内存 6G硬盘</v>
          </cell>
          <cell r="F1301" t="str">
            <v>台</v>
          </cell>
          <cell r="I1301">
            <v>10000</v>
          </cell>
          <cell r="J1301">
            <v>7750.01</v>
          </cell>
          <cell r="K1301">
            <v>10000</v>
          </cell>
          <cell r="L1301">
            <v>7750.01</v>
          </cell>
          <cell r="M1301">
            <v>6000</v>
          </cell>
          <cell r="N1301">
            <v>40</v>
          </cell>
          <cell r="O1301">
            <v>2400</v>
          </cell>
          <cell r="P1301">
            <v>-69.03229802284126</v>
          </cell>
        </row>
        <row r="1302">
          <cell r="B1302" t="str">
            <v>001-0011162</v>
          </cell>
          <cell r="C1302" t="str">
            <v>工作站</v>
          </cell>
          <cell r="D1302" t="str">
            <v>HPKAYAK</v>
          </cell>
          <cell r="F1302" t="str">
            <v>台</v>
          </cell>
          <cell r="I1302">
            <v>48150</v>
          </cell>
          <cell r="J1302">
            <v>37316.25</v>
          </cell>
          <cell r="K1302">
            <v>48150</v>
          </cell>
          <cell r="L1302">
            <v>37316.25</v>
          </cell>
          <cell r="M1302">
            <v>22000</v>
          </cell>
          <cell r="N1302">
            <v>50</v>
          </cell>
          <cell r="O1302">
            <v>11000</v>
          </cell>
          <cell r="P1302">
            <v>-70.522225571969315</v>
          </cell>
        </row>
        <row r="1303">
          <cell r="B1303" t="str">
            <v>001-0011163</v>
          </cell>
          <cell r="C1303" t="str">
            <v>光盘刻录机</v>
          </cell>
          <cell r="D1303" t="str">
            <v>HP8100</v>
          </cell>
          <cell r="E1303" t="str">
            <v>惠普</v>
          </cell>
          <cell r="F1303" t="str">
            <v>台</v>
          </cell>
          <cell r="G1303" t="str">
            <v>199910</v>
          </cell>
          <cell r="H1303" t="str">
            <v>199910</v>
          </cell>
          <cell r="I1303">
            <v>4500</v>
          </cell>
          <cell r="J1303">
            <v>3487.5</v>
          </cell>
          <cell r="K1303">
            <v>4500</v>
          </cell>
          <cell r="L1303">
            <v>3487.5</v>
          </cell>
          <cell r="M1303">
            <v>4000</v>
          </cell>
          <cell r="N1303">
            <v>60</v>
          </cell>
          <cell r="O1303">
            <v>2400</v>
          </cell>
          <cell r="P1303">
            <v>-31.182795698924732</v>
          </cell>
        </row>
        <row r="1304">
          <cell r="B1304" t="str">
            <v>001-0011164</v>
          </cell>
          <cell r="C1304" t="str">
            <v>打印机</v>
          </cell>
          <cell r="D1304" t="str">
            <v>激光  N2000K A3</v>
          </cell>
          <cell r="F1304" t="str">
            <v>台</v>
          </cell>
          <cell r="I1304">
            <v>14700</v>
          </cell>
          <cell r="J1304">
            <v>11392.5</v>
          </cell>
          <cell r="K1304">
            <v>14700</v>
          </cell>
          <cell r="L1304">
            <v>11392.5</v>
          </cell>
          <cell r="M1304">
            <v>10000</v>
          </cell>
          <cell r="N1304">
            <v>60</v>
          </cell>
          <cell r="O1304">
            <v>6000</v>
          </cell>
          <cell r="P1304">
            <v>-47.333772218564846</v>
          </cell>
        </row>
        <row r="1305">
          <cell r="B1305" t="str">
            <v>001-0011165</v>
          </cell>
          <cell r="C1305" t="str">
            <v>PC机</v>
          </cell>
          <cell r="D1305" t="str">
            <v>Pentium</v>
          </cell>
          <cell r="F1305" t="str">
            <v>台</v>
          </cell>
          <cell r="I1305">
            <v>39650</v>
          </cell>
          <cell r="J1305">
            <v>30728.74</v>
          </cell>
          <cell r="K1305">
            <v>39650</v>
          </cell>
          <cell r="L1305">
            <v>30728.74</v>
          </cell>
          <cell r="M1305">
            <v>1000</v>
          </cell>
          <cell r="N1305">
            <v>100</v>
          </cell>
          <cell r="O1305">
            <v>1000</v>
          </cell>
          <cell r="P1305">
            <v>-96.745717526979618</v>
          </cell>
        </row>
        <row r="1306">
          <cell r="B1306" t="str">
            <v>001-0011166</v>
          </cell>
          <cell r="C1306" t="str">
            <v>工作站</v>
          </cell>
          <cell r="D1306" t="str">
            <v>HPKAYAK  PentiumⅡ 300CPU</v>
          </cell>
          <cell r="F1306" t="str">
            <v>台</v>
          </cell>
          <cell r="I1306">
            <v>28750</v>
          </cell>
          <cell r="J1306">
            <v>22281.26</v>
          </cell>
          <cell r="K1306">
            <v>28750</v>
          </cell>
          <cell r="L1306">
            <v>22281.26</v>
          </cell>
          <cell r="M1306">
            <v>22000</v>
          </cell>
          <cell r="N1306">
            <v>60</v>
          </cell>
          <cell r="O1306">
            <v>13200</v>
          </cell>
          <cell r="P1306">
            <v>-40.757389842405679</v>
          </cell>
        </row>
        <row r="1307">
          <cell r="B1307" t="str">
            <v>001-0011167</v>
          </cell>
          <cell r="C1307" t="str">
            <v>光盘刻录机</v>
          </cell>
          <cell r="D1307" t="str">
            <v>HP8100</v>
          </cell>
          <cell r="E1307" t="str">
            <v>惠普</v>
          </cell>
          <cell r="F1307" t="str">
            <v>台</v>
          </cell>
          <cell r="G1307" t="str">
            <v>199910</v>
          </cell>
          <cell r="H1307" t="str">
            <v>199910</v>
          </cell>
          <cell r="I1307">
            <v>4500</v>
          </cell>
          <cell r="J1307">
            <v>3487.5</v>
          </cell>
          <cell r="K1307">
            <v>4500</v>
          </cell>
          <cell r="L1307">
            <v>3487.5</v>
          </cell>
          <cell r="M1307">
            <v>4000</v>
          </cell>
          <cell r="N1307">
            <v>60</v>
          </cell>
          <cell r="O1307">
            <v>2400</v>
          </cell>
          <cell r="P1307">
            <v>-31.182795698924732</v>
          </cell>
        </row>
        <row r="1308">
          <cell r="B1308" t="str">
            <v>001-0011168</v>
          </cell>
          <cell r="C1308" t="str">
            <v>打印机</v>
          </cell>
          <cell r="D1308" t="str">
            <v>激光  N2000K A3</v>
          </cell>
          <cell r="F1308" t="str">
            <v>台</v>
          </cell>
          <cell r="I1308">
            <v>15000</v>
          </cell>
          <cell r="J1308">
            <v>11625</v>
          </cell>
          <cell r="K1308">
            <v>15000</v>
          </cell>
          <cell r="L1308">
            <v>11625</v>
          </cell>
          <cell r="M1308">
            <v>10000</v>
          </cell>
          <cell r="N1308">
            <v>60</v>
          </cell>
          <cell r="O1308">
            <v>6000</v>
          </cell>
          <cell r="P1308">
            <v>-48.387096774193552</v>
          </cell>
        </row>
        <row r="1309">
          <cell r="B1309" t="str">
            <v>001-0011169</v>
          </cell>
          <cell r="C1309" t="str">
            <v>计算机</v>
          </cell>
          <cell r="D1309" t="str">
            <v>PintiumⅡ266CPU</v>
          </cell>
          <cell r="F1309" t="str">
            <v>台</v>
          </cell>
          <cell r="I1309">
            <v>30200</v>
          </cell>
          <cell r="J1309">
            <v>23404.99</v>
          </cell>
          <cell r="K1309">
            <v>30200</v>
          </cell>
          <cell r="L1309">
            <v>23404.99</v>
          </cell>
          <cell r="M1309">
            <v>12000</v>
          </cell>
          <cell r="N1309">
            <v>60</v>
          </cell>
          <cell r="O1309">
            <v>7200</v>
          </cell>
          <cell r="P1309">
            <v>-69.237329304562834</v>
          </cell>
        </row>
        <row r="1310">
          <cell r="B1310" t="str">
            <v>001-0011478</v>
          </cell>
          <cell r="C1310" t="str">
            <v>数码复印机</v>
          </cell>
          <cell r="D1310" t="str">
            <v>基士得耶220型</v>
          </cell>
          <cell r="E1310" t="str">
            <v>基士得耶</v>
          </cell>
          <cell r="F1310" t="str">
            <v>台</v>
          </cell>
          <cell r="G1310" t="str">
            <v>200008</v>
          </cell>
          <cell r="H1310" t="str">
            <v>200008</v>
          </cell>
          <cell r="I1310">
            <v>22500</v>
          </cell>
          <cell r="J1310">
            <v>18281.23</v>
          </cell>
          <cell r="K1310">
            <v>22500</v>
          </cell>
          <cell r="L1310">
            <v>18281.23</v>
          </cell>
          <cell r="M1310">
            <v>22000</v>
          </cell>
          <cell r="N1310">
            <v>80</v>
          </cell>
          <cell r="O1310">
            <v>17600</v>
          </cell>
          <cell r="P1310">
            <v>-3.7263904015211207</v>
          </cell>
        </row>
        <row r="1311">
          <cell r="B1311" t="str">
            <v>001-0011483</v>
          </cell>
          <cell r="C1311" t="str">
            <v>计算机</v>
          </cell>
          <cell r="D1311" t="str">
            <v>HP8188A</v>
          </cell>
          <cell r="F1311" t="str">
            <v>台</v>
          </cell>
          <cell r="I1311">
            <v>9050</v>
          </cell>
          <cell r="J1311">
            <v>7692.49</v>
          </cell>
          <cell r="K1311">
            <v>9050</v>
          </cell>
          <cell r="L1311">
            <v>7692.49</v>
          </cell>
          <cell r="M1311">
            <v>9000</v>
          </cell>
          <cell r="N1311">
            <v>80</v>
          </cell>
          <cell r="O1311">
            <v>7200</v>
          </cell>
          <cell r="P1311">
            <v>-6.4022182674270596</v>
          </cell>
        </row>
        <row r="1312">
          <cell r="B1312" t="str">
            <v>001-0011484</v>
          </cell>
          <cell r="C1312" t="str">
            <v>计算机</v>
          </cell>
          <cell r="D1312" t="str">
            <v>HP8188A</v>
          </cell>
          <cell r="F1312" t="str">
            <v>台</v>
          </cell>
          <cell r="I1312">
            <v>9050</v>
          </cell>
          <cell r="J1312">
            <v>7692.49</v>
          </cell>
          <cell r="K1312">
            <v>9050</v>
          </cell>
          <cell r="L1312">
            <v>7692.49</v>
          </cell>
          <cell r="M1312">
            <v>9000</v>
          </cell>
          <cell r="N1312">
            <v>80</v>
          </cell>
          <cell r="O1312">
            <v>7200</v>
          </cell>
          <cell r="P1312">
            <v>-6.4022182674270596</v>
          </cell>
        </row>
        <row r="1313">
          <cell r="B1313" t="str">
            <v>001-0011485</v>
          </cell>
          <cell r="C1313" t="str">
            <v>计算机</v>
          </cell>
          <cell r="D1313" t="str">
            <v>HP8188A</v>
          </cell>
          <cell r="F1313" t="str">
            <v>台</v>
          </cell>
          <cell r="I1313">
            <v>9050</v>
          </cell>
          <cell r="J1313">
            <v>7692.49</v>
          </cell>
          <cell r="K1313">
            <v>9050</v>
          </cell>
          <cell r="L1313">
            <v>7692.49</v>
          </cell>
          <cell r="M1313">
            <v>9000</v>
          </cell>
          <cell r="N1313">
            <v>80</v>
          </cell>
          <cell r="O1313">
            <v>7200</v>
          </cell>
          <cell r="P1313">
            <v>-6.4022182674270596</v>
          </cell>
        </row>
        <row r="1314">
          <cell r="B1314" t="str">
            <v>001-0011486</v>
          </cell>
          <cell r="C1314" t="str">
            <v>计算机</v>
          </cell>
          <cell r="D1314" t="str">
            <v>HP8188A</v>
          </cell>
          <cell r="F1314" t="str">
            <v>台</v>
          </cell>
          <cell r="I1314">
            <v>9050</v>
          </cell>
          <cell r="J1314">
            <v>7692.49</v>
          </cell>
          <cell r="K1314">
            <v>9050</v>
          </cell>
          <cell r="L1314">
            <v>7692.49</v>
          </cell>
          <cell r="M1314">
            <v>9000</v>
          </cell>
          <cell r="N1314">
            <v>80</v>
          </cell>
          <cell r="O1314">
            <v>7200</v>
          </cell>
          <cell r="P1314">
            <v>-6.4022182674270596</v>
          </cell>
        </row>
        <row r="1315">
          <cell r="B1315" t="str">
            <v>001-0011487</v>
          </cell>
          <cell r="C1315" t="str">
            <v>计算机</v>
          </cell>
          <cell r="D1315" t="str">
            <v>HP8188A</v>
          </cell>
          <cell r="F1315" t="str">
            <v>台</v>
          </cell>
          <cell r="I1315">
            <v>9050</v>
          </cell>
          <cell r="J1315">
            <v>7692.49</v>
          </cell>
          <cell r="K1315">
            <v>9050</v>
          </cell>
          <cell r="L1315">
            <v>7692.49</v>
          </cell>
          <cell r="M1315">
            <v>9000</v>
          </cell>
          <cell r="N1315">
            <v>80</v>
          </cell>
          <cell r="O1315">
            <v>7200</v>
          </cell>
          <cell r="P1315">
            <v>-6.4022182674270596</v>
          </cell>
        </row>
        <row r="1316">
          <cell r="B1316" t="str">
            <v>001-0012009</v>
          </cell>
          <cell r="C1316" t="str">
            <v>服务器</v>
          </cell>
          <cell r="D1316" t="str">
            <v>DELL 2400/600 128M/9G</v>
          </cell>
          <cell r="F1316" t="str">
            <v>台</v>
          </cell>
          <cell r="I1316">
            <v>47000</v>
          </cell>
          <cell r="J1316">
            <v>41124.99</v>
          </cell>
          <cell r="K1316">
            <v>47000</v>
          </cell>
          <cell r="L1316">
            <v>41124.99</v>
          </cell>
          <cell r="M1316">
            <v>32000</v>
          </cell>
          <cell r="N1316">
            <v>90</v>
          </cell>
          <cell r="O1316">
            <v>28800</v>
          </cell>
          <cell r="P1316">
            <v>-29.969587834550232</v>
          </cell>
        </row>
        <row r="1317">
          <cell r="B1317" t="str">
            <v>001-0017851</v>
          </cell>
          <cell r="C1317" t="str">
            <v>数字电桥</v>
          </cell>
          <cell r="D1317" t="str">
            <v>SQ-2</v>
          </cell>
          <cell r="E1317" t="str">
            <v>南京自动化设备厂</v>
          </cell>
          <cell r="F1317" t="str">
            <v>台</v>
          </cell>
          <cell r="G1317" t="str">
            <v>200010</v>
          </cell>
          <cell r="H1317" t="str">
            <v>200010</v>
          </cell>
          <cell r="I1317">
            <v>8522</v>
          </cell>
          <cell r="J1317">
            <v>7871.27</v>
          </cell>
          <cell r="K1317">
            <v>8522</v>
          </cell>
          <cell r="L1317">
            <v>7871.27</v>
          </cell>
          <cell r="M1317">
            <v>8500</v>
          </cell>
          <cell r="N1317">
            <v>80</v>
          </cell>
          <cell r="O1317">
            <v>6800</v>
          </cell>
          <cell r="P1317">
            <v>-13.609874899476202</v>
          </cell>
        </row>
        <row r="1318">
          <cell r="B1318" t="str">
            <v>001-0017852</v>
          </cell>
          <cell r="C1318" t="str">
            <v>数字电桥</v>
          </cell>
          <cell r="D1318" t="str">
            <v>SQ-2</v>
          </cell>
          <cell r="E1318" t="str">
            <v>南京自动化设备厂</v>
          </cell>
          <cell r="F1318" t="str">
            <v>台</v>
          </cell>
          <cell r="G1318" t="str">
            <v>200010</v>
          </cell>
          <cell r="H1318" t="str">
            <v>200010</v>
          </cell>
          <cell r="I1318">
            <v>8522</v>
          </cell>
          <cell r="J1318">
            <v>7871.27</v>
          </cell>
          <cell r="K1318">
            <v>8522</v>
          </cell>
          <cell r="L1318">
            <v>7871.27</v>
          </cell>
          <cell r="M1318">
            <v>8500</v>
          </cell>
          <cell r="N1318">
            <v>80</v>
          </cell>
          <cell r="O1318">
            <v>6800</v>
          </cell>
          <cell r="P1318">
            <v>-13.609874899476202</v>
          </cell>
        </row>
        <row r="1319">
          <cell r="B1319" t="str">
            <v>001-0018035</v>
          </cell>
          <cell r="C1319" t="str">
            <v>数据接收机</v>
          </cell>
          <cell r="D1319" t="str">
            <v>DELL OPTIPLEX GX110733 MT DESK</v>
          </cell>
          <cell r="E1319" t="str">
            <v>DELL</v>
          </cell>
          <cell r="F1319" t="str">
            <v>台</v>
          </cell>
          <cell r="G1319" t="str">
            <v>200103</v>
          </cell>
          <cell r="H1319" t="str">
            <v>200103</v>
          </cell>
          <cell r="I1319">
            <v>21728</v>
          </cell>
          <cell r="J1319">
            <v>20823.03</v>
          </cell>
          <cell r="K1319">
            <v>21728</v>
          </cell>
          <cell r="L1319">
            <v>20823.03</v>
          </cell>
          <cell r="M1319">
            <v>21700</v>
          </cell>
          <cell r="N1319">
            <v>90</v>
          </cell>
          <cell r="O1319">
            <v>19530</v>
          </cell>
          <cell r="P1319">
            <v>-6.2096150272078505</v>
          </cell>
        </row>
        <row r="1320">
          <cell r="B1320" t="str">
            <v>001-0018036</v>
          </cell>
          <cell r="C1320" t="str">
            <v>应用终端</v>
          </cell>
          <cell r="D1320" t="str">
            <v>DELL OPTIPLEX GX110733 MT DESK</v>
          </cell>
          <cell r="E1320" t="str">
            <v>DELL</v>
          </cell>
          <cell r="F1320" t="str">
            <v>台</v>
          </cell>
          <cell r="G1320" t="str">
            <v>200103</v>
          </cell>
          <cell r="H1320" t="str">
            <v>200103</v>
          </cell>
          <cell r="I1320">
            <v>23336</v>
          </cell>
          <cell r="J1320">
            <v>22364.06</v>
          </cell>
          <cell r="K1320">
            <v>23336</v>
          </cell>
          <cell r="L1320">
            <v>22364.06</v>
          </cell>
          <cell r="M1320">
            <v>23000</v>
          </cell>
          <cell r="N1320">
            <v>90</v>
          </cell>
          <cell r="O1320">
            <v>20700</v>
          </cell>
          <cell r="P1320">
            <v>-7.4407777478686832</v>
          </cell>
        </row>
        <row r="1321">
          <cell r="B1321" t="str">
            <v>001-0018037</v>
          </cell>
          <cell r="C1321" t="str">
            <v>应用终端</v>
          </cell>
          <cell r="D1321" t="str">
            <v>DELL OPTIPLEX GX110733 MT DESK</v>
          </cell>
          <cell r="E1321" t="str">
            <v>DELL</v>
          </cell>
          <cell r="F1321" t="str">
            <v>台</v>
          </cell>
          <cell r="G1321" t="str">
            <v>200103</v>
          </cell>
          <cell r="H1321" t="str">
            <v>200103</v>
          </cell>
          <cell r="I1321">
            <v>23336</v>
          </cell>
          <cell r="J1321">
            <v>22364.06</v>
          </cell>
          <cell r="K1321">
            <v>23336</v>
          </cell>
          <cell r="L1321">
            <v>22364.06</v>
          </cell>
          <cell r="M1321">
            <v>23000</v>
          </cell>
          <cell r="N1321">
            <v>90</v>
          </cell>
          <cell r="O1321">
            <v>20700</v>
          </cell>
          <cell r="P1321">
            <v>-7.4407777478686832</v>
          </cell>
        </row>
        <row r="1322">
          <cell r="B1322" t="str">
            <v>001-0018038</v>
          </cell>
          <cell r="C1322" t="str">
            <v>数据处理机</v>
          </cell>
          <cell r="D1322" t="str">
            <v>DELL POWERREDGE 2400/667EB</v>
          </cell>
          <cell r="E1322" t="str">
            <v>DELL</v>
          </cell>
          <cell r="F1322" t="str">
            <v>台</v>
          </cell>
          <cell r="G1322" t="str">
            <v>200103</v>
          </cell>
          <cell r="H1322" t="str">
            <v>200103</v>
          </cell>
          <cell r="I1322">
            <v>58742</v>
          </cell>
          <cell r="J1322">
            <v>56295.39</v>
          </cell>
          <cell r="K1322">
            <v>58742</v>
          </cell>
          <cell r="L1322">
            <v>56295.39</v>
          </cell>
          <cell r="M1322">
            <v>58000</v>
          </cell>
          <cell r="N1322">
            <v>90</v>
          </cell>
          <cell r="O1322">
            <v>52200</v>
          </cell>
          <cell r="P1322">
            <v>-7.2748230361313766</v>
          </cell>
        </row>
        <row r="1323">
          <cell r="B1323" t="str">
            <v>001-0018039</v>
          </cell>
          <cell r="C1323" t="str">
            <v>监视器</v>
          </cell>
          <cell r="D1323" t="str">
            <v>NEC FP1350+</v>
          </cell>
          <cell r="E1323" t="str">
            <v>NEC</v>
          </cell>
          <cell r="F1323" t="str">
            <v>台</v>
          </cell>
          <cell r="G1323" t="str">
            <v>200103</v>
          </cell>
          <cell r="H1323" t="str">
            <v>200103</v>
          </cell>
          <cell r="I1323">
            <v>25428</v>
          </cell>
          <cell r="J1323">
            <v>24368.93</v>
          </cell>
          <cell r="K1323">
            <v>25428</v>
          </cell>
          <cell r="L1323">
            <v>24368.93</v>
          </cell>
          <cell r="M1323">
            <v>25000</v>
          </cell>
          <cell r="N1323">
            <v>90</v>
          </cell>
          <cell r="O1323">
            <v>22500</v>
          </cell>
          <cell r="P1323">
            <v>-7.6693149842853181</v>
          </cell>
        </row>
        <row r="1324">
          <cell r="B1324" t="str">
            <v>001-0018040</v>
          </cell>
          <cell r="C1324" t="str">
            <v>投影机</v>
          </cell>
          <cell r="D1324" t="str">
            <v>SONY</v>
          </cell>
          <cell r="E1324" t="str">
            <v>SONY</v>
          </cell>
          <cell r="F1324" t="str">
            <v>台</v>
          </cell>
          <cell r="G1324" t="str">
            <v>200103</v>
          </cell>
          <cell r="H1324" t="str">
            <v>200103</v>
          </cell>
          <cell r="I1324">
            <v>112657</v>
          </cell>
          <cell r="J1324">
            <v>107964.83</v>
          </cell>
          <cell r="K1324">
            <v>112657</v>
          </cell>
          <cell r="L1324">
            <v>107964.83</v>
          </cell>
          <cell r="M1324">
            <v>110000</v>
          </cell>
          <cell r="N1324">
            <v>90</v>
          </cell>
          <cell r="O1324">
            <v>99000</v>
          </cell>
          <cell r="P1324">
            <v>-8.3034725289707794</v>
          </cell>
        </row>
        <row r="1325">
          <cell r="B1325" t="str">
            <v>001-0018041</v>
          </cell>
          <cell r="C1325" t="str">
            <v>刻录机</v>
          </cell>
          <cell r="D1325" t="str">
            <v>SONY CD-RW 32X4X</v>
          </cell>
          <cell r="E1325" t="str">
            <v>SONY</v>
          </cell>
          <cell r="F1325" t="str">
            <v>台</v>
          </cell>
          <cell r="G1325" t="str">
            <v>200103</v>
          </cell>
          <cell r="H1325" t="str">
            <v>200103</v>
          </cell>
          <cell r="I1325">
            <v>4023</v>
          </cell>
          <cell r="J1325">
            <v>3855.43</v>
          </cell>
          <cell r="K1325">
            <v>4023</v>
          </cell>
          <cell r="L1325">
            <v>3855.43</v>
          </cell>
          <cell r="M1325">
            <v>4000</v>
          </cell>
          <cell r="N1325">
            <v>90</v>
          </cell>
          <cell r="O1325">
            <v>3600</v>
          </cell>
          <cell r="P1325">
            <v>-6.6252013394096076</v>
          </cell>
        </row>
        <row r="1326">
          <cell r="B1326" t="str">
            <v>001-0018042</v>
          </cell>
          <cell r="C1326" t="str">
            <v>接收卡</v>
          </cell>
          <cell r="D1326" t="str">
            <v>PCVSAT</v>
          </cell>
          <cell r="F1326" t="str">
            <v>块</v>
          </cell>
          <cell r="G1326" t="str">
            <v>200103</v>
          </cell>
          <cell r="H1326" t="str">
            <v>200103</v>
          </cell>
          <cell r="I1326">
            <v>25750</v>
          </cell>
          <cell r="J1326">
            <v>24677.51</v>
          </cell>
          <cell r="K1326">
            <v>25750</v>
          </cell>
          <cell r="L1326">
            <v>24677.51</v>
          </cell>
          <cell r="M1326">
            <v>25000</v>
          </cell>
          <cell r="N1326">
            <v>90</v>
          </cell>
          <cell r="O1326">
            <v>22500</v>
          </cell>
          <cell r="P1326">
            <v>-8.8238643201846472</v>
          </cell>
        </row>
        <row r="1327">
          <cell r="B1327" t="str">
            <v>001-0019189</v>
          </cell>
          <cell r="C1327" t="str">
            <v>柜式空调机</v>
          </cell>
          <cell r="D1327" t="str">
            <v>KFD-75</v>
          </cell>
          <cell r="E1327" t="str">
            <v>海尔</v>
          </cell>
          <cell r="F1327" t="str">
            <v>台</v>
          </cell>
          <cell r="G1327" t="str">
            <v>200006</v>
          </cell>
          <cell r="H1327" t="str">
            <v>200006</v>
          </cell>
          <cell r="I1327">
            <v>6900</v>
          </cell>
          <cell r="J1327">
            <v>6760.62</v>
          </cell>
          <cell r="K1327">
            <v>6900</v>
          </cell>
          <cell r="L1327">
            <v>6760.62</v>
          </cell>
          <cell r="M1327">
            <v>6000</v>
          </cell>
          <cell r="N1327">
            <v>90</v>
          </cell>
          <cell r="O1327">
            <v>5400</v>
          </cell>
          <cell r="P1327">
            <v>-20.125668947522563</v>
          </cell>
        </row>
        <row r="1328">
          <cell r="B1328" t="str">
            <v>001-0019190</v>
          </cell>
          <cell r="C1328" t="str">
            <v>彩电</v>
          </cell>
          <cell r="D1328" t="str">
            <v>29D18</v>
          </cell>
          <cell r="E1328" t="str">
            <v>长虹</v>
          </cell>
          <cell r="F1328" t="str">
            <v>台</v>
          </cell>
          <cell r="G1328" t="str">
            <v>200006</v>
          </cell>
          <cell r="H1328" t="str">
            <v>200006</v>
          </cell>
          <cell r="I1328">
            <v>2680</v>
          </cell>
          <cell r="J1328">
            <v>2625.85</v>
          </cell>
          <cell r="K1328">
            <v>2680</v>
          </cell>
          <cell r="L1328">
            <v>2625.85</v>
          </cell>
          <cell r="M1328">
            <v>2500</v>
          </cell>
          <cell r="N1328">
            <v>90</v>
          </cell>
          <cell r="O1328">
            <v>2250</v>
          </cell>
          <cell r="P1328">
            <v>-14.313460403297976</v>
          </cell>
        </row>
        <row r="1329">
          <cell r="B1329" t="str">
            <v>001-0019191</v>
          </cell>
          <cell r="C1329" t="str">
            <v>彩电</v>
          </cell>
          <cell r="D1329" t="str">
            <v>29D18</v>
          </cell>
          <cell r="E1329" t="str">
            <v>长虹</v>
          </cell>
          <cell r="F1329" t="str">
            <v>台</v>
          </cell>
          <cell r="G1329" t="str">
            <v>200006</v>
          </cell>
          <cell r="H1329" t="str">
            <v>200006</v>
          </cell>
          <cell r="I1329">
            <v>2680</v>
          </cell>
          <cell r="J1329">
            <v>2625.85</v>
          </cell>
          <cell r="K1329">
            <v>2680</v>
          </cell>
          <cell r="L1329">
            <v>2625.85</v>
          </cell>
          <cell r="M1329">
            <v>2500</v>
          </cell>
          <cell r="N1329">
            <v>90</v>
          </cell>
          <cell r="O1329">
            <v>2250</v>
          </cell>
          <cell r="P1329">
            <v>-14.313460403297976</v>
          </cell>
        </row>
        <row r="1330">
          <cell r="B1330" t="str">
            <v>001-0019192</v>
          </cell>
          <cell r="C1330" t="str">
            <v>蒸饭柜</v>
          </cell>
          <cell r="D1330" t="str">
            <v>100人/9KW</v>
          </cell>
          <cell r="F1330" t="str">
            <v>台</v>
          </cell>
          <cell r="I1330">
            <v>5900</v>
          </cell>
          <cell r="J1330">
            <v>5780.81</v>
          </cell>
          <cell r="K1330">
            <v>5900</v>
          </cell>
          <cell r="L1330">
            <v>5780.81</v>
          </cell>
          <cell r="M1330">
            <v>5900</v>
          </cell>
          <cell r="N1330">
            <v>90</v>
          </cell>
          <cell r="O1330">
            <v>5310</v>
          </cell>
          <cell r="P1330">
            <v>-8.1443603924017633</v>
          </cell>
        </row>
        <row r="1331">
          <cell r="B1331" t="str">
            <v>001-0019208</v>
          </cell>
          <cell r="C1331" t="str">
            <v>计算机</v>
          </cell>
          <cell r="D1331" t="str">
            <v>DELL</v>
          </cell>
          <cell r="E1331" t="str">
            <v>DELL</v>
          </cell>
          <cell r="F1331" t="str">
            <v>台</v>
          </cell>
          <cell r="G1331" t="str">
            <v>200007</v>
          </cell>
          <cell r="H1331" t="str">
            <v>200007</v>
          </cell>
          <cell r="I1331">
            <v>11337</v>
          </cell>
          <cell r="J1331">
            <v>11053.56</v>
          </cell>
          <cell r="K1331">
            <v>11337</v>
          </cell>
          <cell r="L1331">
            <v>11053.56</v>
          </cell>
          <cell r="M1331">
            <v>10000</v>
          </cell>
          <cell r="N1331">
            <v>80</v>
          </cell>
          <cell r="O1331">
            <v>8000</v>
          </cell>
          <cell r="P1331">
            <v>-27.625127108370513</v>
          </cell>
        </row>
        <row r="1332">
          <cell r="B1332" t="str">
            <v>001-0019209</v>
          </cell>
          <cell r="C1332" t="str">
            <v>计算机</v>
          </cell>
          <cell r="D1332" t="str">
            <v>DELL</v>
          </cell>
          <cell r="E1332" t="str">
            <v>DELL</v>
          </cell>
          <cell r="F1332" t="str">
            <v>台</v>
          </cell>
          <cell r="G1332" t="str">
            <v>200007</v>
          </cell>
          <cell r="H1332" t="str">
            <v>200007</v>
          </cell>
          <cell r="I1332">
            <v>11337</v>
          </cell>
          <cell r="J1332">
            <v>11053.56</v>
          </cell>
          <cell r="K1332">
            <v>11337</v>
          </cell>
          <cell r="L1332">
            <v>11053.56</v>
          </cell>
          <cell r="M1332">
            <v>10000</v>
          </cell>
          <cell r="N1332">
            <v>80</v>
          </cell>
          <cell r="O1332">
            <v>8000</v>
          </cell>
          <cell r="P1332">
            <v>-27.625127108370513</v>
          </cell>
        </row>
        <row r="1333">
          <cell r="B1333" t="str">
            <v>001-0019210</v>
          </cell>
          <cell r="C1333" t="str">
            <v>计算机</v>
          </cell>
          <cell r="D1333" t="str">
            <v>DELL</v>
          </cell>
          <cell r="E1333" t="str">
            <v>DELL</v>
          </cell>
          <cell r="F1333" t="str">
            <v>台</v>
          </cell>
          <cell r="G1333" t="str">
            <v>200007</v>
          </cell>
          <cell r="H1333" t="str">
            <v>200007</v>
          </cell>
          <cell r="I1333">
            <v>11337</v>
          </cell>
          <cell r="J1333">
            <v>11053.56</v>
          </cell>
          <cell r="K1333">
            <v>11337</v>
          </cell>
          <cell r="L1333">
            <v>11053.56</v>
          </cell>
          <cell r="M1333">
            <v>10000</v>
          </cell>
          <cell r="N1333">
            <v>80</v>
          </cell>
          <cell r="O1333">
            <v>8000</v>
          </cell>
          <cell r="P1333">
            <v>-27.625127108370513</v>
          </cell>
        </row>
        <row r="1334">
          <cell r="B1334" t="str">
            <v>001-0019211</v>
          </cell>
          <cell r="C1334" t="str">
            <v>计算机</v>
          </cell>
          <cell r="D1334" t="str">
            <v>DELL</v>
          </cell>
          <cell r="E1334" t="str">
            <v>DELL</v>
          </cell>
          <cell r="F1334" t="str">
            <v>台</v>
          </cell>
          <cell r="G1334" t="str">
            <v>200007</v>
          </cell>
          <cell r="H1334" t="str">
            <v>200007</v>
          </cell>
          <cell r="I1334">
            <v>11337</v>
          </cell>
          <cell r="J1334">
            <v>11053.56</v>
          </cell>
          <cell r="K1334">
            <v>11337</v>
          </cell>
          <cell r="L1334">
            <v>11053.56</v>
          </cell>
          <cell r="M1334">
            <v>10000</v>
          </cell>
          <cell r="N1334">
            <v>80</v>
          </cell>
          <cell r="O1334">
            <v>8000</v>
          </cell>
          <cell r="P1334">
            <v>-27.625127108370513</v>
          </cell>
        </row>
        <row r="1335">
          <cell r="B1335" t="str">
            <v>001-0019212</v>
          </cell>
          <cell r="C1335" t="str">
            <v>计算机</v>
          </cell>
          <cell r="D1335" t="str">
            <v>DELL</v>
          </cell>
          <cell r="E1335" t="str">
            <v>DELL</v>
          </cell>
          <cell r="F1335" t="str">
            <v>台</v>
          </cell>
          <cell r="G1335" t="str">
            <v>200007</v>
          </cell>
          <cell r="H1335" t="str">
            <v>200007</v>
          </cell>
          <cell r="I1335">
            <v>11337</v>
          </cell>
          <cell r="J1335">
            <v>11053.56</v>
          </cell>
          <cell r="K1335">
            <v>11337</v>
          </cell>
          <cell r="L1335">
            <v>11053.56</v>
          </cell>
          <cell r="M1335">
            <v>10000</v>
          </cell>
          <cell r="N1335">
            <v>80</v>
          </cell>
          <cell r="O1335">
            <v>8000</v>
          </cell>
          <cell r="P1335">
            <v>-27.625127108370513</v>
          </cell>
        </row>
        <row r="1336">
          <cell r="B1336" t="str">
            <v>001-0019213</v>
          </cell>
          <cell r="C1336" t="str">
            <v>计算机</v>
          </cell>
          <cell r="D1336" t="str">
            <v>DELL</v>
          </cell>
          <cell r="E1336" t="str">
            <v>DELL</v>
          </cell>
          <cell r="F1336" t="str">
            <v>台</v>
          </cell>
          <cell r="G1336" t="str">
            <v>200007</v>
          </cell>
          <cell r="H1336" t="str">
            <v>200007</v>
          </cell>
          <cell r="I1336">
            <v>11337</v>
          </cell>
          <cell r="J1336">
            <v>11053.56</v>
          </cell>
          <cell r="K1336">
            <v>11337</v>
          </cell>
          <cell r="L1336">
            <v>11053.56</v>
          </cell>
          <cell r="M1336">
            <v>10000</v>
          </cell>
          <cell r="N1336">
            <v>80</v>
          </cell>
          <cell r="O1336">
            <v>8000</v>
          </cell>
          <cell r="P1336">
            <v>-27.625127108370513</v>
          </cell>
        </row>
        <row r="1337">
          <cell r="B1337" t="str">
            <v>001-0019214</v>
          </cell>
          <cell r="C1337" t="str">
            <v>投影仪</v>
          </cell>
          <cell r="D1337" t="str">
            <v>CP-X960</v>
          </cell>
          <cell r="E1337" t="str">
            <v>NEC公司</v>
          </cell>
          <cell r="F1337" t="str">
            <v>台</v>
          </cell>
          <cell r="G1337" t="str">
            <v>199710</v>
          </cell>
          <cell r="H1337" t="str">
            <v>199710</v>
          </cell>
          <cell r="I1337">
            <v>36000</v>
          </cell>
          <cell r="J1337">
            <v>35250.300000000003</v>
          </cell>
          <cell r="K1337">
            <v>36000</v>
          </cell>
          <cell r="L1337">
            <v>35250.300000000003</v>
          </cell>
          <cell r="M1337">
            <v>28000</v>
          </cell>
          <cell r="N1337">
            <v>60</v>
          </cell>
          <cell r="O1337">
            <v>16800</v>
          </cell>
          <cell r="P1337">
            <v>-52.34083114186263</v>
          </cell>
        </row>
        <row r="1338">
          <cell r="B1338" t="str">
            <v>001-0019215</v>
          </cell>
          <cell r="C1338" t="str">
            <v>冰柜</v>
          </cell>
          <cell r="D1338" t="str">
            <v>1m3</v>
          </cell>
          <cell r="F1338" t="str">
            <v>台</v>
          </cell>
          <cell r="I1338">
            <v>6700</v>
          </cell>
          <cell r="J1338">
            <v>6623.8</v>
          </cell>
          <cell r="K1338">
            <v>6700</v>
          </cell>
          <cell r="L1338">
            <v>6623.8</v>
          </cell>
          <cell r="M1338">
            <v>6700</v>
          </cell>
          <cell r="N1338">
            <v>90</v>
          </cell>
          <cell r="O1338">
            <v>6030</v>
          </cell>
          <cell r="P1338">
            <v>-8.9646426522539961</v>
          </cell>
        </row>
        <row r="1339">
          <cell r="B1339" t="str">
            <v>001-0020766</v>
          </cell>
          <cell r="C1339" t="str">
            <v>显示器</v>
          </cell>
          <cell r="D1339" t="str">
            <v>SONY S20  21"</v>
          </cell>
          <cell r="E1339" t="str">
            <v>SONY公司</v>
          </cell>
          <cell r="F1339" t="str">
            <v>台</v>
          </cell>
          <cell r="G1339" t="str">
            <v>199710</v>
          </cell>
          <cell r="H1339" t="str">
            <v>199710</v>
          </cell>
          <cell r="I1339">
            <v>11800</v>
          </cell>
          <cell r="J1339">
            <v>11406.67</v>
          </cell>
          <cell r="K1339">
            <v>11800</v>
          </cell>
          <cell r="L1339">
            <v>11406.67</v>
          </cell>
          <cell r="M1339">
            <v>10000</v>
          </cell>
          <cell r="N1339">
            <v>60</v>
          </cell>
          <cell r="O1339">
            <v>6000</v>
          </cell>
          <cell r="P1339">
            <v>-47.39919713641229</v>
          </cell>
        </row>
        <row r="1340">
          <cell r="B1340" t="str">
            <v>001-0020767</v>
          </cell>
          <cell r="C1340" t="str">
            <v>显示器</v>
          </cell>
          <cell r="D1340" t="str">
            <v>菲利普</v>
          </cell>
          <cell r="F1340" t="str">
            <v>台</v>
          </cell>
          <cell r="I1340">
            <v>6800</v>
          </cell>
          <cell r="J1340">
            <v>6573.33</v>
          </cell>
          <cell r="K1340">
            <v>6800</v>
          </cell>
          <cell r="L1340">
            <v>6573.33</v>
          </cell>
          <cell r="M1340">
            <v>5000</v>
          </cell>
          <cell r="N1340">
            <v>60</v>
          </cell>
          <cell r="O1340">
            <v>3000</v>
          </cell>
          <cell r="P1340">
            <v>-54.361031623241182</v>
          </cell>
        </row>
        <row r="1341">
          <cell r="B1341" t="str">
            <v>001-0020772</v>
          </cell>
          <cell r="C1341" t="str">
            <v>凭证式打印机</v>
          </cell>
          <cell r="D1341" t="str">
            <v>DDK8300E4</v>
          </cell>
          <cell r="E1341" t="str">
            <v>南京富士通</v>
          </cell>
          <cell r="F1341" t="str">
            <v>台</v>
          </cell>
          <cell r="G1341" t="str">
            <v>200109</v>
          </cell>
          <cell r="H1341" t="str">
            <v>200109</v>
          </cell>
          <cell r="I1341">
            <v>3950</v>
          </cell>
          <cell r="J1341">
            <v>3785.41</v>
          </cell>
          <cell r="K1341">
            <v>3950</v>
          </cell>
          <cell r="L1341">
            <v>3785.41</v>
          </cell>
          <cell r="M1341">
            <v>3950</v>
          </cell>
          <cell r="N1341">
            <v>90</v>
          </cell>
          <cell r="O1341">
            <v>3555</v>
          </cell>
          <cell r="P1341">
            <v>-6.0867911269849202</v>
          </cell>
        </row>
        <row r="1342">
          <cell r="B1342" t="str">
            <v>001-0002877</v>
          </cell>
          <cell r="C1342" t="str">
            <v>录相机</v>
          </cell>
          <cell r="D1342" t="str">
            <v>SL-T30CH</v>
          </cell>
          <cell r="F1342" t="str">
            <v>台</v>
          </cell>
          <cell r="I1342">
            <v>25731.77</v>
          </cell>
          <cell r="J1342">
            <v>3225.49</v>
          </cell>
          <cell r="K1342">
            <v>25731.77</v>
          </cell>
          <cell r="L1342">
            <v>3225.49</v>
          </cell>
          <cell r="M1342">
            <v>2500</v>
          </cell>
          <cell r="N1342">
            <v>5</v>
          </cell>
          <cell r="O1342">
            <v>125</v>
          </cell>
          <cell r="P1342">
            <v>-96.124619825204846</v>
          </cell>
        </row>
        <row r="1343">
          <cell r="B1343" t="str">
            <v>001-0002880</v>
          </cell>
          <cell r="C1343" t="str">
            <v>录像机</v>
          </cell>
          <cell r="D1343" t="str">
            <v>SL-F30AS</v>
          </cell>
          <cell r="F1343" t="str">
            <v>台</v>
          </cell>
          <cell r="I1343">
            <v>30060.38</v>
          </cell>
          <cell r="J1343">
            <v>3768.07</v>
          </cell>
          <cell r="K1343">
            <v>30060.38</v>
          </cell>
          <cell r="L1343">
            <v>3768.07</v>
          </cell>
          <cell r="M1343">
            <v>3000</v>
          </cell>
          <cell r="N1343">
            <v>5</v>
          </cell>
          <cell r="O1343">
            <v>150</v>
          </cell>
          <cell r="P1343">
            <v>-96.019182233875696</v>
          </cell>
        </row>
        <row r="1344">
          <cell r="B1344" t="str">
            <v>001-0005471</v>
          </cell>
          <cell r="C1344" t="str">
            <v>空调</v>
          </cell>
          <cell r="D1344" t="str">
            <v/>
          </cell>
          <cell r="F1344" t="str">
            <v>台</v>
          </cell>
          <cell r="I1344">
            <v>40000</v>
          </cell>
          <cell r="J1344">
            <v>16438</v>
          </cell>
          <cell r="K1344">
            <v>40000</v>
          </cell>
          <cell r="L1344">
            <v>16438</v>
          </cell>
          <cell r="M1344">
            <v>20000</v>
          </cell>
          <cell r="N1344">
            <v>40</v>
          </cell>
          <cell r="O1344">
            <v>8000</v>
          </cell>
          <cell r="P1344">
            <v>-51.332278866042103</v>
          </cell>
        </row>
        <row r="1345">
          <cell r="B1345" t="str">
            <v>001-0008028</v>
          </cell>
          <cell r="C1345" t="str">
            <v>碟机</v>
          </cell>
          <cell r="D1345" t="str">
            <v>LX-V85TN</v>
          </cell>
          <cell r="F1345" t="str">
            <v>台</v>
          </cell>
          <cell r="I1345">
            <v>5000</v>
          </cell>
          <cell r="J1345">
            <v>1458.34</v>
          </cell>
          <cell r="K1345">
            <v>5000</v>
          </cell>
          <cell r="L1345">
            <v>1458.34</v>
          </cell>
          <cell r="M1345">
            <v>2000</v>
          </cell>
          <cell r="N1345">
            <v>20</v>
          </cell>
          <cell r="O1345">
            <v>400</v>
          </cell>
          <cell r="P1345">
            <v>-72.571553958610465</v>
          </cell>
        </row>
        <row r="1346">
          <cell r="B1346" t="str">
            <v>001-0008274</v>
          </cell>
          <cell r="C1346" t="str">
            <v>计算机</v>
          </cell>
          <cell r="D1346" t="str">
            <v>HP586/100</v>
          </cell>
          <cell r="F1346" t="str">
            <v>台</v>
          </cell>
          <cell r="I1346">
            <v>16000</v>
          </cell>
          <cell r="J1346">
            <v>9812</v>
          </cell>
          <cell r="K1346">
            <v>16000</v>
          </cell>
          <cell r="L1346">
            <v>9812</v>
          </cell>
          <cell r="M1346">
            <v>2000</v>
          </cell>
          <cell r="N1346">
            <v>100</v>
          </cell>
          <cell r="O1346">
            <v>2000</v>
          </cell>
          <cell r="P1346">
            <v>-79.616795760293513</v>
          </cell>
        </row>
        <row r="1347">
          <cell r="B1347" t="str">
            <v>001-0010674</v>
          </cell>
          <cell r="C1347" t="str">
            <v>服务器</v>
          </cell>
          <cell r="D1347" t="str">
            <v>Compaq Proliant 5000</v>
          </cell>
          <cell r="F1347" t="str">
            <v>台</v>
          </cell>
          <cell r="G1347" t="str">
            <v>199912</v>
          </cell>
          <cell r="H1347" t="str">
            <v>199912</v>
          </cell>
          <cell r="I1347">
            <v>134200</v>
          </cell>
          <cell r="J1347">
            <v>104005.01</v>
          </cell>
          <cell r="K1347">
            <v>134200</v>
          </cell>
          <cell r="L1347">
            <v>104005.01</v>
          </cell>
          <cell r="M1347">
            <v>65000</v>
          </cell>
          <cell r="N1347">
            <v>80</v>
          </cell>
          <cell r="O1347">
            <v>52000</v>
          </cell>
          <cell r="P1347">
            <v>-50.002408537819477</v>
          </cell>
        </row>
        <row r="1348">
          <cell r="B1348" t="str">
            <v>001-0010684</v>
          </cell>
          <cell r="C1348" t="str">
            <v>打印机</v>
          </cell>
          <cell r="D1348" t="str">
            <v>HPLaserjet 6L</v>
          </cell>
          <cell r="E1348" t="str">
            <v/>
          </cell>
          <cell r="F1348" t="str">
            <v>台</v>
          </cell>
          <cell r="G1348" t="str">
            <v>199912</v>
          </cell>
          <cell r="H1348" t="str">
            <v>199912</v>
          </cell>
          <cell r="I1348">
            <v>3990</v>
          </cell>
          <cell r="J1348">
            <v>3092.25</v>
          </cell>
          <cell r="K1348">
            <v>3990</v>
          </cell>
          <cell r="L1348">
            <v>3092.25</v>
          </cell>
          <cell r="M1348">
            <v>2850</v>
          </cell>
          <cell r="N1348">
            <v>60</v>
          </cell>
          <cell r="O1348">
            <v>1710</v>
          </cell>
          <cell r="P1348">
            <v>-44.700460829493089</v>
          </cell>
        </row>
        <row r="1349">
          <cell r="B1349" t="str">
            <v>001-0010685</v>
          </cell>
          <cell r="C1349" t="str">
            <v>打印机</v>
          </cell>
          <cell r="D1349" t="str">
            <v>HPLaserjet 6L</v>
          </cell>
          <cell r="E1349" t="str">
            <v/>
          </cell>
          <cell r="F1349" t="str">
            <v>台</v>
          </cell>
          <cell r="G1349" t="str">
            <v>199912</v>
          </cell>
          <cell r="H1349" t="str">
            <v>199912</v>
          </cell>
          <cell r="I1349">
            <v>3990</v>
          </cell>
          <cell r="J1349">
            <v>3092.25</v>
          </cell>
          <cell r="K1349">
            <v>3990</v>
          </cell>
          <cell r="L1349">
            <v>3092.25</v>
          </cell>
          <cell r="M1349">
            <v>2850</v>
          </cell>
          <cell r="N1349">
            <v>60</v>
          </cell>
          <cell r="O1349">
            <v>1710</v>
          </cell>
          <cell r="P1349">
            <v>-44.700460829493089</v>
          </cell>
        </row>
        <row r="1350">
          <cell r="B1350" t="str">
            <v>001-0010686</v>
          </cell>
          <cell r="C1350" t="str">
            <v>打印机</v>
          </cell>
          <cell r="D1350" t="str">
            <v>HPLaserjet 6L</v>
          </cell>
          <cell r="E1350" t="str">
            <v/>
          </cell>
          <cell r="F1350" t="str">
            <v>台</v>
          </cell>
          <cell r="G1350" t="str">
            <v>199912</v>
          </cell>
          <cell r="H1350" t="str">
            <v>199912</v>
          </cell>
          <cell r="I1350">
            <v>3990</v>
          </cell>
          <cell r="J1350">
            <v>3092.25</v>
          </cell>
          <cell r="K1350">
            <v>3990</v>
          </cell>
          <cell r="L1350">
            <v>3092.25</v>
          </cell>
          <cell r="M1350">
            <v>2850</v>
          </cell>
          <cell r="N1350">
            <v>60</v>
          </cell>
          <cell r="O1350">
            <v>1710</v>
          </cell>
          <cell r="P1350">
            <v>-44.700460829493089</v>
          </cell>
        </row>
        <row r="1351">
          <cell r="B1351" t="str">
            <v>001-0010687</v>
          </cell>
          <cell r="C1351" t="str">
            <v>打印机</v>
          </cell>
          <cell r="D1351" t="str">
            <v>HPLaserjet 6P</v>
          </cell>
          <cell r="E1351" t="str">
            <v/>
          </cell>
          <cell r="F1351" t="str">
            <v>台</v>
          </cell>
          <cell r="G1351" t="str">
            <v>199912</v>
          </cell>
          <cell r="H1351" t="str">
            <v>199912</v>
          </cell>
          <cell r="I1351">
            <v>7600</v>
          </cell>
          <cell r="J1351">
            <v>5890.01</v>
          </cell>
          <cell r="K1351">
            <v>7600</v>
          </cell>
          <cell r="L1351">
            <v>5890.01</v>
          </cell>
          <cell r="M1351">
            <v>6000</v>
          </cell>
          <cell r="N1351">
            <v>60</v>
          </cell>
          <cell r="O1351">
            <v>3600</v>
          </cell>
          <cell r="P1351">
            <v>-38.879560476128226</v>
          </cell>
        </row>
        <row r="1352">
          <cell r="B1352" t="str">
            <v>001-0010688</v>
          </cell>
          <cell r="C1352" t="str">
            <v>打印机</v>
          </cell>
          <cell r="D1352" t="str">
            <v>HPLaserjet 6P</v>
          </cell>
          <cell r="E1352" t="str">
            <v/>
          </cell>
          <cell r="F1352" t="str">
            <v>台</v>
          </cell>
          <cell r="G1352" t="str">
            <v>199912</v>
          </cell>
          <cell r="H1352" t="str">
            <v>199912</v>
          </cell>
          <cell r="I1352">
            <v>7600</v>
          </cell>
          <cell r="J1352">
            <v>5890.01</v>
          </cell>
          <cell r="K1352">
            <v>7600</v>
          </cell>
          <cell r="L1352">
            <v>5890.01</v>
          </cell>
          <cell r="M1352">
            <v>6000</v>
          </cell>
          <cell r="N1352">
            <v>60</v>
          </cell>
          <cell r="O1352">
            <v>3600</v>
          </cell>
          <cell r="P1352">
            <v>-38.879560476128226</v>
          </cell>
        </row>
        <row r="1353">
          <cell r="B1353" t="str">
            <v>001-0010689</v>
          </cell>
          <cell r="C1353" t="str">
            <v>打印机</v>
          </cell>
          <cell r="D1353" t="str">
            <v>HPLaserjet 5si</v>
          </cell>
          <cell r="E1353" t="str">
            <v/>
          </cell>
          <cell r="F1353" t="str">
            <v>台</v>
          </cell>
          <cell r="G1353" t="str">
            <v>199912</v>
          </cell>
          <cell r="H1353" t="str">
            <v>199912</v>
          </cell>
          <cell r="I1353">
            <v>3000</v>
          </cell>
          <cell r="J1353">
            <v>2325</v>
          </cell>
          <cell r="K1353">
            <v>3000</v>
          </cell>
          <cell r="L1353">
            <v>2325</v>
          </cell>
          <cell r="M1353">
            <v>2400</v>
          </cell>
          <cell r="N1353">
            <v>60</v>
          </cell>
          <cell r="O1353">
            <v>1440</v>
          </cell>
          <cell r="P1353">
            <v>-38.064516129032256</v>
          </cell>
        </row>
        <row r="1354">
          <cell r="B1354" t="str">
            <v>001-0010692</v>
          </cell>
          <cell r="C1354" t="str">
            <v>CD刻录机</v>
          </cell>
          <cell r="D1354" t="str">
            <v>SONY CDU-9611S内置</v>
          </cell>
          <cell r="E1354" t="str">
            <v/>
          </cell>
          <cell r="F1354" t="str">
            <v>台</v>
          </cell>
          <cell r="G1354" t="str">
            <v>199912</v>
          </cell>
          <cell r="H1354" t="str">
            <v>199912</v>
          </cell>
          <cell r="I1354">
            <v>6000</v>
          </cell>
          <cell r="J1354">
            <v>4650</v>
          </cell>
          <cell r="K1354">
            <v>6000</v>
          </cell>
          <cell r="L1354">
            <v>4650</v>
          </cell>
          <cell r="M1354">
            <v>4800</v>
          </cell>
          <cell r="N1354">
            <v>50</v>
          </cell>
          <cell r="O1354">
            <v>2400</v>
          </cell>
          <cell r="P1354">
            <v>-48.387096774193552</v>
          </cell>
        </row>
        <row r="1355">
          <cell r="B1355" t="str">
            <v>001-0010719</v>
          </cell>
          <cell r="C1355" t="str">
            <v>PC机</v>
          </cell>
          <cell r="D1355" t="str">
            <v>Compaq  5/166  16M/2.1G</v>
          </cell>
          <cell r="E1355" t="str">
            <v/>
          </cell>
          <cell r="F1355" t="str">
            <v>台</v>
          </cell>
          <cell r="G1355" t="str">
            <v>199912</v>
          </cell>
          <cell r="H1355" t="str">
            <v>199912</v>
          </cell>
          <cell r="I1355">
            <v>11000</v>
          </cell>
          <cell r="J1355">
            <v>8524.99</v>
          </cell>
          <cell r="K1355">
            <v>11000</v>
          </cell>
          <cell r="L1355">
            <v>8524.99</v>
          </cell>
          <cell r="M1355">
            <v>4000</v>
          </cell>
          <cell r="N1355">
            <v>50</v>
          </cell>
          <cell r="O1355">
            <v>2000</v>
          </cell>
          <cell r="P1355">
            <v>-76.539561923239802</v>
          </cell>
        </row>
        <row r="1356">
          <cell r="B1356" t="str">
            <v>001-0010720</v>
          </cell>
          <cell r="C1356" t="str">
            <v>PC机</v>
          </cell>
          <cell r="D1356" t="str">
            <v>Compaq  5/166  16M/2.1G</v>
          </cell>
          <cell r="E1356" t="str">
            <v/>
          </cell>
          <cell r="F1356" t="str">
            <v>台</v>
          </cell>
          <cell r="G1356" t="str">
            <v>199912</v>
          </cell>
          <cell r="H1356" t="str">
            <v>199912</v>
          </cell>
          <cell r="I1356">
            <v>11000</v>
          </cell>
          <cell r="J1356">
            <v>8524.99</v>
          </cell>
          <cell r="K1356">
            <v>11000</v>
          </cell>
          <cell r="L1356">
            <v>8524.99</v>
          </cell>
          <cell r="M1356">
            <v>4000</v>
          </cell>
          <cell r="N1356">
            <v>50</v>
          </cell>
          <cell r="O1356">
            <v>2000</v>
          </cell>
          <cell r="P1356">
            <v>-76.539561923239802</v>
          </cell>
        </row>
        <row r="1357">
          <cell r="B1357" t="str">
            <v>001-0010721</v>
          </cell>
          <cell r="C1357" t="str">
            <v>PC机</v>
          </cell>
          <cell r="D1357" t="str">
            <v>Compaq  5/166  16M/2.1G</v>
          </cell>
          <cell r="E1357" t="str">
            <v/>
          </cell>
          <cell r="F1357" t="str">
            <v>台</v>
          </cell>
          <cell r="G1357" t="str">
            <v>199912</v>
          </cell>
          <cell r="H1357" t="str">
            <v>199912</v>
          </cell>
          <cell r="I1357">
            <v>11000</v>
          </cell>
          <cell r="J1357">
            <v>8524.99</v>
          </cell>
          <cell r="K1357">
            <v>11000</v>
          </cell>
          <cell r="L1357">
            <v>8524.99</v>
          </cell>
          <cell r="M1357">
            <v>4000</v>
          </cell>
          <cell r="N1357">
            <v>50</v>
          </cell>
          <cell r="O1357">
            <v>2000</v>
          </cell>
          <cell r="P1357">
            <v>-76.539561923239802</v>
          </cell>
        </row>
        <row r="1358">
          <cell r="B1358" t="str">
            <v>001-0010722</v>
          </cell>
          <cell r="C1358" t="str">
            <v>PC机</v>
          </cell>
          <cell r="D1358" t="str">
            <v>Compaq  5/166  16M/2.1G</v>
          </cell>
          <cell r="E1358" t="str">
            <v/>
          </cell>
          <cell r="F1358" t="str">
            <v>台</v>
          </cell>
          <cell r="G1358" t="str">
            <v>199912</v>
          </cell>
          <cell r="H1358" t="str">
            <v>199912</v>
          </cell>
          <cell r="I1358">
            <v>11000</v>
          </cell>
          <cell r="J1358">
            <v>8524.99</v>
          </cell>
          <cell r="K1358">
            <v>11000</v>
          </cell>
          <cell r="L1358">
            <v>8524.99</v>
          </cell>
          <cell r="M1358">
            <v>4000</v>
          </cell>
          <cell r="N1358">
            <v>50</v>
          </cell>
          <cell r="O1358">
            <v>2000</v>
          </cell>
          <cell r="P1358">
            <v>-76.539561923239802</v>
          </cell>
        </row>
        <row r="1359">
          <cell r="B1359" t="str">
            <v>001-0010723</v>
          </cell>
          <cell r="C1359" t="str">
            <v>PC机</v>
          </cell>
          <cell r="D1359" t="str">
            <v>Compaq  5/166  16M/2.1G</v>
          </cell>
          <cell r="E1359" t="str">
            <v/>
          </cell>
          <cell r="F1359" t="str">
            <v>台</v>
          </cell>
          <cell r="G1359" t="str">
            <v>199912</v>
          </cell>
          <cell r="H1359" t="str">
            <v>199912</v>
          </cell>
          <cell r="I1359">
            <v>11000</v>
          </cell>
          <cell r="J1359">
            <v>8524.99</v>
          </cell>
          <cell r="K1359">
            <v>11000</v>
          </cell>
          <cell r="L1359">
            <v>8524.99</v>
          </cell>
          <cell r="M1359">
            <v>4000</v>
          </cell>
          <cell r="N1359">
            <v>50</v>
          </cell>
          <cell r="O1359">
            <v>2000</v>
          </cell>
          <cell r="P1359">
            <v>-76.539561923239802</v>
          </cell>
        </row>
        <row r="1360">
          <cell r="B1360" t="str">
            <v>001-0010724</v>
          </cell>
          <cell r="C1360" t="str">
            <v>PC机</v>
          </cell>
          <cell r="D1360" t="str">
            <v>Compaq  5/166  16M/2.1G</v>
          </cell>
          <cell r="E1360" t="str">
            <v/>
          </cell>
          <cell r="F1360" t="str">
            <v>台</v>
          </cell>
          <cell r="G1360" t="str">
            <v>199912</v>
          </cell>
          <cell r="H1360" t="str">
            <v>199912</v>
          </cell>
          <cell r="I1360">
            <v>11000</v>
          </cell>
          <cell r="J1360">
            <v>8524.99</v>
          </cell>
          <cell r="K1360">
            <v>11000</v>
          </cell>
          <cell r="L1360">
            <v>8524.99</v>
          </cell>
          <cell r="M1360">
            <v>4000</v>
          </cell>
          <cell r="N1360">
            <v>50</v>
          </cell>
          <cell r="O1360">
            <v>2000</v>
          </cell>
          <cell r="P1360">
            <v>-76.539561923239802</v>
          </cell>
        </row>
        <row r="1361">
          <cell r="B1361" t="str">
            <v>001-0010725</v>
          </cell>
          <cell r="C1361" t="str">
            <v>PC机</v>
          </cell>
          <cell r="D1361" t="str">
            <v>Compaq  5/166  16M/2.1G</v>
          </cell>
          <cell r="E1361" t="str">
            <v/>
          </cell>
          <cell r="F1361" t="str">
            <v>台</v>
          </cell>
          <cell r="G1361" t="str">
            <v>199912</v>
          </cell>
          <cell r="H1361" t="str">
            <v>199912</v>
          </cell>
          <cell r="I1361">
            <v>11000</v>
          </cell>
          <cell r="J1361">
            <v>8524.99</v>
          </cell>
          <cell r="K1361">
            <v>11000</v>
          </cell>
          <cell r="L1361">
            <v>8524.99</v>
          </cell>
          <cell r="M1361">
            <v>4000</v>
          </cell>
          <cell r="N1361">
            <v>50</v>
          </cell>
          <cell r="O1361">
            <v>2000</v>
          </cell>
          <cell r="P1361">
            <v>-76.539561923239802</v>
          </cell>
        </row>
        <row r="1362">
          <cell r="B1362" t="str">
            <v>001-0010726</v>
          </cell>
          <cell r="C1362" t="str">
            <v>PC机</v>
          </cell>
          <cell r="D1362" t="str">
            <v>Compaq  5/166  16M/2.1G</v>
          </cell>
          <cell r="E1362" t="str">
            <v/>
          </cell>
          <cell r="F1362" t="str">
            <v>台</v>
          </cell>
          <cell r="G1362" t="str">
            <v>199912</v>
          </cell>
          <cell r="H1362" t="str">
            <v>199912</v>
          </cell>
          <cell r="I1362">
            <v>11000</v>
          </cell>
          <cell r="J1362">
            <v>8524.99</v>
          </cell>
          <cell r="K1362">
            <v>11000</v>
          </cell>
          <cell r="L1362">
            <v>8524.99</v>
          </cell>
          <cell r="M1362">
            <v>4000</v>
          </cell>
          <cell r="N1362">
            <v>50</v>
          </cell>
          <cell r="O1362">
            <v>2000</v>
          </cell>
          <cell r="P1362">
            <v>-76.539561923239802</v>
          </cell>
        </row>
        <row r="1363">
          <cell r="B1363" t="str">
            <v>001-0010727</v>
          </cell>
          <cell r="C1363" t="str">
            <v>PC机</v>
          </cell>
          <cell r="D1363" t="str">
            <v>Compaq  5/166  16M/2.1G</v>
          </cell>
          <cell r="E1363" t="str">
            <v/>
          </cell>
          <cell r="F1363" t="str">
            <v>台</v>
          </cell>
          <cell r="G1363" t="str">
            <v>199912</v>
          </cell>
          <cell r="H1363" t="str">
            <v>199912</v>
          </cell>
          <cell r="I1363">
            <v>11000</v>
          </cell>
          <cell r="J1363">
            <v>8524.99</v>
          </cell>
          <cell r="K1363">
            <v>11000</v>
          </cell>
          <cell r="L1363">
            <v>8524.99</v>
          </cell>
          <cell r="M1363">
            <v>4000</v>
          </cell>
          <cell r="N1363">
            <v>50</v>
          </cell>
          <cell r="O1363">
            <v>2000</v>
          </cell>
          <cell r="P1363">
            <v>-76.539561923239802</v>
          </cell>
        </row>
        <row r="1364">
          <cell r="B1364" t="str">
            <v>001-0010728</v>
          </cell>
          <cell r="C1364" t="str">
            <v>PC机</v>
          </cell>
          <cell r="D1364" t="str">
            <v>Compaq  5/166  16M/2.1G</v>
          </cell>
          <cell r="E1364" t="str">
            <v/>
          </cell>
          <cell r="F1364" t="str">
            <v>台</v>
          </cell>
          <cell r="G1364" t="str">
            <v>199912</v>
          </cell>
          <cell r="H1364" t="str">
            <v>199912</v>
          </cell>
          <cell r="I1364">
            <v>11000</v>
          </cell>
          <cell r="J1364">
            <v>8524.99</v>
          </cell>
          <cell r="K1364">
            <v>11000</v>
          </cell>
          <cell r="L1364">
            <v>8524.99</v>
          </cell>
          <cell r="M1364">
            <v>4000</v>
          </cell>
          <cell r="N1364">
            <v>50</v>
          </cell>
          <cell r="O1364">
            <v>2000</v>
          </cell>
          <cell r="P1364">
            <v>-76.539561923239802</v>
          </cell>
        </row>
        <row r="1365">
          <cell r="B1365" t="str">
            <v>001-0010729</v>
          </cell>
          <cell r="C1365" t="str">
            <v>PC机</v>
          </cell>
          <cell r="D1365" t="str">
            <v>Compaq  5/166  16M/2.1G</v>
          </cell>
          <cell r="E1365" t="str">
            <v/>
          </cell>
          <cell r="F1365" t="str">
            <v>台</v>
          </cell>
          <cell r="G1365" t="str">
            <v>199912</v>
          </cell>
          <cell r="H1365" t="str">
            <v>199912</v>
          </cell>
          <cell r="I1365">
            <v>11000</v>
          </cell>
          <cell r="J1365">
            <v>8524.99</v>
          </cell>
          <cell r="K1365">
            <v>11000</v>
          </cell>
          <cell r="L1365">
            <v>8524.99</v>
          </cell>
          <cell r="M1365">
            <v>4000</v>
          </cell>
          <cell r="N1365">
            <v>50</v>
          </cell>
          <cell r="O1365">
            <v>2000</v>
          </cell>
          <cell r="P1365">
            <v>-76.539561923239802</v>
          </cell>
        </row>
        <row r="1366">
          <cell r="B1366" t="str">
            <v>001-0010730</v>
          </cell>
          <cell r="C1366" t="str">
            <v>PC机</v>
          </cell>
          <cell r="D1366" t="str">
            <v>Compaq  5/166  16M/2.1G</v>
          </cell>
          <cell r="E1366" t="str">
            <v/>
          </cell>
          <cell r="F1366" t="str">
            <v>台</v>
          </cell>
          <cell r="G1366" t="str">
            <v>199912</v>
          </cell>
          <cell r="H1366" t="str">
            <v>199912</v>
          </cell>
          <cell r="I1366">
            <v>11000</v>
          </cell>
          <cell r="J1366">
            <v>8524.99</v>
          </cell>
          <cell r="K1366">
            <v>11000</v>
          </cell>
          <cell r="L1366">
            <v>8524.99</v>
          </cell>
          <cell r="M1366">
            <v>4000</v>
          </cell>
          <cell r="N1366">
            <v>50</v>
          </cell>
          <cell r="O1366">
            <v>2000</v>
          </cell>
          <cell r="P1366">
            <v>-76.539561923239802</v>
          </cell>
        </row>
        <row r="1367">
          <cell r="B1367" t="str">
            <v>001-0010731</v>
          </cell>
          <cell r="C1367" t="str">
            <v>PC机</v>
          </cell>
          <cell r="D1367" t="str">
            <v>Compaq  5/166  16M/2.1G</v>
          </cell>
          <cell r="E1367" t="str">
            <v/>
          </cell>
          <cell r="F1367" t="str">
            <v>台</v>
          </cell>
          <cell r="G1367" t="str">
            <v>199912</v>
          </cell>
          <cell r="H1367" t="str">
            <v>199912</v>
          </cell>
          <cell r="I1367">
            <v>11000</v>
          </cell>
          <cell r="J1367">
            <v>8524.99</v>
          </cell>
          <cell r="K1367">
            <v>11000</v>
          </cell>
          <cell r="L1367">
            <v>8524.99</v>
          </cell>
          <cell r="M1367">
            <v>4000</v>
          </cell>
          <cell r="N1367">
            <v>50</v>
          </cell>
          <cell r="O1367">
            <v>2000</v>
          </cell>
          <cell r="P1367">
            <v>-76.539561923239802</v>
          </cell>
        </row>
        <row r="1368">
          <cell r="B1368" t="str">
            <v>001-0010732</v>
          </cell>
          <cell r="C1368" t="str">
            <v>PC机</v>
          </cell>
          <cell r="D1368" t="str">
            <v>Compaq  5/166  16M/2.1G</v>
          </cell>
          <cell r="E1368" t="str">
            <v/>
          </cell>
          <cell r="F1368" t="str">
            <v>台</v>
          </cell>
          <cell r="G1368" t="str">
            <v>199912</v>
          </cell>
          <cell r="H1368" t="str">
            <v>199912</v>
          </cell>
          <cell r="I1368">
            <v>11000</v>
          </cell>
          <cell r="J1368">
            <v>8524.99</v>
          </cell>
          <cell r="K1368">
            <v>11000</v>
          </cell>
          <cell r="L1368">
            <v>8524.99</v>
          </cell>
          <cell r="M1368">
            <v>4000</v>
          </cell>
          <cell r="N1368">
            <v>50</v>
          </cell>
          <cell r="O1368">
            <v>2000</v>
          </cell>
          <cell r="P1368">
            <v>-76.539561923239802</v>
          </cell>
        </row>
        <row r="1369">
          <cell r="B1369" t="str">
            <v>001-0010733</v>
          </cell>
          <cell r="C1369" t="str">
            <v>PC机</v>
          </cell>
          <cell r="D1369" t="str">
            <v>Compaq  5/166  16M/2.1G</v>
          </cell>
          <cell r="E1369" t="str">
            <v/>
          </cell>
          <cell r="F1369" t="str">
            <v>台</v>
          </cell>
          <cell r="G1369" t="str">
            <v>199912</v>
          </cell>
          <cell r="H1369" t="str">
            <v>199912</v>
          </cell>
          <cell r="I1369">
            <v>11000</v>
          </cell>
          <cell r="J1369">
            <v>8524.99</v>
          </cell>
          <cell r="K1369">
            <v>11000</v>
          </cell>
          <cell r="L1369">
            <v>8524.99</v>
          </cell>
          <cell r="M1369">
            <v>4000</v>
          </cell>
          <cell r="N1369">
            <v>50</v>
          </cell>
          <cell r="O1369">
            <v>2000</v>
          </cell>
          <cell r="P1369">
            <v>-76.539561923239802</v>
          </cell>
        </row>
        <row r="1370">
          <cell r="B1370" t="str">
            <v>001-0010734</v>
          </cell>
          <cell r="C1370" t="str">
            <v>PC机</v>
          </cell>
          <cell r="D1370" t="str">
            <v>Compaq  5/166  16M/2.1G</v>
          </cell>
          <cell r="E1370" t="str">
            <v/>
          </cell>
          <cell r="F1370" t="str">
            <v>台</v>
          </cell>
          <cell r="G1370" t="str">
            <v>199912</v>
          </cell>
          <cell r="H1370" t="str">
            <v>199912</v>
          </cell>
          <cell r="I1370">
            <v>11000</v>
          </cell>
          <cell r="J1370">
            <v>8524.99</v>
          </cell>
          <cell r="K1370">
            <v>11000</v>
          </cell>
          <cell r="L1370">
            <v>8524.99</v>
          </cell>
          <cell r="M1370">
            <v>4000</v>
          </cell>
          <cell r="N1370">
            <v>50</v>
          </cell>
          <cell r="O1370">
            <v>2000</v>
          </cell>
          <cell r="P1370">
            <v>-76.539561923239802</v>
          </cell>
        </row>
        <row r="1371">
          <cell r="B1371" t="str">
            <v>001-0010735</v>
          </cell>
          <cell r="C1371" t="str">
            <v>PC机</v>
          </cell>
          <cell r="D1371" t="str">
            <v>Compaq  5/166  16M/2.1G</v>
          </cell>
          <cell r="E1371" t="str">
            <v/>
          </cell>
          <cell r="F1371" t="str">
            <v>台</v>
          </cell>
          <cell r="G1371" t="str">
            <v>199912</v>
          </cell>
          <cell r="H1371" t="str">
            <v>199912</v>
          </cell>
          <cell r="I1371">
            <v>11000</v>
          </cell>
          <cell r="J1371">
            <v>8524.99</v>
          </cell>
          <cell r="K1371">
            <v>11000</v>
          </cell>
          <cell r="L1371">
            <v>8524.99</v>
          </cell>
          <cell r="M1371">
            <v>4000</v>
          </cell>
          <cell r="N1371">
            <v>50</v>
          </cell>
          <cell r="O1371">
            <v>2000</v>
          </cell>
          <cell r="P1371">
            <v>-76.539561923239802</v>
          </cell>
        </row>
        <row r="1372">
          <cell r="B1372" t="str">
            <v>001-0010736</v>
          </cell>
          <cell r="C1372" t="str">
            <v>PC机</v>
          </cell>
          <cell r="D1372" t="str">
            <v>Compaq  5/166  16M/2.1G</v>
          </cell>
          <cell r="E1372" t="str">
            <v/>
          </cell>
          <cell r="F1372" t="str">
            <v>台</v>
          </cell>
          <cell r="G1372" t="str">
            <v>199912</v>
          </cell>
          <cell r="H1372" t="str">
            <v>199912</v>
          </cell>
          <cell r="I1372">
            <v>11000</v>
          </cell>
          <cell r="J1372">
            <v>8524.99</v>
          </cell>
          <cell r="K1372">
            <v>11000</v>
          </cell>
          <cell r="L1372">
            <v>8524.99</v>
          </cell>
          <cell r="M1372">
            <v>4000</v>
          </cell>
          <cell r="N1372">
            <v>50</v>
          </cell>
          <cell r="O1372">
            <v>2000</v>
          </cell>
          <cell r="P1372">
            <v>-76.539561923239802</v>
          </cell>
        </row>
        <row r="1373">
          <cell r="B1373" t="str">
            <v>001-0010737</v>
          </cell>
          <cell r="C1373" t="str">
            <v>PC机</v>
          </cell>
          <cell r="D1373" t="str">
            <v>Compaq  5/166  16M/2.1G</v>
          </cell>
          <cell r="E1373" t="str">
            <v/>
          </cell>
          <cell r="F1373" t="str">
            <v>台</v>
          </cell>
          <cell r="G1373" t="str">
            <v>199912</v>
          </cell>
          <cell r="H1373" t="str">
            <v>199912</v>
          </cell>
          <cell r="I1373">
            <v>11000</v>
          </cell>
          <cell r="J1373">
            <v>8524.99</v>
          </cell>
          <cell r="K1373">
            <v>11000</v>
          </cell>
          <cell r="L1373">
            <v>8524.99</v>
          </cell>
          <cell r="M1373">
            <v>4000</v>
          </cell>
          <cell r="N1373">
            <v>50</v>
          </cell>
          <cell r="O1373">
            <v>2000</v>
          </cell>
          <cell r="P1373">
            <v>-76.539561923239802</v>
          </cell>
        </row>
        <row r="1374">
          <cell r="B1374" t="str">
            <v>001-0010738</v>
          </cell>
          <cell r="C1374" t="str">
            <v>PC机</v>
          </cell>
          <cell r="D1374" t="str">
            <v>Compaq  5/166  16M/2.1G</v>
          </cell>
          <cell r="E1374" t="str">
            <v/>
          </cell>
          <cell r="F1374" t="str">
            <v>台</v>
          </cell>
          <cell r="G1374" t="str">
            <v>199912</v>
          </cell>
          <cell r="H1374" t="str">
            <v>199912</v>
          </cell>
          <cell r="I1374">
            <v>11000</v>
          </cell>
          <cell r="J1374">
            <v>8524.99</v>
          </cell>
          <cell r="K1374">
            <v>11000</v>
          </cell>
          <cell r="L1374">
            <v>8524.99</v>
          </cell>
          <cell r="M1374">
            <v>4000</v>
          </cell>
          <cell r="N1374">
            <v>50</v>
          </cell>
          <cell r="O1374">
            <v>2000</v>
          </cell>
          <cell r="P1374">
            <v>-76.539561923239802</v>
          </cell>
        </row>
        <row r="1375">
          <cell r="B1375" t="str">
            <v>001-0010739</v>
          </cell>
          <cell r="C1375" t="str">
            <v>PC机</v>
          </cell>
          <cell r="D1375" t="str">
            <v>Compaq  5/166  16M/2.1G</v>
          </cell>
          <cell r="E1375" t="str">
            <v/>
          </cell>
          <cell r="F1375" t="str">
            <v>台</v>
          </cell>
          <cell r="G1375" t="str">
            <v>199912</v>
          </cell>
          <cell r="H1375" t="str">
            <v>199912</v>
          </cell>
          <cell r="I1375">
            <v>11000</v>
          </cell>
          <cell r="J1375">
            <v>8524.99</v>
          </cell>
          <cell r="K1375">
            <v>11000</v>
          </cell>
          <cell r="L1375">
            <v>8524.99</v>
          </cell>
          <cell r="M1375">
            <v>4000</v>
          </cell>
          <cell r="N1375">
            <v>50</v>
          </cell>
          <cell r="O1375">
            <v>2000</v>
          </cell>
          <cell r="P1375">
            <v>-76.539561923239802</v>
          </cell>
        </row>
        <row r="1376">
          <cell r="B1376" t="str">
            <v>001-0010740</v>
          </cell>
          <cell r="C1376" t="str">
            <v>PC机</v>
          </cell>
          <cell r="D1376" t="str">
            <v>Compaq  5/166  16M/2.1G</v>
          </cell>
          <cell r="E1376" t="str">
            <v/>
          </cell>
          <cell r="F1376" t="str">
            <v>台</v>
          </cell>
          <cell r="G1376" t="str">
            <v>199912</v>
          </cell>
          <cell r="H1376" t="str">
            <v>199912</v>
          </cell>
          <cell r="I1376">
            <v>11000</v>
          </cell>
          <cell r="J1376">
            <v>8524.99</v>
          </cell>
          <cell r="K1376">
            <v>11000</v>
          </cell>
          <cell r="L1376">
            <v>8524.99</v>
          </cell>
          <cell r="M1376">
            <v>4000</v>
          </cell>
          <cell r="N1376">
            <v>50</v>
          </cell>
          <cell r="O1376">
            <v>2000</v>
          </cell>
          <cell r="P1376">
            <v>-76.539561923239802</v>
          </cell>
        </row>
        <row r="1377">
          <cell r="B1377" t="str">
            <v>001-0010741</v>
          </cell>
          <cell r="C1377" t="str">
            <v>PC机</v>
          </cell>
          <cell r="D1377" t="str">
            <v>Compaq  5/166  16M/2.1G</v>
          </cell>
          <cell r="E1377" t="str">
            <v/>
          </cell>
          <cell r="F1377" t="str">
            <v>台</v>
          </cell>
          <cell r="G1377" t="str">
            <v>199912</v>
          </cell>
          <cell r="H1377" t="str">
            <v>199912</v>
          </cell>
          <cell r="I1377">
            <v>11000</v>
          </cell>
          <cell r="J1377">
            <v>8524.99</v>
          </cell>
          <cell r="K1377">
            <v>11000</v>
          </cell>
          <cell r="L1377">
            <v>8524.99</v>
          </cell>
          <cell r="M1377">
            <v>4000</v>
          </cell>
          <cell r="N1377">
            <v>50</v>
          </cell>
          <cell r="O1377">
            <v>2000</v>
          </cell>
          <cell r="P1377">
            <v>-76.539561923239802</v>
          </cell>
        </row>
        <row r="1378">
          <cell r="B1378" t="str">
            <v>001-0010742</v>
          </cell>
          <cell r="C1378" t="str">
            <v>PC机</v>
          </cell>
          <cell r="D1378" t="str">
            <v>Compaq  5/166  16M/2.1G</v>
          </cell>
          <cell r="E1378" t="str">
            <v/>
          </cell>
          <cell r="F1378" t="str">
            <v>台</v>
          </cell>
          <cell r="G1378" t="str">
            <v>199912</v>
          </cell>
          <cell r="H1378" t="str">
            <v>199912</v>
          </cell>
          <cell r="I1378">
            <v>11000</v>
          </cell>
          <cell r="J1378">
            <v>8524.99</v>
          </cell>
          <cell r="K1378">
            <v>11000</v>
          </cell>
          <cell r="L1378">
            <v>8524.99</v>
          </cell>
          <cell r="M1378">
            <v>4000</v>
          </cell>
          <cell r="N1378">
            <v>50</v>
          </cell>
          <cell r="O1378">
            <v>2000</v>
          </cell>
          <cell r="P1378">
            <v>-76.539561923239802</v>
          </cell>
        </row>
        <row r="1379">
          <cell r="B1379" t="str">
            <v>001-0010743</v>
          </cell>
          <cell r="C1379" t="str">
            <v>PC机</v>
          </cell>
          <cell r="D1379" t="str">
            <v>Compaq  5/166  16M/2.1G</v>
          </cell>
          <cell r="E1379" t="str">
            <v/>
          </cell>
          <cell r="F1379" t="str">
            <v>台</v>
          </cell>
          <cell r="G1379" t="str">
            <v>199912</v>
          </cell>
          <cell r="H1379" t="str">
            <v>199912</v>
          </cell>
          <cell r="I1379">
            <v>11000</v>
          </cell>
          <cell r="J1379">
            <v>8524.99</v>
          </cell>
          <cell r="K1379">
            <v>11000</v>
          </cell>
          <cell r="L1379">
            <v>8524.99</v>
          </cell>
          <cell r="M1379">
            <v>4000</v>
          </cell>
          <cell r="N1379">
            <v>50</v>
          </cell>
          <cell r="O1379">
            <v>2000</v>
          </cell>
          <cell r="P1379">
            <v>-76.539561923239802</v>
          </cell>
        </row>
        <row r="1380">
          <cell r="B1380" t="str">
            <v>001-0010745</v>
          </cell>
          <cell r="C1380" t="str">
            <v>读写光盘机</v>
          </cell>
          <cell r="D1380" t="str">
            <v>HP C1114F 2.6GB外置式</v>
          </cell>
          <cell r="E1380" t="str">
            <v/>
          </cell>
          <cell r="F1380" t="str">
            <v>台</v>
          </cell>
          <cell r="G1380" t="str">
            <v>199912</v>
          </cell>
          <cell r="H1380" t="str">
            <v>199912</v>
          </cell>
          <cell r="I1380">
            <v>18000</v>
          </cell>
          <cell r="J1380">
            <v>13950</v>
          </cell>
          <cell r="K1380">
            <v>18000</v>
          </cell>
          <cell r="L1380">
            <v>13950</v>
          </cell>
          <cell r="M1380">
            <v>14400</v>
          </cell>
          <cell r="N1380">
            <v>50</v>
          </cell>
          <cell r="O1380">
            <v>7200</v>
          </cell>
          <cell r="P1380">
            <v>-48.387096774193552</v>
          </cell>
        </row>
        <row r="1381">
          <cell r="B1381" t="str">
            <v>001-0010746</v>
          </cell>
          <cell r="C1381" t="str">
            <v>3com  3c250T×/1网络设备</v>
          </cell>
          <cell r="D1381" t="str">
            <v>100MHUB</v>
          </cell>
          <cell r="E1381" t="str">
            <v/>
          </cell>
          <cell r="F1381" t="str">
            <v>台</v>
          </cell>
          <cell r="G1381" t="str">
            <v>199912</v>
          </cell>
          <cell r="H1381" t="str">
            <v>199912</v>
          </cell>
          <cell r="I1381">
            <v>8000</v>
          </cell>
          <cell r="J1381">
            <v>6199.99</v>
          </cell>
          <cell r="K1381">
            <v>8000</v>
          </cell>
          <cell r="L1381">
            <v>6199.99</v>
          </cell>
          <cell r="M1381">
            <v>4800</v>
          </cell>
          <cell r="N1381">
            <v>50</v>
          </cell>
          <cell r="O1381">
            <v>2400</v>
          </cell>
          <cell r="P1381">
            <v>-61.290260145580874</v>
          </cell>
        </row>
        <row r="1382">
          <cell r="B1382" t="str">
            <v>001-0010747</v>
          </cell>
          <cell r="C1382" t="str">
            <v>3com  3c250T×/1网络设备</v>
          </cell>
          <cell r="D1382" t="str">
            <v>100MHUB</v>
          </cell>
          <cell r="E1382" t="str">
            <v/>
          </cell>
          <cell r="F1382" t="str">
            <v>台</v>
          </cell>
          <cell r="G1382" t="str">
            <v>199912</v>
          </cell>
          <cell r="H1382" t="str">
            <v>199912</v>
          </cell>
          <cell r="I1382">
            <v>8000</v>
          </cell>
          <cell r="J1382">
            <v>6199.99</v>
          </cell>
          <cell r="K1382">
            <v>8000</v>
          </cell>
          <cell r="L1382">
            <v>6199.99</v>
          </cell>
          <cell r="M1382">
            <v>4800</v>
          </cell>
          <cell r="N1382">
            <v>50</v>
          </cell>
          <cell r="O1382">
            <v>2400</v>
          </cell>
          <cell r="P1382">
            <v>-61.290260145580874</v>
          </cell>
        </row>
        <row r="1383">
          <cell r="B1383" t="str">
            <v>001-0010748</v>
          </cell>
          <cell r="C1383" t="str">
            <v>3com  3c250T×/1网络设备</v>
          </cell>
          <cell r="D1383" t="str">
            <v>100MHUB</v>
          </cell>
          <cell r="E1383" t="str">
            <v/>
          </cell>
          <cell r="F1383" t="str">
            <v>台</v>
          </cell>
          <cell r="G1383" t="str">
            <v>199912</v>
          </cell>
          <cell r="H1383" t="str">
            <v>199912</v>
          </cell>
          <cell r="I1383">
            <v>8000</v>
          </cell>
          <cell r="J1383">
            <v>6199.99</v>
          </cell>
          <cell r="K1383">
            <v>8000</v>
          </cell>
          <cell r="L1383">
            <v>6199.99</v>
          </cell>
          <cell r="M1383">
            <v>4800</v>
          </cell>
          <cell r="N1383">
            <v>50</v>
          </cell>
          <cell r="O1383">
            <v>2400</v>
          </cell>
          <cell r="P1383">
            <v>-61.290260145580874</v>
          </cell>
        </row>
        <row r="1384">
          <cell r="B1384" t="str">
            <v>001-0010749</v>
          </cell>
          <cell r="C1384" t="str">
            <v>3com  3c250T×/1网络设备</v>
          </cell>
          <cell r="D1384" t="str">
            <v>100MHUB</v>
          </cell>
          <cell r="E1384" t="str">
            <v/>
          </cell>
          <cell r="F1384" t="str">
            <v>台</v>
          </cell>
          <cell r="G1384" t="str">
            <v>199912</v>
          </cell>
          <cell r="H1384" t="str">
            <v>199912</v>
          </cell>
          <cell r="I1384">
            <v>8000</v>
          </cell>
          <cell r="J1384">
            <v>6199.99</v>
          </cell>
          <cell r="K1384">
            <v>8000</v>
          </cell>
          <cell r="L1384">
            <v>6199.99</v>
          </cell>
          <cell r="M1384">
            <v>4800</v>
          </cell>
          <cell r="N1384">
            <v>50</v>
          </cell>
          <cell r="O1384">
            <v>2400</v>
          </cell>
          <cell r="P1384">
            <v>-61.290260145580874</v>
          </cell>
        </row>
        <row r="1385">
          <cell r="B1385" t="str">
            <v>001-0010763</v>
          </cell>
          <cell r="C1385" t="str">
            <v>3com  3c16940网络设备</v>
          </cell>
          <cell r="D1385" t="str">
            <v>100M  Switch</v>
          </cell>
          <cell r="E1385" t="str">
            <v/>
          </cell>
          <cell r="F1385" t="str">
            <v>台</v>
          </cell>
          <cell r="G1385" t="str">
            <v>199912</v>
          </cell>
          <cell r="H1385" t="str">
            <v>199912</v>
          </cell>
          <cell r="I1385">
            <v>40000</v>
          </cell>
          <cell r="J1385">
            <v>32502.99</v>
          </cell>
          <cell r="K1385">
            <v>40000</v>
          </cell>
          <cell r="L1385">
            <v>32502.99</v>
          </cell>
          <cell r="M1385">
            <v>32000</v>
          </cell>
          <cell r="N1385">
            <v>50</v>
          </cell>
          <cell r="O1385">
            <v>16000</v>
          </cell>
          <cell r="P1385">
            <v>-50.773759583349097</v>
          </cell>
        </row>
        <row r="1386">
          <cell r="B1386" t="str">
            <v>001-0010766</v>
          </cell>
          <cell r="C1386" t="str">
            <v>3com  3c16942网络设备</v>
          </cell>
          <cell r="D1386" t="str">
            <v>100M  Switch</v>
          </cell>
          <cell r="E1386" t="str">
            <v/>
          </cell>
          <cell r="F1386" t="str">
            <v>台</v>
          </cell>
          <cell r="G1386" t="str">
            <v>199912</v>
          </cell>
          <cell r="H1386" t="str">
            <v>199912</v>
          </cell>
          <cell r="I1386">
            <v>20000</v>
          </cell>
          <cell r="J1386">
            <v>16251.51</v>
          </cell>
          <cell r="K1386">
            <v>20000</v>
          </cell>
          <cell r="L1386">
            <v>16251.51</v>
          </cell>
          <cell r="M1386">
            <v>16000</v>
          </cell>
          <cell r="N1386">
            <v>50</v>
          </cell>
          <cell r="O1386">
            <v>8000</v>
          </cell>
          <cell r="P1386">
            <v>-50.77380501873364</v>
          </cell>
        </row>
        <row r="1387">
          <cell r="B1387" t="str">
            <v>001-0010768</v>
          </cell>
          <cell r="C1387" t="str">
            <v>光纤模块</v>
          </cell>
          <cell r="D1387" t="str">
            <v>3com  3c262</v>
          </cell>
          <cell r="E1387" t="str">
            <v/>
          </cell>
          <cell r="F1387" t="str">
            <v>台</v>
          </cell>
          <cell r="G1387" t="str">
            <v>199912</v>
          </cell>
          <cell r="H1387" t="str">
            <v>199912</v>
          </cell>
          <cell r="I1387">
            <v>5200</v>
          </cell>
          <cell r="J1387">
            <v>4225.38</v>
          </cell>
          <cell r="K1387">
            <v>5200</v>
          </cell>
          <cell r="L1387">
            <v>4225.38</v>
          </cell>
          <cell r="M1387">
            <v>4000</v>
          </cell>
          <cell r="N1387">
            <v>50</v>
          </cell>
          <cell r="O1387">
            <v>2000</v>
          </cell>
          <cell r="P1387">
            <v>-52.666979064604845</v>
          </cell>
        </row>
        <row r="1388">
          <cell r="B1388" t="str">
            <v>001-0010769</v>
          </cell>
          <cell r="C1388" t="str">
            <v>光纤模块</v>
          </cell>
          <cell r="D1388" t="str">
            <v>3com  3c262</v>
          </cell>
          <cell r="E1388" t="str">
            <v/>
          </cell>
          <cell r="F1388" t="str">
            <v>台</v>
          </cell>
          <cell r="G1388" t="str">
            <v>199912</v>
          </cell>
          <cell r="H1388" t="str">
            <v>199912</v>
          </cell>
          <cell r="I1388">
            <v>5200</v>
          </cell>
          <cell r="J1388">
            <v>4225.38</v>
          </cell>
          <cell r="K1388">
            <v>5200</v>
          </cell>
          <cell r="L1388">
            <v>4225.38</v>
          </cell>
          <cell r="M1388">
            <v>4000</v>
          </cell>
          <cell r="N1388">
            <v>50</v>
          </cell>
          <cell r="O1388">
            <v>2000</v>
          </cell>
          <cell r="P1388">
            <v>-52.666979064604845</v>
          </cell>
        </row>
        <row r="1389">
          <cell r="B1389" t="str">
            <v>001-0010770</v>
          </cell>
          <cell r="C1389" t="str">
            <v>光纤模块</v>
          </cell>
          <cell r="D1389" t="str">
            <v>3com  3c262</v>
          </cell>
          <cell r="E1389" t="str">
            <v/>
          </cell>
          <cell r="F1389" t="str">
            <v>台</v>
          </cell>
          <cell r="G1389" t="str">
            <v>199912</v>
          </cell>
          <cell r="H1389" t="str">
            <v>199912</v>
          </cell>
          <cell r="I1389">
            <v>5200</v>
          </cell>
          <cell r="J1389">
            <v>4225.38</v>
          </cell>
          <cell r="K1389">
            <v>5200</v>
          </cell>
          <cell r="L1389">
            <v>4225.38</v>
          </cell>
          <cell r="M1389">
            <v>4000</v>
          </cell>
          <cell r="N1389">
            <v>50</v>
          </cell>
          <cell r="O1389">
            <v>2000</v>
          </cell>
          <cell r="P1389">
            <v>-52.666979064604845</v>
          </cell>
        </row>
        <row r="1390">
          <cell r="B1390" t="str">
            <v>001-0010771</v>
          </cell>
          <cell r="C1390" t="str">
            <v>光纤模块</v>
          </cell>
          <cell r="D1390" t="str">
            <v>3com  3c262</v>
          </cell>
          <cell r="E1390" t="str">
            <v/>
          </cell>
          <cell r="F1390" t="str">
            <v>台</v>
          </cell>
          <cell r="G1390" t="str">
            <v>199912</v>
          </cell>
          <cell r="H1390" t="str">
            <v>199912</v>
          </cell>
          <cell r="I1390">
            <v>5200</v>
          </cell>
          <cell r="J1390">
            <v>4225.38</v>
          </cell>
          <cell r="K1390">
            <v>5200</v>
          </cell>
          <cell r="L1390">
            <v>4225.38</v>
          </cell>
          <cell r="M1390">
            <v>4000</v>
          </cell>
          <cell r="N1390">
            <v>50</v>
          </cell>
          <cell r="O1390">
            <v>2000</v>
          </cell>
          <cell r="P1390">
            <v>-52.666979064604845</v>
          </cell>
        </row>
        <row r="1391">
          <cell r="B1391" t="str">
            <v>001-0010779</v>
          </cell>
          <cell r="C1391" t="str">
            <v>扫描仪</v>
          </cell>
          <cell r="D1391" t="str">
            <v>HP Scaner  4C</v>
          </cell>
          <cell r="E1391" t="str">
            <v/>
          </cell>
          <cell r="F1391" t="str">
            <v>台</v>
          </cell>
          <cell r="G1391" t="str">
            <v>199912</v>
          </cell>
          <cell r="H1391" t="str">
            <v>199912</v>
          </cell>
          <cell r="I1391">
            <v>8400</v>
          </cell>
          <cell r="J1391">
            <v>7050.54</v>
          </cell>
          <cell r="K1391">
            <v>8400</v>
          </cell>
          <cell r="L1391">
            <v>7050.54</v>
          </cell>
          <cell r="M1391">
            <v>4200</v>
          </cell>
          <cell r="N1391">
            <v>50</v>
          </cell>
          <cell r="O1391">
            <v>2100</v>
          </cell>
          <cell r="P1391">
            <v>-70.215047358074699</v>
          </cell>
        </row>
        <row r="1392">
          <cell r="B1392" t="str">
            <v>001-0010781</v>
          </cell>
          <cell r="C1392" t="str">
            <v>UPS电源</v>
          </cell>
          <cell r="D1392" t="str">
            <v>梅兰日兰MGEX20在线式</v>
          </cell>
          <cell r="E1392" t="str">
            <v/>
          </cell>
          <cell r="F1392" t="str">
            <v>台</v>
          </cell>
          <cell r="G1392" t="str">
            <v>199912</v>
          </cell>
          <cell r="H1392" t="str">
            <v>199912</v>
          </cell>
          <cell r="I1392">
            <v>31890</v>
          </cell>
          <cell r="J1392">
            <v>28302.36</v>
          </cell>
          <cell r="K1392">
            <v>31890</v>
          </cell>
          <cell r="L1392">
            <v>28302.36</v>
          </cell>
          <cell r="M1392">
            <v>26000</v>
          </cell>
          <cell r="N1392">
            <v>50</v>
          </cell>
          <cell r="O1392">
            <v>13000</v>
          </cell>
          <cell r="P1392">
            <v>-54.067434659159161</v>
          </cell>
        </row>
        <row r="1393">
          <cell r="C1393" t="str">
            <v>（通信）</v>
          </cell>
        </row>
        <row r="1394">
          <cell r="B1394" t="str">
            <v>001-0008278</v>
          </cell>
          <cell r="C1394" t="str">
            <v>工控机</v>
          </cell>
          <cell r="D1394" t="str">
            <v>HP586/100</v>
          </cell>
          <cell r="E1394" t="str">
            <v>HP公司</v>
          </cell>
          <cell r="F1394" t="str">
            <v>台</v>
          </cell>
          <cell r="G1394" t="str">
            <v>199610</v>
          </cell>
          <cell r="H1394" t="str">
            <v>199610</v>
          </cell>
          <cell r="I1394">
            <v>26000</v>
          </cell>
          <cell r="J1394">
            <v>15944.5</v>
          </cell>
          <cell r="K1394">
            <v>26000</v>
          </cell>
          <cell r="L1394">
            <v>15944.5</v>
          </cell>
          <cell r="M1394">
            <v>1000</v>
          </cell>
          <cell r="N1394">
            <v>100</v>
          </cell>
          <cell r="O1394">
            <v>1000</v>
          </cell>
          <cell r="P1394">
            <v>-93.728244849321086</v>
          </cell>
        </row>
        <row r="1395">
          <cell r="B1395" t="str">
            <v>001-0009043</v>
          </cell>
          <cell r="C1395" t="str">
            <v>计算机</v>
          </cell>
          <cell r="D1395" t="str">
            <v>VE7/266</v>
          </cell>
          <cell r="E1395" t="str">
            <v>HP公司</v>
          </cell>
          <cell r="F1395" t="str">
            <v>台</v>
          </cell>
          <cell r="G1395" t="str">
            <v>199807</v>
          </cell>
          <cell r="H1395" t="str">
            <v>199807</v>
          </cell>
          <cell r="I1395">
            <v>25200</v>
          </cell>
          <cell r="J1395">
            <v>15960</v>
          </cell>
          <cell r="K1395">
            <v>25200</v>
          </cell>
          <cell r="L1395">
            <v>15960</v>
          </cell>
          <cell r="M1395">
            <v>7000</v>
          </cell>
          <cell r="N1395">
            <v>25</v>
          </cell>
          <cell r="O1395">
            <v>1750</v>
          </cell>
          <cell r="P1395">
            <v>-89.035087719298247</v>
          </cell>
        </row>
        <row r="1396">
          <cell r="B1396" t="str">
            <v>001-0002647</v>
          </cell>
          <cell r="C1396" t="str">
            <v>框式空调机</v>
          </cell>
          <cell r="D1396" t="str">
            <v>东芝-1250</v>
          </cell>
          <cell r="E1396" t="str">
            <v>日本东芝公司</v>
          </cell>
          <cell r="F1396" t="str">
            <v>台</v>
          </cell>
          <cell r="G1396" t="str">
            <v>198908</v>
          </cell>
          <cell r="H1396" t="str">
            <v>198908</v>
          </cell>
          <cell r="I1396">
            <v>38391.21</v>
          </cell>
          <cell r="J1396">
            <v>9115.98</v>
          </cell>
          <cell r="K1396">
            <v>38391.21</v>
          </cell>
          <cell r="L1396">
            <v>9115.98</v>
          </cell>
          <cell r="M1396">
            <v>12000</v>
          </cell>
          <cell r="N1396">
            <v>5</v>
          </cell>
          <cell r="O1396">
            <v>600</v>
          </cell>
          <cell r="P1396">
            <v>-93.418151422008393</v>
          </cell>
        </row>
        <row r="1397">
          <cell r="B1397" t="str">
            <v>001-0002645</v>
          </cell>
          <cell r="C1397" t="str">
            <v>框式空调机</v>
          </cell>
          <cell r="D1397" t="str">
            <v>RAV-1250</v>
          </cell>
          <cell r="E1397" t="str">
            <v>日本东芝公司</v>
          </cell>
          <cell r="F1397" t="str">
            <v>台</v>
          </cell>
          <cell r="G1397" t="str">
            <v>198908</v>
          </cell>
          <cell r="H1397" t="str">
            <v>198908</v>
          </cell>
          <cell r="I1397">
            <v>35786.269999999997</v>
          </cell>
          <cell r="J1397">
            <v>8046.54</v>
          </cell>
          <cell r="K1397">
            <v>35786.269999999997</v>
          </cell>
          <cell r="L1397">
            <v>8046.54</v>
          </cell>
          <cell r="M1397">
            <v>12000</v>
          </cell>
          <cell r="N1397">
            <v>5</v>
          </cell>
          <cell r="O1397">
            <v>600</v>
          </cell>
          <cell r="P1397">
            <v>-92.543378893288292</v>
          </cell>
        </row>
        <row r="1398">
          <cell r="B1398" t="str">
            <v>001-0002646</v>
          </cell>
          <cell r="C1398" t="str">
            <v>框式空调机</v>
          </cell>
          <cell r="D1398" t="str">
            <v>RAV-1250</v>
          </cell>
          <cell r="E1398" t="str">
            <v>日本东芝公司</v>
          </cell>
          <cell r="F1398" t="str">
            <v>台</v>
          </cell>
          <cell r="G1398" t="str">
            <v>198908</v>
          </cell>
          <cell r="H1398" t="str">
            <v>198908</v>
          </cell>
          <cell r="I1398">
            <v>35786.269999999997</v>
          </cell>
          <cell r="J1398">
            <v>8046.54</v>
          </cell>
          <cell r="K1398">
            <v>35786.269999999997</v>
          </cell>
          <cell r="L1398">
            <v>8046.54</v>
          </cell>
          <cell r="M1398">
            <v>12000</v>
          </cell>
          <cell r="N1398">
            <v>5</v>
          </cell>
          <cell r="O1398">
            <v>600</v>
          </cell>
          <cell r="P1398">
            <v>-92.543378893288292</v>
          </cell>
        </row>
        <row r="1399">
          <cell r="B1399" t="str">
            <v>001-0010330</v>
          </cell>
          <cell r="C1399" t="str">
            <v>空调</v>
          </cell>
          <cell r="D1399" t="str">
            <v>华宝</v>
          </cell>
          <cell r="E1399" t="str">
            <v>中国华宝公司</v>
          </cell>
          <cell r="F1399" t="str">
            <v>台</v>
          </cell>
          <cell r="G1399" t="str">
            <v>199911</v>
          </cell>
          <cell r="H1399" t="str">
            <v>199911</v>
          </cell>
          <cell r="I1399">
            <v>11500</v>
          </cell>
          <cell r="J1399">
            <v>9584.08</v>
          </cell>
          <cell r="K1399">
            <v>11500</v>
          </cell>
          <cell r="L1399">
            <v>9584.08</v>
          </cell>
          <cell r="M1399">
            <v>12000</v>
          </cell>
          <cell r="N1399">
            <v>67</v>
          </cell>
          <cell r="O1399">
            <v>8040</v>
          </cell>
          <cell r="P1399">
            <v>-16.110883882438376</v>
          </cell>
        </row>
        <row r="1400">
          <cell r="B1400" t="str">
            <v>001-0001956</v>
          </cell>
          <cell r="C1400" t="str">
            <v>空调柜</v>
          </cell>
          <cell r="D1400" t="str">
            <v>RAV-1000FHME</v>
          </cell>
          <cell r="E1400" t="str">
            <v>日本东芝公司</v>
          </cell>
          <cell r="F1400" t="str">
            <v>台</v>
          </cell>
          <cell r="G1400" t="str">
            <v>198707</v>
          </cell>
          <cell r="H1400" t="str">
            <v>198707</v>
          </cell>
          <cell r="I1400">
            <v>32703.61</v>
          </cell>
          <cell r="J1400">
            <v>3224.57</v>
          </cell>
          <cell r="K1400">
            <v>32703.61</v>
          </cell>
          <cell r="L1400">
            <v>3224.57</v>
          </cell>
          <cell r="M1400">
            <v>12000</v>
          </cell>
          <cell r="N1400">
            <v>5</v>
          </cell>
          <cell r="O1400">
            <v>600</v>
          </cell>
          <cell r="P1400">
            <v>-81.392867886260802</v>
          </cell>
        </row>
        <row r="1401">
          <cell r="B1401" t="str">
            <v>001-0007977</v>
          </cell>
          <cell r="C1401" t="str">
            <v>空调</v>
          </cell>
          <cell r="D1401" t="str">
            <v>柜机  JP5GJ</v>
          </cell>
          <cell r="E1401" t="str">
            <v>日本东芝公司</v>
          </cell>
          <cell r="F1401" t="str">
            <v>台</v>
          </cell>
          <cell r="G1401" t="str">
            <v>199606</v>
          </cell>
          <cell r="H1401" t="str">
            <v>199606</v>
          </cell>
          <cell r="I1401">
            <v>28800</v>
          </cell>
          <cell r="J1401">
            <v>16976.16</v>
          </cell>
          <cell r="K1401">
            <v>28800</v>
          </cell>
          <cell r="L1401">
            <v>16976.16</v>
          </cell>
          <cell r="M1401">
            <v>15000</v>
          </cell>
          <cell r="N1401">
            <v>17</v>
          </cell>
          <cell r="O1401">
            <v>2550</v>
          </cell>
          <cell r="P1401">
            <v>-84.978935165549814</v>
          </cell>
        </row>
        <row r="1402">
          <cell r="B1402" t="str">
            <v>001-0011475</v>
          </cell>
          <cell r="C1402" t="str">
            <v>柜式空调</v>
          </cell>
          <cell r="D1402" t="str">
            <v>科龙KFR-73LW/CYFG</v>
          </cell>
          <cell r="E1402" t="str">
            <v>国产</v>
          </cell>
          <cell r="G1402" t="str">
            <v>200009</v>
          </cell>
          <cell r="H1402" t="str">
            <v>200009</v>
          </cell>
          <cell r="I1402">
            <v>7700</v>
          </cell>
          <cell r="J1402">
            <v>7038.81</v>
          </cell>
          <cell r="K1402">
            <v>7700</v>
          </cell>
          <cell r="L1402">
            <v>7038.81</v>
          </cell>
          <cell r="M1402">
            <v>6500</v>
          </cell>
          <cell r="N1402">
            <v>83</v>
          </cell>
          <cell r="O1402">
            <v>5395</v>
          </cell>
          <cell r="P1402">
            <v>-23.353521404896572</v>
          </cell>
        </row>
        <row r="1403">
          <cell r="B1403" t="str">
            <v>001-0011307</v>
          </cell>
          <cell r="C1403" t="str">
            <v>传真机</v>
          </cell>
          <cell r="D1403" t="str">
            <v>松下8770</v>
          </cell>
          <cell r="E1403" t="str">
            <v>松下公司</v>
          </cell>
          <cell r="G1403" t="str">
            <v>200002</v>
          </cell>
          <cell r="H1403" t="str">
            <v>200002</v>
          </cell>
          <cell r="I1403">
            <v>14800</v>
          </cell>
          <cell r="J1403">
            <v>13258.32</v>
          </cell>
          <cell r="K1403">
            <v>14800</v>
          </cell>
          <cell r="L1403">
            <v>13258.32</v>
          </cell>
          <cell r="M1403">
            <v>10300</v>
          </cell>
          <cell r="N1403">
            <v>80</v>
          </cell>
          <cell r="O1403">
            <v>8240</v>
          </cell>
          <cell r="P1403">
            <v>-37.850346046859627</v>
          </cell>
        </row>
        <row r="1404">
          <cell r="B1404" t="str">
            <v>001-0011535</v>
          </cell>
          <cell r="C1404" t="str">
            <v>空调</v>
          </cell>
          <cell r="D1404" t="str">
            <v>科龙KFR-45</v>
          </cell>
          <cell r="E1404" t="str">
            <v>国产</v>
          </cell>
          <cell r="G1404" t="str">
            <v>200009</v>
          </cell>
          <cell r="H1404" t="str">
            <v>200009</v>
          </cell>
          <cell r="I1404">
            <v>4700</v>
          </cell>
          <cell r="J1404">
            <v>4255.83</v>
          </cell>
          <cell r="K1404">
            <v>4700</v>
          </cell>
          <cell r="L1404">
            <v>4255.83</v>
          </cell>
          <cell r="M1404">
            <v>4200</v>
          </cell>
          <cell r="N1404">
            <v>83</v>
          </cell>
          <cell r="O1404">
            <v>3486</v>
          </cell>
          <cell r="P1404">
            <v>-18.088833435546061</v>
          </cell>
        </row>
        <row r="1405">
          <cell r="B1405" t="str">
            <v>001-0018541</v>
          </cell>
          <cell r="C1405" t="str">
            <v>打印机</v>
          </cell>
          <cell r="D1405" t="str">
            <v>EPSON1600K型</v>
          </cell>
          <cell r="E1405" t="str">
            <v>国产</v>
          </cell>
          <cell r="F1405" t="str">
            <v>台</v>
          </cell>
          <cell r="G1405">
            <v>200109</v>
          </cell>
          <cell r="H1405">
            <v>200109</v>
          </cell>
          <cell r="I1405">
            <v>3860</v>
          </cell>
          <cell r="J1405">
            <v>3762.54</v>
          </cell>
          <cell r="K1405">
            <v>3860</v>
          </cell>
          <cell r="L1405">
            <v>3762.54</v>
          </cell>
          <cell r="M1405">
            <v>3200</v>
          </cell>
          <cell r="N1405">
            <v>95</v>
          </cell>
          <cell r="O1405">
            <v>3040</v>
          </cell>
          <cell r="P1405">
            <v>-19.203516773243607</v>
          </cell>
        </row>
        <row r="1406">
          <cell r="B1406" t="str">
            <v>001-0020175</v>
          </cell>
          <cell r="C1406" t="str">
            <v>手握头戴电话机</v>
          </cell>
          <cell r="D1406" t="str">
            <v>JH-6E</v>
          </cell>
          <cell r="E1406" t="str">
            <v>国产</v>
          </cell>
          <cell r="F1406" t="str">
            <v>个</v>
          </cell>
          <cell r="G1406">
            <v>200112</v>
          </cell>
          <cell r="H1406">
            <v>200112</v>
          </cell>
          <cell r="I1406">
            <v>280</v>
          </cell>
          <cell r="J1406">
            <v>277.18</v>
          </cell>
          <cell r="K1406">
            <v>280</v>
          </cell>
          <cell r="L1406">
            <v>277.18</v>
          </cell>
          <cell r="M1406">
            <v>280</v>
          </cell>
          <cell r="N1406">
            <v>95</v>
          </cell>
          <cell r="O1406">
            <v>266</v>
          </cell>
          <cell r="P1406">
            <v>-4.0334800490655915</v>
          </cell>
        </row>
        <row r="1407">
          <cell r="B1407" t="str">
            <v>001-0020176</v>
          </cell>
          <cell r="C1407" t="str">
            <v>手握头戴电话机</v>
          </cell>
          <cell r="D1407" t="str">
            <v>JH-6E</v>
          </cell>
          <cell r="E1407" t="str">
            <v>国产</v>
          </cell>
          <cell r="F1407" t="str">
            <v>个</v>
          </cell>
          <cell r="G1407">
            <v>200112</v>
          </cell>
          <cell r="H1407">
            <v>200112</v>
          </cell>
          <cell r="I1407">
            <v>280</v>
          </cell>
          <cell r="J1407">
            <v>277.18</v>
          </cell>
          <cell r="K1407">
            <v>280</v>
          </cell>
          <cell r="L1407">
            <v>277.18</v>
          </cell>
          <cell r="M1407">
            <v>280</v>
          </cell>
          <cell r="N1407">
            <v>95</v>
          </cell>
          <cell r="O1407">
            <v>266</v>
          </cell>
          <cell r="P1407">
            <v>-4.0334800490655915</v>
          </cell>
        </row>
        <row r="1408">
          <cell r="B1408" t="str">
            <v>001-0020177</v>
          </cell>
          <cell r="C1408" t="str">
            <v>手握头戴电话机</v>
          </cell>
          <cell r="D1408" t="str">
            <v>JH-6E</v>
          </cell>
          <cell r="E1408" t="str">
            <v>国产</v>
          </cell>
          <cell r="F1408" t="str">
            <v>个</v>
          </cell>
          <cell r="G1408">
            <v>200112</v>
          </cell>
          <cell r="H1408">
            <v>200112</v>
          </cell>
          <cell r="I1408">
            <v>280</v>
          </cell>
          <cell r="J1408">
            <v>277.18</v>
          </cell>
          <cell r="K1408">
            <v>280</v>
          </cell>
          <cell r="L1408">
            <v>277.18</v>
          </cell>
          <cell r="M1408">
            <v>280</v>
          </cell>
          <cell r="N1408">
            <v>95</v>
          </cell>
          <cell r="O1408">
            <v>266</v>
          </cell>
          <cell r="P1408">
            <v>-4.0334800490655915</v>
          </cell>
        </row>
        <row r="1409">
          <cell r="B1409" t="str">
            <v>001-0020178</v>
          </cell>
          <cell r="C1409" t="str">
            <v>手握头戴电话机</v>
          </cell>
          <cell r="D1409" t="str">
            <v>JH-6E</v>
          </cell>
          <cell r="E1409" t="str">
            <v>国产</v>
          </cell>
          <cell r="F1409" t="str">
            <v>个</v>
          </cell>
          <cell r="G1409">
            <v>200112</v>
          </cell>
          <cell r="H1409">
            <v>200112</v>
          </cell>
          <cell r="I1409">
            <v>280</v>
          </cell>
          <cell r="J1409">
            <v>277.66000000000003</v>
          </cell>
          <cell r="K1409">
            <v>280</v>
          </cell>
          <cell r="L1409">
            <v>277.66000000000003</v>
          </cell>
          <cell r="M1409">
            <v>280</v>
          </cell>
          <cell r="N1409">
            <v>95</v>
          </cell>
          <cell r="O1409">
            <v>266</v>
          </cell>
          <cell r="P1409">
            <v>-4.1993805373478441</v>
          </cell>
        </row>
        <row r="1410">
          <cell r="B1410" t="str">
            <v>001-0020179</v>
          </cell>
          <cell r="C1410" t="str">
            <v>手握头戴电话机</v>
          </cell>
          <cell r="D1410" t="str">
            <v>JH-6E</v>
          </cell>
          <cell r="E1410" t="str">
            <v>国产</v>
          </cell>
          <cell r="F1410" t="str">
            <v>个</v>
          </cell>
          <cell r="G1410">
            <v>200112</v>
          </cell>
          <cell r="H1410">
            <v>200112</v>
          </cell>
          <cell r="I1410">
            <v>280</v>
          </cell>
          <cell r="J1410">
            <v>277.66000000000003</v>
          </cell>
          <cell r="K1410">
            <v>280</v>
          </cell>
          <cell r="L1410">
            <v>277.66000000000003</v>
          </cell>
          <cell r="M1410">
            <v>280</v>
          </cell>
          <cell r="N1410">
            <v>95</v>
          </cell>
          <cell r="O1410">
            <v>266</v>
          </cell>
          <cell r="P1410">
            <v>-4.1993805373478441</v>
          </cell>
        </row>
        <row r="1411">
          <cell r="B1411" t="str">
            <v>001-0020180</v>
          </cell>
          <cell r="C1411" t="str">
            <v>手握头戴电话机</v>
          </cell>
          <cell r="D1411" t="str">
            <v>JH-6E</v>
          </cell>
          <cell r="E1411" t="str">
            <v>国产</v>
          </cell>
          <cell r="F1411" t="str">
            <v>个</v>
          </cell>
          <cell r="G1411">
            <v>200112</v>
          </cell>
          <cell r="H1411">
            <v>200112</v>
          </cell>
          <cell r="I1411">
            <v>280</v>
          </cell>
          <cell r="J1411">
            <v>277.18</v>
          </cell>
          <cell r="K1411">
            <v>280</v>
          </cell>
          <cell r="L1411">
            <v>277.18</v>
          </cell>
          <cell r="M1411">
            <v>280</v>
          </cell>
          <cell r="N1411">
            <v>95</v>
          </cell>
          <cell r="O1411">
            <v>266</v>
          </cell>
          <cell r="P1411">
            <v>-4.0334800490655915</v>
          </cell>
        </row>
        <row r="1412">
          <cell r="B1412" t="str">
            <v>001-0020181</v>
          </cell>
          <cell r="C1412" t="str">
            <v>手握头戴电话机</v>
          </cell>
          <cell r="D1412" t="str">
            <v>JH-6E</v>
          </cell>
          <cell r="E1412" t="str">
            <v>国产</v>
          </cell>
          <cell r="F1412" t="str">
            <v>个</v>
          </cell>
          <cell r="G1412">
            <v>200112</v>
          </cell>
          <cell r="H1412">
            <v>200112</v>
          </cell>
          <cell r="I1412">
            <v>280</v>
          </cell>
          <cell r="J1412">
            <v>277.18</v>
          </cell>
          <cell r="K1412">
            <v>280</v>
          </cell>
          <cell r="L1412">
            <v>277.18</v>
          </cell>
          <cell r="M1412">
            <v>280</v>
          </cell>
          <cell r="N1412">
            <v>95</v>
          </cell>
          <cell r="O1412">
            <v>266</v>
          </cell>
          <cell r="P1412">
            <v>-4.0334800490655915</v>
          </cell>
        </row>
        <row r="1413">
          <cell r="B1413" t="str">
            <v>001-0020182</v>
          </cell>
          <cell r="C1413" t="str">
            <v>手握头戴电话机</v>
          </cell>
          <cell r="D1413" t="str">
            <v>JH-6E</v>
          </cell>
          <cell r="E1413" t="str">
            <v>国产</v>
          </cell>
          <cell r="F1413" t="str">
            <v>个</v>
          </cell>
          <cell r="G1413">
            <v>200112</v>
          </cell>
          <cell r="H1413">
            <v>200112</v>
          </cell>
          <cell r="I1413">
            <v>280</v>
          </cell>
          <cell r="J1413">
            <v>277.66000000000003</v>
          </cell>
          <cell r="K1413">
            <v>280</v>
          </cell>
          <cell r="L1413">
            <v>277.66000000000003</v>
          </cell>
          <cell r="M1413">
            <v>280</v>
          </cell>
          <cell r="N1413">
            <v>95</v>
          </cell>
          <cell r="O1413">
            <v>266</v>
          </cell>
          <cell r="P1413">
            <v>-4.1993805373478441</v>
          </cell>
        </row>
        <row r="1414">
          <cell r="B1414" t="str">
            <v>001-0020183</v>
          </cell>
          <cell r="C1414" t="str">
            <v>手握头戴电话机</v>
          </cell>
          <cell r="D1414" t="str">
            <v>JH-6E</v>
          </cell>
          <cell r="E1414" t="str">
            <v>国产</v>
          </cell>
          <cell r="F1414" t="str">
            <v>个</v>
          </cell>
          <cell r="G1414">
            <v>200112</v>
          </cell>
          <cell r="H1414">
            <v>200112</v>
          </cell>
          <cell r="I1414">
            <v>280</v>
          </cell>
          <cell r="J1414">
            <v>277.18</v>
          </cell>
          <cell r="K1414">
            <v>280</v>
          </cell>
          <cell r="L1414">
            <v>277.18</v>
          </cell>
          <cell r="M1414">
            <v>280</v>
          </cell>
          <cell r="N1414">
            <v>95</v>
          </cell>
          <cell r="O1414">
            <v>266</v>
          </cell>
          <cell r="P1414">
            <v>-4.0334800490655915</v>
          </cell>
        </row>
        <row r="1415">
          <cell r="B1415" t="str">
            <v>001-0020184</v>
          </cell>
          <cell r="C1415" t="str">
            <v>手握头戴电话机</v>
          </cell>
          <cell r="D1415" t="str">
            <v>JH-6E</v>
          </cell>
          <cell r="E1415" t="str">
            <v>国产</v>
          </cell>
          <cell r="F1415" t="str">
            <v>个</v>
          </cell>
          <cell r="G1415">
            <v>200112</v>
          </cell>
          <cell r="H1415">
            <v>200112</v>
          </cell>
          <cell r="I1415">
            <v>280</v>
          </cell>
          <cell r="J1415">
            <v>277.66000000000003</v>
          </cell>
          <cell r="K1415">
            <v>280</v>
          </cell>
          <cell r="L1415">
            <v>277.66000000000003</v>
          </cell>
          <cell r="M1415">
            <v>280</v>
          </cell>
          <cell r="N1415">
            <v>95</v>
          </cell>
          <cell r="O1415">
            <v>266</v>
          </cell>
          <cell r="P1415">
            <v>-4.1993805373478441</v>
          </cell>
        </row>
        <row r="1416">
          <cell r="B1416" t="str">
            <v>001-0020185</v>
          </cell>
          <cell r="C1416" t="str">
            <v>打印机</v>
          </cell>
          <cell r="D1416" t="str">
            <v>HP-930G</v>
          </cell>
          <cell r="E1416" t="str">
            <v>国产</v>
          </cell>
          <cell r="F1416" t="str">
            <v>个</v>
          </cell>
          <cell r="G1416">
            <v>200112</v>
          </cell>
          <cell r="H1416">
            <v>200112</v>
          </cell>
          <cell r="I1416">
            <v>1500</v>
          </cell>
          <cell r="J1416">
            <v>1484.84</v>
          </cell>
          <cell r="K1416">
            <v>1500</v>
          </cell>
          <cell r="L1416">
            <v>1484.84</v>
          </cell>
          <cell r="M1416">
            <v>1500</v>
          </cell>
          <cell r="N1416">
            <v>95</v>
          </cell>
          <cell r="O1416">
            <v>1425</v>
          </cell>
          <cell r="P1416">
            <v>-4.0300638452627835</v>
          </cell>
        </row>
        <row r="1417">
          <cell r="C1417" t="str">
            <v>（空调）</v>
          </cell>
        </row>
        <row r="1418">
          <cell r="B1418" t="str">
            <v>001-0008438</v>
          </cell>
          <cell r="C1418" t="str">
            <v>复印机</v>
          </cell>
          <cell r="D1418" t="str">
            <v>理光FT4495</v>
          </cell>
          <cell r="E1418" t="str">
            <v>理光</v>
          </cell>
          <cell r="F1418" t="str">
            <v>台</v>
          </cell>
          <cell r="H1418" t="str">
            <v>9612</v>
          </cell>
          <cell r="I1418">
            <v>29700</v>
          </cell>
          <cell r="J1418">
            <v>10209.36</v>
          </cell>
          <cell r="K1418">
            <v>29700</v>
          </cell>
          <cell r="L1418">
            <v>10209.36</v>
          </cell>
          <cell r="M1418">
            <v>19400</v>
          </cell>
          <cell r="N1418">
            <v>17</v>
          </cell>
          <cell r="O1418">
            <v>3298</v>
          </cell>
          <cell r="P1418">
            <v>-67.696310052735925</v>
          </cell>
        </row>
        <row r="1419">
          <cell r="B1419" t="str">
            <v>001-0010159</v>
          </cell>
          <cell r="C1419" t="str">
            <v>计算机</v>
          </cell>
          <cell r="D1419" t="str">
            <v>HPVE8</v>
          </cell>
          <cell r="E1419" t="str">
            <v>惠普</v>
          </cell>
          <cell r="F1419" t="str">
            <v>台</v>
          </cell>
          <cell r="H1419" t="str">
            <v>9909</v>
          </cell>
          <cell r="I1419">
            <v>12700</v>
          </cell>
          <cell r="J1419">
            <v>9525.01</v>
          </cell>
          <cell r="K1419">
            <v>12700</v>
          </cell>
          <cell r="L1419">
            <v>9525.01</v>
          </cell>
          <cell r="M1419">
            <v>5000</v>
          </cell>
          <cell r="N1419">
            <v>50</v>
          </cell>
          <cell r="O1419">
            <v>2500</v>
          </cell>
          <cell r="P1419">
            <v>-73.753308395476751</v>
          </cell>
        </row>
        <row r="1420">
          <cell r="B1420" t="str">
            <v>001-0011506</v>
          </cell>
          <cell r="C1420" t="str">
            <v>计算机</v>
          </cell>
          <cell r="D1420" t="str">
            <v>HP8188A</v>
          </cell>
          <cell r="E1420" t="str">
            <v>惠普</v>
          </cell>
          <cell r="F1420" t="str">
            <v>台</v>
          </cell>
          <cell r="H1420" t="str">
            <v>0009</v>
          </cell>
          <cell r="I1420">
            <v>9050</v>
          </cell>
          <cell r="J1420">
            <v>7692.49</v>
          </cell>
          <cell r="K1420">
            <v>9050</v>
          </cell>
          <cell r="L1420">
            <v>7692.49</v>
          </cell>
          <cell r="M1420">
            <v>5000</v>
          </cell>
          <cell r="N1420">
            <v>75</v>
          </cell>
          <cell r="O1420">
            <v>3750</v>
          </cell>
          <cell r="P1420">
            <v>-51.251155347618258</v>
          </cell>
        </row>
        <row r="1421">
          <cell r="B1421" t="str">
            <v>001-0010137</v>
          </cell>
          <cell r="C1421" t="str">
            <v>打印机</v>
          </cell>
          <cell r="D1421" t="str">
            <v>激光  HP6L</v>
          </cell>
          <cell r="E1421" t="str">
            <v>惠普</v>
          </cell>
          <cell r="F1421" t="str">
            <v>台</v>
          </cell>
          <cell r="H1421" t="str">
            <v>9909</v>
          </cell>
          <cell r="I1421">
            <v>3150</v>
          </cell>
          <cell r="J1421">
            <v>2165.63</v>
          </cell>
          <cell r="K1421">
            <v>3150</v>
          </cell>
          <cell r="L1421">
            <v>2165.63</v>
          </cell>
          <cell r="M1421">
            <v>3000</v>
          </cell>
          <cell r="N1421">
            <v>60</v>
          </cell>
          <cell r="O1421">
            <v>1800</v>
          </cell>
          <cell r="P1421">
            <v>-16.883308783125468</v>
          </cell>
        </row>
        <row r="1422">
          <cell r="B1422" t="str">
            <v>001-0011532</v>
          </cell>
          <cell r="C1422" t="str">
            <v>激光打印机</v>
          </cell>
          <cell r="D1422" t="str">
            <v>联想LJ6C+(Ⅱ)A3</v>
          </cell>
          <cell r="E1422" t="str">
            <v>联想</v>
          </cell>
          <cell r="F1422" t="str">
            <v>台</v>
          </cell>
          <cell r="H1422" t="str">
            <v>0009</v>
          </cell>
          <cell r="I1422">
            <v>8650</v>
          </cell>
          <cell r="J1422">
            <v>7028.14</v>
          </cell>
          <cell r="K1422">
            <v>8650</v>
          </cell>
          <cell r="L1422">
            <v>7028.14</v>
          </cell>
          <cell r="M1422">
            <v>3100</v>
          </cell>
          <cell r="N1422">
            <v>80</v>
          </cell>
          <cell r="O1422">
            <v>2480</v>
          </cell>
          <cell r="P1422">
            <v>-64.713281181080632</v>
          </cell>
        </row>
        <row r="1423">
          <cell r="B1423" t="str">
            <v>001-0009766</v>
          </cell>
          <cell r="C1423" t="str">
            <v>打印机</v>
          </cell>
          <cell r="D1423" t="str">
            <v>LASERJET-6L</v>
          </cell>
          <cell r="E1423" t="str">
            <v>惠普</v>
          </cell>
          <cell r="F1423" t="str">
            <v>台</v>
          </cell>
          <cell r="H1423" t="str">
            <v>9903</v>
          </cell>
          <cell r="I1423">
            <v>6000</v>
          </cell>
          <cell r="J1423">
            <v>4200</v>
          </cell>
          <cell r="K1423">
            <v>6000</v>
          </cell>
          <cell r="L1423">
            <v>4200</v>
          </cell>
          <cell r="M1423">
            <v>3100</v>
          </cell>
          <cell r="N1423">
            <v>60</v>
          </cell>
          <cell r="O1423">
            <v>1860</v>
          </cell>
          <cell r="P1423">
            <v>-55.714285714285715</v>
          </cell>
        </row>
        <row r="1424">
          <cell r="B1424" t="str">
            <v>001-0009763</v>
          </cell>
          <cell r="C1424" t="str">
            <v>彩显</v>
          </cell>
          <cell r="D1424" t="str">
            <v>20"</v>
          </cell>
          <cell r="E1424" t="str">
            <v>台湾</v>
          </cell>
          <cell r="F1424" t="str">
            <v>台</v>
          </cell>
          <cell r="G1424" t="str">
            <v>9701</v>
          </cell>
          <cell r="H1424" t="str">
            <v>9803</v>
          </cell>
          <cell r="I1424">
            <v>6000</v>
          </cell>
          <cell r="J1424">
            <v>4200</v>
          </cell>
          <cell r="K1424">
            <v>6000</v>
          </cell>
          <cell r="L1424">
            <v>4200</v>
          </cell>
          <cell r="M1424">
            <v>600</v>
          </cell>
          <cell r="N1424">
            <v>100</v>
          </cell>
          <cell r="O1424">
            <v>600</v>
          </cell>
        </row>
        <row r="1425">
          <cell r="B1425" t="str">
            <v>001-0009759</v>
          </cell>
          <cell r="C1425" t="str">
            <v>主机</v>
          </cell>
          <cell r="D1425" t="str">
            <v>LX-P5/166PCI</v>
          </cell>
          <cell r="E1425" t="str">
            <v>联想</v>
          </cell>
          <cell r="F1425" t="str">
            <v>台</v>
          </cell>
          <cell r="G1425" t="str">
            <v>9701</v>
          </cell>
          <cell r="H1425" t="str">
            <v>9803</v>
          </cell>
          <cell r="I1425">
            <v>15000</v>
          </cell>
          <cell r="J1425">
            <v>10500</v>
          </cell>
          <cell r="K1425">
            <v>15000</v>
          </cell>
          <cell r="L1425">
            <v>10500</v>
          </cell>
        </row>
        <row r="1426">
          <cell r="B1426" t="str">
            <v>001-0009767</v>
          </cell>
          <cell r="C1426" t="str">
            <v>打印机</v>
          </cell>
          <cell r="D1426" t="str">
            <v>LASERJET-5L</v>
          </cell>
          <cell r="E1426" t="str">
            <v>惠普</v>
          </cell>
          <cell r="F1426" t="str">
            <v>台</v>
          </cell>
          <cell r="G1426" t="str">
            <v>9701</v>
          </cell>
          <cell r="H1426" t="str">
            <v>9803</v>
          </cell>
          <cell r="I1426">
            <v>6000</v>
          </cell>
          <cell r="J1426">
            <v>4200</v>
          </cell>
          <cell r="K1426">
            <v>6000</v>
          </cell>
          <cell r="L1426">
            <v>4200</v>
          </cell>
          <cell r="M1426">
            <v>3000</v>
          </cell>
          <cell r="N1426">
            <v>60</v>
          </cell>
          <cell r="O1426">
            <v>1800</v>
          </cell>
          <cell r="P1426">
            <v>-57.142857142857139</v>
          </cell>
        </row>
        <row r="1427">
          <cell r="B1427" t="str">
            <v>001-0009764</v>
          </cell>
          <cell r="C1427" t="str">
            <v>彩显</v>
          </cell>
          <cell r="D1427" t="str">
            <v>20"</v>
          </cell>
          <cell r="E1427" t="str">
            <v>台湾</v>
          </cell>
          <cell r="F1427" t="str">
            <v>台</v>
          </cell>
          <cell r="G1427" t="str">
            <v>9701</v>
          </cell>
          <cell r="H1427" t="str">
            <v>9803</v>
          </cell>
          <cell r="I1427">
            <v>6000</v>
          </cell>
          <cell r="J1427">
            <v>4200</v>
          </cell>
          <cell r="K1427">
            <v>6000</v>
          </cell>
          <cell r="L1427">
            <v>4200</v>
          </cell>
          <cell r="M1427">
            <v>400</v>
          </cell>
          <cell r="N1427">
            <v>100</v>
          </cell>
          <cell r="O1427">
            <v>400</v>
          </cell>
        </row>
        <row r="1428">
          <cell r="B1428" t="str">
            <v>001-0009760</v>
          </cell>
          <cell r="C1428" t="str">
            <v>主机</v>
          </cell>
          <cell r="D1428" t="str">
            <v>LX-P5/100PCI</v>
          </cell>
          <cell r="E1428" t="str">
            <v>联想</v>
          </cell>
          <cell r="F1428" t="str">
            <v>台</v>
          </cell>
          <cell r="G1428" t="str">
            <v>9701</v>
          </cell>
          <cell r="H1428" t="str">
            <v>9803</v>
          </cell>
          <cell r="I1428">
            <v>15000</v>
          </cell>
          <cell r="J1428">
            <v>10500</v>
          </cell>
          <cell r="K1428">
            <v>15000</v>
          </cell>
          <cell r="L1428">
            <v>10500</v>
          </cell>
        </row>
        <row r="1429">
          <cell r="B1429" t="str">
            <v>001-0009762</v>
          </cell>
          <cell r="C1429" t="str">
            <v>彩显</v>
          </cell>
          <cell r="D1429" t="str">
            <v>20"</v>
          </cell>
          <cell r="E1429" t="str">
            <v>台湾</v>
          </cell>
          <cell r="F1429" t="str">
            <v>台</v>
          </cell>
          <cell r="G1429" t="str">
            <v>9701</v>
          </cell>
          <cell r="H1429" t="str">
            <v>9803</v>
          </cell>
          <cell r="I1429">
            <v>6000</v>
          </cell>
          <cell r="J1429">
            <v>4200</v>
          </cell>
          <cell r="K1429">
            <v>6000</v>
          </cell>
          <cell r="L1429">
            <v>4200</v>
          </cell>
          <cell r="M1429">
            <v>400</v>
          </cell>
          <cell r="N1429">
            <v>100</v>
          </cell>
          <cell r="O1429">
            <v>400</v>
          </cell>
        </row>
        <row r="1430">
          <cell r="B1430" t="str">
            <v>001-0009758</v>
          </cell>
          <cell r="C1430" t="str">
            <v>主机</v>
          </cell>
          <cell r="D1430" t="str">
            <v>LX-P5/100PCI</v>
          </cell>
          <cell r="E1430" t="str">
            <v>联想</v>
          </cell>
          <cell r="F1430" t="str">
            <v>台</v>
          </cell>
          <cell r="G1430" t="str">
            <v>9701</v>
          </cell>
          <cell r="H1430" t="str">
            <v>9803</v>
          </cell>
          <cell r="I1430">
            <v>15000</v>
          </cell>
          <cell r="J1430">
            <v>10500</v>
          </cell>
          <cell r="K1430">
            <v>15000</v>
          </cell>
          <cell r="L1430">
            <v>10500</v>
          </cell>
        </row>
        <row r="1431">
          <cell r="B1431" t="str">
            <v>001-0009761</v>
          </cell>
          <cell r="C1431" t="str">
            <v>彩显</v>
          </cell>
          <cell r="D1431" t="str">
            <v>20"</v>
          </cell>
          <cell r="E1431" t="str">
            <v>台湾</v>
          </cell>
          <cell r="F1431" t="str">
            <v>台</v>
          </cell>
          <cell r="G1431" t="str">
            <v>9701</v>
          </cell>
          <cell r="H1431" t="str">
            <v>9803</v>
          </cell>
          <cell r="I1431">
            <v>6000</v>
          </cell>
          <cell r="J1431">
            <v>4200</v>
          </cell>
          <cell r="K1431">
            <v>6000</v>
          </cell>
          <cell r="L1431">
            <v>4200</v>
          </cell>
          <cell r="M1431">
            <v>600</v>
          </cell>
          <cell r="N1431">
            <v>100</v>
          </cell>
          <cell r="O1431">
            <v>600</v>
          </cell>
        </row>
        <row r="1432">
          <cell r="B1432" t="str">
            <v>001-0009757</v>
          </cell>
          <cell r="C1432" t="str">
            <v>主机</v>
          </cell>
          <cell r="D1432" t="str">
            <v>LX-P5/166PCI</v>
          </cell>
          <cell r="E1432" t="str">
            <v>联想</v>
          </cell>
          <cell r="F1432" t="str">
            <v>台</v>
          </cell>
          <cell r="G1432" t="str">
            <v>9701</v>
          </cell>
          <cell r="H1432" t="str">
            <v>9803</v>
          </cell>
          <cell r="I1432">
            <v>15000</v>
          </cell>
          <cell r="J1432">
            <v>10500</v>
          </cell>
          <cell r="K1432">
            <v>15000</v>
          </cell>
          <cell r="L1432">
            <v>10500</v>
          </cell>
          <cell r="M1432">
            <v>3100</v>
          </cell>
          <cell r="N1432">
            <v>60</v>
          </cell>
          <cell r="O1432">
            <v>1860</v>
          </cell>
          <cell r="P1432">
            <v>-82.285714285714278</v>
          </cell>
        </row>
        <row r="1433">
          <cell r="B1433" t="str">
            <v>001-0009765</v>
          </cell>
          <cell r="C1433" t="str">
            <v>打印机</v>
          </cell>
          <cell r="D1433" t="str">
            <v>LASERJET-6L</v>
          </cell>
          <cell r="E1433" t="str">
            <v>惠普</v>
          </cell>
          <cell r="F1433" t="str">
            <v>台</v>
          </cell>
          <cell r="G1433" t="str">
            <v>9701</v>
          </cell>
          <cell r="H1433" t="str">
            <v>9803</v>
          </cell>
          <cell r="I1433">
            <v>6000</v>
          </cell>
          <cell r="J1433">
            <v>4200</v>
          </cell>
          <cell r="K1433">
            <v>6000</v>
          </cell>
          <cell r="L1433">
            <v>4200</v>
          </cell>
          <cell r="M1433">
            <v>280</v>
          </cell>
          <cell r="N1433">
            <v>60</v>
          </cell>
          <cell r="O1433">
            <v>168</v>
          </cell>
          <cell r="P1433">
            <v>-96</v>
          </cell>
        </row>
        <row r="1434">
          <cell r="B1434" t="str">
            <v>001-0019252</v>
          </cell>
          <cell r="C1434" t="str">
            <v>计算机</v>
          </cell>
          <cell r="D1434" t="str">
            <v>DELL</v>
          </cell>
          <cell r="E1434" t="str">
            <v>DELL</v>
          </cell>
          <cell r="F1434" t="str">
            <v>台</v>
          </cell>
          <cell r="H1434" t="str">
            <v>0111</v>
          </cell>
          <cell r="I1434">
            <v>11337</v>
          </cell>
          <cell r="J1434">
            <v>11212.02</v>
          </cell>
          <cell r="K1434">
            <v>11337</v>
          </cell>
          <cell r="L1434">
            <v>11212.02</v>
          </cell>
          <cell r="M1434">
            <v>8000</v>
          </cell>
          <cell r="N1434">
            <v>95</v>
          </cell>
          <cell r="O1434">
            <v>7600</v>
          </cell>
          <cell r="P1434">
            <v>-32.215604324644445</v>
          </cell>
        </row>
        <row r="1435">
          <cell r="C1435" t="str">
            <v>（检修分厂）</v>
          </cell>
        </row>
        <row r="1436">
          <cell r="B1436" t="str">
            <v>111</v>
          </cell>
          <cell r="C1436" t="str">
            <v>美能达复印机</v>
          </cell>
          <cell r="D1436" t="str">
            <v/>
          </cell>
          <cell r="F1436" t="str">
            <v>台</v>
          </cell>
          <cell r="G1436">
            <v>34576</v>
          </cell>
          <cell r="H1436">
            <v>34576</v>
          </cell>
          <cell r="I1436">
            <v>32000</v>
          </cell>
          <cell r="J1436">
            <v>5333.17</v>
          </cell>
          <cell r="K1436">
            <v>32000</v>
          </cell>
          <cell r="L1436">
            <v>5333.17</v>
          </cell>
          <cell r="M1436">
            <v>18000</v>
          </cell>
          <cell r="N1436">
            <v>15</v>
          </cell>
          <cell r="O1436">
            <v>2700</v>
          </cell>
          <cell r="P1436">
            <v>-49.373449561892834</v>
          </cell>
        </row>
        <row r="1437">
          <cell r="B1437" t="str">
            <v>112</v>
          </cell>
          <cell r="C1437" t="str">
            <v>美能达复印机</v>
          </cell>
          <cell r="D1437" t="str">
            <v/>
          </cell>
          <cell r="F1437" t="str">
            <v>台</v>
          </cell>
          <cell r="G1437">
            <v>34576</v>
          </cell>
          <cell r="H1437">
            <v>34576</v>
          </cell>
          <cell r="I1437">
            <v>32000</v>
          </cell>
          <cell r="J1437">
            <v>5333.17</v>
          </cell>
          <cell r="K1437">
            <v>32000</v>
          </cell>
          <cell r="L1437">
            <v>5333.17</v>
          </cell>
          <cell r="M1437">
            <v>18000</v>
          </cell>
          <cell r="N1437">
            <v>15</v>
          </cell>
          <cell r="O1437">
            <v>2700</v>
          </cell>
          <cell r="P1437">
            <v>-49.373449561892834</v>
          </cell>
        </row>
        <row r="1438">
          <cell r="B1438" t="str">
            <v>113</v>
          </cell>
          <cell r="C1438" t="str">
            <v>打印机</v>
          </cell>
          <cell r="D1438" t="str">
            <v>BJ-330</v>
          </cell>
          <cell r="F1438" t="str">
            <v>台</v>
          </cell>
          <cell r="G1438">
            <v>35733</v>
          </cell>
          <cell r="H1438">
            <v>35733</v>
          </cell>
          <cell r="I1438">
            <v>8424</v>
          </cell>
          <cell r="J1438">
            <v>3510.47</v>
          </cell>
          <cell r="K1438">
            <v>8424</v>
          </cell>
          <cell r="L1438">
            <v>3510.47</v>
          </cell>
          <cell r="M1438">
            <v>5400</v>
          </cell>
          <cell r="N1438">
            <v>20</v>
          </cell>
          <cell r="O1438">
            <v>1080</v>
          </cell>
          <cell r="P1438">
            <v>-69.234888775577048</v>
          </cell>
        </row>
        <row r="1439">
          <cell r="B1439" t="str">
            <v>114</v>
          </cell>
          <cell r="C1439" t="str">
            <v>彩电</v>
          </cell>
          <cell r="D1439" t="str">
            <v/>
          </cell>
          <cell r="E1439" t="str">
            <v>创维集团</v>
          </cell>
          <cell r="F1439" t="str">
            <v>台</v>
          </cell>
          <cell r="G1439">
            <v>35794</v>
          </cell>
          <cell r="H1439">
            <v>35794</v>
          </cell>
          <cell r="I1439">
            <v>7760</v>
          </cell>
          <cell r="J1439">
            <v>3395.69</v>
          </cell>
          <cell r="K1439">
            <v>7760</v>
          </cell>
          <cell r="L1439">
            <v>3395.69</v>
          </cell>
          <cell r="M1439">
            <v>2900</v>
          </cell>
          <cell r="N1439">
            <v>40</v>
          </cell>
          <cell r="O1439">
            <v>1160</v>
          </cell>
          <cell r="P1439">
            <v>-65.839048912003165</v>
          </cell>
        </row>
        <row r="1440">
          <cell r="B1440" t="str">
            <v>115</v>
          </cell>
          <cell r="C1440" t="str">
            <v>夏普复印机</v>
          </cell>
          <cell r="D1440" t="str">
            <v>2030</v>
          </cell>
          <cell r="E1440" t="str">
            <v>日本夏普</v>
          </cell>
          <cell r="F1440" t="str">
            <v>台</v>
          </cell>
          <cell r="G1440">
            <v>35884</v>
          </cell>
          <cell r="H1440">
            <v>35884</v>
          </cell>
          <cell r="I1440">
            <v>28500</v>
          </cell>
          <cell r="J1440">
            <v>13361.24</v>
          </cell>
          <cell r="K1440">
            <v>28500</v>
          </cell>
          <cell r="L1440">
            <v>13361.24</v>
          </cell>
          <cell r="M1440">
            <v>24000</v>
          </cell>
          <cell r="N1440">
            <v>15</v>
          </cell>
          <cell r="O1440">
            <v>3600</v>
          </cell>
          <cell r="P1440">
            <v>-73.056392969514803</v>
          </cell>
        </row>
        <row r="1441">
          <cell r="B1441" t="str">
            <v>125</v>
          </cell>
          <cell r="C1441" t="str">
            <v>夏普传真机</v>
          </cell>
          <cell r="D1441" t="str">
            <v>1450</v>
          </cell>
          <cell r="E1441" t="str">
            <v>日本夏普</v>
          </cell>
          <cell r="F1441" t="str">
            <v>台</v>
          </cell>
          <cell r="G1441">
            <v>36091</v>
          </cell>
          <cell r="H1441">
            <v>36091</v>
          </cell>
          <cell r="I1441">
            <v>3200</v>
          </cell>
          <cell r="J1441">
            <v>1753.69</v>
          </cell>
          <cell r="K1441">
            <v>3200</v>
          </cell>
          <cell r="L1441">
            <v>1753.69</v>
          </cell>
          <cell r="M1441">
            <v>2800</v>
          </cell>
          <cell r="N1441">
            <v>20</v>
          </cell>
          <cell r="O1441">
            <v>560</v>
          </cell>
          <cell r="P1441">
            <v>-68.067332310727664</v>
          </cell>
        </row>
        <row r="1442">
          <cell r="B1442" t="str">
            <v>131</v>
          </cell>
          <cell r="C1442" t="str">
            <v>打印机</v>
          </cell>
          <cell r="D1442" t="str">
            <v>670K</v>
          </cell>
          <cell r="E1442" t="str">
            <v>爱普生</v>
          </cell>
          <cell r="F1442" t="str">
            <v>台</v>
          </cell>
          <cell r="G1442">
            <v>36284</v>
          </cell>
          <cell r="H1442">
            <v>36284</v>
          </cell>
          <cell r="I1442">
            <v>3500</v>
          </cell>
          <cell r="J1442">
            <v>2151.25</v>
          </cell>
          <cell r="K1442">
            <v>3500</v>
          </cell>
          <cell r="L1442">
            <v>2151.25</v>
          </cell>
          <cell r="M1442">
            <v>3200</v>
          </cell>
          <cell r="N1442">
            <v>50</v>
          </cell>
          <cell r="O1442">
            <v>1600</v>
          </cell>
          <cell r="P1442">
            <v>-25.624636839047067</v>
          </cell>
        </row>
        <row r="1443">
          <cell r="B1443" t="str">
            <v>136</v>
          </cell>
          <cell r="C1443" t="str">
            <v>电视机</v>
          </cell>
          <cell r="D1443" t="str">
            <v/>
          </cell>
          <cell r="E1443" t="str">
            <v>康佳集团</v>
          </cell>
          <cell r="F1443" t="str">
            <v>台</v>
          </cell>
          <cell r="G1443">
            <v>36453</v>
          </cell>
          <cell r="H1443">
            <v>36453</v>
          </cell>
          <cell r="I1443">
            <v>2780</v>
          </cell>
          <cell r="J1443">
            <v>1853.5</v>
          </cell>
          <cell r="K1443">
            <v>2780</v>
          </cell>
          <cell r="L1443">
            <v>1853.5</v>
          </cell>
          <cell r="M1443">
            <v>2500</v>
          </cell>
          <cell r="N1443">
            <v>40</v>
          </cell>
          <cell r="O1443">
            <v>1000</v>
          </cell>
          <cell r="P1443">
            <v>-46.048017264634481</v>
          </cell>
        </row>
        <row r="1444">
          <cell r="B1444" t="str">
            <v>137</v>
          </cell>
          <cell r="C1444" t="str">
            <v>电视机</v>
          </cell>
          <cell r="D1444" t="str">
            <v/>
          </cell>
          <cell r="E1444" t="str">
            <v>康佳集团</v>
          </cell>
          <cell r="F1444" t="str">
            <v>台</v>
          </cell>
          <cell r="G1444">
            <v>36453</v>
          </cell>
          <cell r="H1444">
            <v>36453</v>
          </cell>
          <cell r="I1444">
            <v>2780</v>
          </cell>
          <cell r="J1444">
            <v>1853.5</v>
          </cell>
          <cell r="K1444">
            <v>2780</v>
          </cell>
          <cell r="L1444">
            <v>1853.5</v>
          </cell>
          <cell r="M1444">
            <v>2500</v>
          </cell>
          <cell r="N1444">
            <v>40</v>
          </cell>
          <cell r="O1444">
            <v>1000</v>
          </cell>
          <cell r="P1444">
            <v>-46.048017264634481</v>
          </cell>
        </row>
        <row r="1445">
          <cell r="B1445" t="str">
            <v>142</v>
          </cell>
          <cell r="C1445" t="str">
            <v>派特音响</v>
          </cell>
          <cell r="D1445" t="str">
            <v/>
          </cell>
          <cell r="E1445" t="str">
            <v>广州中山派特</v>
          </cell>
          <cell r="F1445" t="str">
            <v>台</v>
          </cell>
          <cell r="G1445">
            <v>36556</v>
          </cell>
          <cell r="H1445">
            <v>36556</v>
          </cell>
          <cell r="I1445">
            <v>7600</v>
          </cell>
          <cell r="J1445">
            <v>5304.64</v>
          </cell>
          <cell r="K1445">
            <v>7600</v>
          </cell>
          <cell r="L1445">
            <v>5304.64</v>
          </cell>
          <cell r="M1445">
            <v>5600</v>
          </cell>
          <cell r="N1445">
            <v>80</v>
          </cell>
          <cell r="O1445">
            <v>4480</v>
          </cell>
          <cell r="P1445">
            <v>-15.545635519092723</v>
          </cell>
        </row>
        <row r="1446">
          <cell r="B1446" t="str">
            <v>143</v>
          </cell>
          <cell r="C1446" t="str">
            <v>柯达相机</v>
          </cell>
          <cell r="D1446" t="str">
            <v>DL215</v>
          </cell>
          <cell r="F1446" t="str">
            <v>台</v>
          </cell>
          <cell r="G1446">
            <v>36677</v>
          </cell>
          <cell r="H1446">
            <v>36677</v>
          </cell>
          <cell r="I1446">
            <v>4680</v>
          </cell>
          <cell r="J1446">
            <v>3461.59</v>
          </cell>
          <cell r="K1446">
            <v>4680</v>
          </cell>
          <cell r="L1446">
            <v>3461.59</v>
          </cell>
          <cell r="M1446">
            <v>4400</v>
          </cell>
          <cell r="N1446">
            <v>85</v>
          </cell>
          <cell r="O1446">
            <v>3740</v>
          </cell>
          <cell r="P1446">
            <v>8.0428358066668739</v>
          </cell>
        </row>
        <row r="1447">
          <cell r="B1447" t="str">
            <v>145</v>
          </cell>
          <cell r="C1447" t="str">
            <v>标签机</v>
          </cell>
          <cell r="D1447" t="str">
            <v>PF-9200</v>
          </cell>
          <cell r="F1447" t="str">
            <v>台</v>
          </cell>
          <cell r="G1447">
            <v>36806</v>
          </cell>
          <cell r="H1447">
            <v>36806</v>
          </cell>
          <cell r="I1447">
            <v>4480</v>
          </cell>
          <cell r="J1447">
            <v>3546.95</v>
          </cell>
          <cell r="K1447">
            <v>4480</v>
          </cell>
          <cell r="L1447">
            <v>3546.95</v>
          </cell>
          <cell r="M1447">
            <v>4200</v>
          </cell>
          <cell r="N1447">
            <v>80</v>
          </cell>
          <cell r="O1447">
            <v>3360</v>
          </cell>
          <cell r="P1447">
            <v>-5.2707255529398447</v>
          </cell>
        </row>
        <row r="1448">
          <cell r="B1448" t="str">
            <v>006</v>
          </cell>
          <cell r="C1448" t="str">
            <v>格力空调</v>
          </cell>
          <cell r="D1448" t="str">
            <v>KFR-33GW/A</v>
          </cell>
          <cell r="E1448" t="str">
            <v>格力集团</v>
          </cell>
          <cell r="F1448" t="str">
            <v>台</v>
          </cell>
          <cell r="G1448">
            <v>37112</v>
          </cell>
          <cell r="H1448">
            <v>37112</v>
          </cell>
          <cell r="I1448">
            <v>2820</v>
          </cell>
          <cell r="J1448">
            <v>2632</v>
          </cell>
          <cell r="K1448">
            <v>2820</v>
          </cell>
          <cell r="L1448">
            <v>2632</v>
          </cell>
          <cell r="M1448">
            <v>2800</v>
          </cell>
          <cell r="N1448">
            <v>90</v>
          </cell>
          <cell r="O1448">
            <v>2520</v>
          </cell>
          <cell r="P1448">
            <v>-4.2553191489361701</v>
          </cell>
        </row>
        <row r="1449">
          <cell r="B1449" t="str">
            <v>007</v>
          </cell>
          <cell r="C1449" t="str">
            <v>空调</v>
          </cell>
          <cell r="D1449" t="str">
            <v>KFR-32GW</v>
          </cell>
          <cell r="E1449" t="str">
            <v>格力集团</v>
          </cell>
          <cell r="F1449" t="str">
            <v>台</v>
          </cell>
          <cell r="G1449">
            <v>37196</v>
          </cell>
          <cell r="H1449">
            <v>37196</v>
          </cell>
          <cell r="I1449">
            <v>2880</v>
          </cell>
          <cell r="J1449">
            <v>2832</v>
          </cell>
          <cell r="K1449">
            <v>2880</v>
          </cell>
          <cell r="L1449">
            <v>2832</v>
          </cell>
          <cell r="M1449">
            <v>2800</v>
          </cell>
          <cell r="N1449">
            <v>90</v>
          </cell>
          <cell r="O1449">
            <v>2520</v>
          </cell>
          <cell r="P1449">
            <v>-11.016949152542372</v>
          </cell>
        </row>
        <row r="1450">
          <cell r="B1450" t="str">
            <v>008</v>
          </cell>
          <cell r="C1450" t="str">
            <v>打印机</v>
          </cell>
          <cell r="D1450" t="str">
            <v>HP6L</v>
          </cell>
          <cell r="E1450" t="str">
            <v xml:space="preserve">HP公司 </v>
          </cell>
          <cell r="F1450" t="str">
            <v>台</v>
          </cell>
          <cell r="G1450">
            <v>37209</v>
          </cell>
          <cell r="H1450">
            <v>37209</v>
          </cell>
          <cell r="I1450">
            <v>3250</v>
          </cell>
          <cell r="J1450">
            <v>3195.83</v>
          </cell>
          <cell r="K1450">
            <v>3250</v>
          </cell>
          <cell r="L1450">
            <v>3195.83</v>
          </cell>
          <cell r="M1450">
            <v>3200</v>
          </cell>
          <cell r="N1450">
            <v>90</v>
          </cell>
          <cell r="O1450">
            <v>2880</v>
          </cell>
          <cell r="P1450">
            <v>-9.8825657184518558</v>
          </cell>
        </row>
        <row r="1451">
          <cell r="B1451" t="str">
            <v>009</v>
          </cell>
          <cell r="C1451" t="str">
            <v>计算机P3</v>
          </cell>
          <cell r="D1451" t="str">
            <v>128M40G17</v>
          </cell>
          <cell r="F1451" t="str">
            <v>台</v>
          </cell>
          <cell r="G1451">
            <v>37209</v>
          </cell>
          <cell r="H1451">
            <v>37209</v>
          </cell>
          <cell r="I1451">
            <v>9425</v>
          </cell>
          <cell r="J1451">
            <v>9267.92</v>
          </cell>
          <cell r="K1451">
            <v>9425</v>
          </cell>
          <cell r="L1451">
            <v>9267.92</v>
          </cell>
          <cell r="M1451">
            <v>8000</v>
          </cell>
          <cell r="N1451">
            <v>90</v>
          </cell>
          <cell r="O1451">
            <v>7200</v>
          </cell>
          <cell r="P1451">
            <v>-22.312665625080925</v>
          </cell>
        </row>
        <row r="1452">
          <cell r="B1452" t="str">
            <v>010</v>
          </cell>
          <cell r="C1452" t="str">
            <v>传真机</v>
          </cell>
          <cell r="D1452" t="str">
            <v>780</v>
          </cell>
          <cell r="E1452" t="str">
            <v>日本夏普</v>
          </cell>
          <cell r="F1452" t="str">
            <v>台</v>
          </cell>
          <cell r="G1452">
            <v>37221</v>
          </cell>
          <cell r="H1452">
            <v>37221</v>
          </cell>
          <cell r="I1452">
            <v>2250</v>
          </cell>
          <cell r="J1452">
            <v>2212.5</v>
          </cell>
          <cell r="K1452">
            <v>2250</v>
          </cell>
          <cell r="L1452">
            <v>2212.5</v>
          </cell>
          <cell r="M1452">
            <v>2200</v>
          </cell>
          <cell r="N1452">
            <v>90</v>
          </cell>
          <cell r="O1452">
            <v>1980</v>
          </cell>
          <cell r="P1452">
            <v>-10.508474576271185</v>
          </cell>
        </row>
        <row r="1453">
          <cell r="B1453" t="str">
            <v>080</v>
          </cell>
          <cell r="C1453" t="str">
            <v>传真机</v>
          </cell>
          <cell r="D1453" t="str">
            <v/>
          </cell>
          <cell r="F1453" t="str">
            <v>台</v>
          </cell>
          <cell r="G1453">
            <v>34303</v>
          </cell>
          <cell r="H1453">
            <v>34303</v>
          </cell>
          <cell r="I1453">
            <v>14850</v>
          </cell>
          <cell r="J1453">
            <v>7047.59</v>
          </cell>
          <cell r="K1453">
            <v>14850</v>
          </cell>
          <cell r="L1453">
            <v>7047.59</v>
          </cell>
          <cell r="M1453">
            <v>8000</v>
          </cell>
          <cell r="N1453">
            <v>0</v>
          </cell>
          <cell r="O1453">
            <v>0</v>
          </cell>
          <cell r="Q1453" t="str">
            <v>报废</v>
          </cell>
        </row>
        <row r="1454">
          <cell r="B1454" t="str">
            <v>088</v>
          </cell>
          <cell r="C1454" t="str">
            <v>移动电话</v>
          </cell>
          <cell r="D1454" t="str">
            <v/>
          </cell>
          <cell r="F1454" t="str">
            <v>台</v>
          </cell>
          <cell r="G1454">
            <v>34849</v>
          </cell>
          <cell r="H1454">
            <v>34849</v>
          </cell>
          <cell r="I1454">
            <v>9300</v>
          </cell>
          <cell r="J1454">
            <v>5373.02</v>
          </cell>
          <cell r="K1454">
            <v>9300</v>
          </cell>
          <cell r="L1454">
            <v>5373.02</v>
          </cell>
          <cell r="M1454">
            <v>1500</v>
          </cell>
          <cell r="N1454">
            <v>0</v>
          </cell>
          <cell r="O1454">
            <v>0</v>
          </cell>
          <cell r="Q1454" t="str">
            <v>报废</v>
          </cell>
        </row>
        <row r="1455">
          <cell r="B1455" t="str">
            <v>103</v>
          </cell>
          <cell r="C1455" t="str">
            <v>电子计算机</v>
          </cell>
          <cell r="D1455" t="str">
            <v>AST386</v>
          </cell>
          <cell r="F1455" t="str">
            <v>台</v>
          </cell>
          <cell r="G1455">
            <v>34286</v>
          </cell>
          <cell r="H1455">
            <v>34286</v>
          </cell>
          <cell r="I1455">
            <v>16300</v>
          </cell>
          <cell r="J1455">
            <v>0</v>
          </cell>
          <cell r="K1455">
            <v>16300</v>
          </cell>
          <cell r="L1455">
            <v>0</v>
          </cell>
          <cell r="M1455">
            <v>0</v>
          </cell>
          <cell r="O1455">
            <v>0</v>
          </cell>
          <cell r="Q1455" t="str">
            <v>报废</v>
          </cell>
        </row>
        <row r="1456">
          <cell r="B1456" t="str">
            <v>104</v>
          </cell>
          <cell r="C1456" t="str">
            <v>电子计算机</v>
          </cell>
          <cell r="D1456" t="str">
            <v>AST386</v>
          </cell>
          <cell r="F1456" t="str">
            <v>台</v>
          </cell>
          <cell r="G1456">
            <v>34286</v>
          </cell>
          <cell r="H1456">
            <v>34286</v>
          </cell>
          <cell r="I1456">
            <v>16300</v>
          </cell>
          <cell r="J1456">
            <v>0</v>
          </cell>
          <cell r="K1456">
            <v>16300</v>
          </cell>
          <cell r="L1456">
            <v>0</v>
          </cell>
          <cell r="M1456">
            <v>0</v>
          </cell>
          <cell r="O1456">
            <v>0</v>
          </cell>
          <cell r="Q1456" t="str">
            <v>报废</v>
          </cell>
        </row>
        <row r="1457">
          <cell r="B1457" t="str">
            <v>105</v>
          </cell>
          <cell r="C1457" t="str">
            <v>电子计算机</v>
          </cell>
          <cell r="D1457" t="str">
            <v>AST386</v>
          </cell>
          <cell r="F1457" t="str">
            <v>台</v>
          </cell>
          <cell r="G1457">
            <v>34286</v>
          </cell>
          <cell r="H1457">
            <v>34286</v>
          </cell>
          <cell r="I1457">
            <v>16300</v>
          </cell>
          <cell r="J1457">
            <v>0</v>
          </cell>
          <cell r="K1457">
            <v>16300</v>
          </cell>
          <cell r="L1457">
            <v>0</v>
          </cell>
          <cell r="M1457">
            <v>0</v>
          </cell>
          <cell r="O1457">
            <v>0</v>
          </cell>
          <cell r="Q1457" t="str">
            <v>报废</v>
          </cell>
        </row>
        <row r="1458">
          <cell r="B1458" t="str">
            <v>106</v>
          </cell>
          <cell r="C1458" t="str">
            <v>电子计算机</v>
          </cell>
          <cell r="D1458" t="str">
            <v>AST386</v>
          </cell>
          <cell r="F1458" t="str">
            <v>台</v>
          </cell>
          <cell r="G1458">
            <v>34286</v>
          </cell>
          <cell r="H1458">
            <v>34286</v>
          </cell>
          <cell r="I1458">
            <v>16300</v>
          </cell>
          <cell r="J1458">
            <v>0</v>
          </cell>
          <cell r="K1458">
            <v>16300</v>
          </cell>
          <cell r="L1458">
            <v>0</v>
          </cell>
          <cell r="M1458">
            <v>0</v>
          </cell>
          <cell r="O1458">
            <v>0</v>
          </cell>
          <cell r="Q1458" t="str">
            <v>报废</v>
          </cell>
        </row>
        <row r="1459">
          <cell r="B1459" t="str">
            <v>107</v>
          </cell>
          <cell r="C1459" t="str">
            <v>电子计算机</v>
          </cell>
          <cell r="D1459" t="str">
            <v>AST486</v>
          </cell>
          <cell r="F1459" t="str">
            <v>台</v>
          </cell>
          <cell r="G1459">
            <v>34286</v>
          </cell>
          <cell r="H1459">
            <v>34286</v>
          </cell>
          <cell r="I1459">
            <v>34319.199999999997</v>
          </cell>
          <cell r="J1459">
            <v>0</v>
          </cell>
          <cell r="K1459">
            <v>34319.199999999997</v>
          </cell>
          <cell r="L1459">
            <v>0</v>
          </cell>
          <cell r="M1459">
            <v>0</v>
          </cell>
          <cell r="O1459">
            <v>0</v>
          </cell>
          <cell r="Q1459" t="str">
            <v>报废</v>
          </cell>
        </row>
        <row r="1460">
          <cell r="B1460" t="str">
            <v>108</v>
          </cell>
          <cell r="C1460" t="str">
            <v>电子计算机</v>
          </cell>
          <cell r="D1460" t="str">
            <v/>
          </cell>
          <cell r="F1460" t="str">
            <v>台</v>
          </cell>
          <cell r="G1460">
            <v>35945</v>
          </cell>
          <cell r="H1460">
            <v>35945</v>
          </cell>
          <cell r="I1460">
            <v>7760</v>
          </cell>
          <cell r="J1460">
            <v>3181.21</v>
          </cell>
          <cell r="K1460">
            <v>7760</v>
          </cell>
          <cell r="L1460">
            <v>3181.21</v>
          </cell>
          <cell r="M1460">
            <v>3000</v>
          </cell>
          <cell r="N1460">
            <v>25</v>
          </cell>
          <cell r="O1460">
            <v>750</v>
          </cell>
          <cell r="P1460">
            <v>-76.424065057006601</v>
          </cell>
        </row>
        <row r="1461">
          <cell r="B1461" t="str">
            <v>109</v>
          </cell>
          <cell r="C1461" t="str">
            <v>电子计算机</v>
          </cell>
          <cell r="D1461" t="str">
            <v>AST486</v>
          </cell>
          <cell r="F1461" t="str">
            <v>台</v>
          </cell>
          <cell r="G1461">
            <v>34910</v>
          </cell>
          <cell r="H1461">
            <v>34910</v>
          </cell>
          <cell r="I1461">
            <v>33493.9</v>
          </cell>
          <cell r="J1461">
            <v>0</v>
          </cell>
          <cell r="K1461">
            <v>33493.9</v>
          </cell>
          <cell r="L1461">
            <v>0</v>
          </cell>
          <cell r="M1461">
            <v>0</v>
          </cell>
          <cell r="O1461">
            <v>0</v>
          </cell>
          <cell r="Q1461" t="str">
            <v>待报废</v>
          </cell>
        </row>
        <row r="1462">
          <cell r="B1462" t="str">
            <v>110</v>
          </cell>
          <cell r="C1462" t="str">
            <v>电子计算机</v>
          </cell>
          <cell r="D1462" t="str">
            <v>HP586</v>
          </cell>
          <cell r="F1462" t="str">
            <v>台</v>
          </cell>
          <cell r="G1462">
            <v>35733</v>
          </cell>
          <cell r="H1462">
            <v>35733</v>
          </cell>
          <cell r="I1462">
            <v>48087</v>
          </cell>
          <cell r="J1462">
            <v>16508.11</v>
          </cell>
          <cell r="K1462">
            <v>48087</v>
          </cell>
          <cell r="L1462">
            <v>16508.11</v>
          </cell>
          <cell r="M1462">
            <v>6000</v>
          </cell>
          <cell r="N1462">
            <v>15</v>
          </cell>
          <cell r="O1462">
            <v>900</v>
          </cell>
          <cell r="P1462">
            <v>-94.548134220089395</v>
          </cell>
        </row>
        <row r="1463">
          <cell r="B1463" t="str">
            <v>133</v>
          </cell>
          <cell r="C1463" t="str">
            <v>电子计算机</v>
          </cell>
          <cell r="D1463" t="str">
            <v/>
          </cell>
          <cell r="F1463" t="str">
            <v>台</v>
          </cell>
          <cell r="G1463">
            <v>36346</v>
          </cell>
          <cell r="H1463">
            <v>36346</v>
          </cell>
          <cell r="I1463">
            <v>14200</v>
          </cell>
          <cell r="J1463">
            <v>7478.29</v>
          </cell>
          <cell r="K1463">
            <v>14200</v>
          </cell>
          <cell r="L1463">
            <v>7478.29</v>
          </cell>
          <cell r="M1463">
            <v>3000</v>
          </cell>
          <cell r="N1463">
            <v>50</v>
          </cell>
          <cell r="O1463">
            <v>1500</v>
          </cell>
          <cell r="P1463">
            <v>-79.941938598262439</v>
          </cell>
        </row>
        <row r="1464">
          <cell r="B1464" t="str">
            <v>134</v>
          </cell>
          <cell r="C1464" t="str">
            <v>电子计算机</v>
          </cell>
          <cell r="D1464" t="str">
            <v>HP</v>
          </cell>
          <cell r="F1464" t="str">
            <v>台</v>
          </cell>
          <cell r="G1464">
            <v>36346</v>
          </cell>
          <cell r="H1464">
            <v>36346</v>
          </cell>
          <cell r="I1464">
            <v>33460</v>
          </cell>
          <cell r="J1464">
            <v>17621.259999999998</v>
          </cell>
          <cell r="K1464">
            <v>33460</v>
          </cell>
          <cell r="L1464">
            <v>17621.259999999998</v>
          </cell>
          <cell r="M1464">
            <v>12000</v>
          </cell>
          <cell r="N1464">
            <v>50</v>
          </cell>
          <cell r="O1464">
            <v>6000</v>
          </cell>
          <cell r="P1464">
            <v>-65.950221493809181</v>
          </cell>
        </row>
        <row r="1465">
          <cell r="B1465" t="str">
            <v>2001-07</v>
          </cell>
          <cell r="C1465" t="str">
            <v>会议桌</v>
          </cell>
          <cell r="D1465" t="str">
            <v/>
          </cell>
          <cell r="F1465" t="str">
            <v>台</v>
          </cell>
          <cell r="G1465">
            <v>37214</v>
          </cell>
          <cell r="H1465">
            <v>37214</v>
          </cell>
          <cell r="I1465">
            <v>17900</v>
          </cell>
          <cell r="J1465">
            <v>17601.669999999998</v>
          </cell>
          <cell r="K1465">
            <v>17900</v>
          </cell>
          <cell r="L1465">
            <v>17601.669999999998</v>
          </cell>
          <cell r="M1465">
            <v>17900</v>
          </cell>
          <cell r="N1465">
            <v>80</v>
          </cell>
          <cell r="O1465">
            <v>14320</v>
          </cell>
          <cell r="P1465">
            <v>-18.644083203468753</v>
          </cell>
        </row>
        <row r="1466">
          <cell r="B1466" t="str">
            <v>2001-03</v>
          </cell>
          <cell r="C1466" t="str">
            <v>海尔空调</v>
          </cell>
          <cell r="D1466" t="str">
            <v>KFR33GW/A</v>
          </cell>
          <cell r="F1466" t="str">
            <v>台</v>
          </cell>
          <cell r="G1466">
            <v>37050</v>
          </cell>
          <cell r="H1466">
            <v>37050</v>
          </cell>
          <cell r="I1466">
            <v>3507</v>
          </cell>
          <cell r="J1466">
            <v>3068.89</v>
          </cell>
          <cell r="K1466">
            <v>3507</v>
          </cell>
          <cell r="L1466">
            <v>3068.89</v>
          </cell>
          <cell r="M1466">
            <v>3500</v>
          </cell>
          <cell r="N1466">
            <v>90</v>
          </cell>
          <cell r="O1466">
            <v>3150</v>
          </cell>
          <cell r="P1466">
            <v>2.6429751473659899</v>
          </cell>
        </row>
        <row r="1467">
          <cell r="B1467" t="str">
            <v>2001-04</v>
          </cell>
          <cell r="C1467" t="str">
            <v>海尔空调</v>
          </cell>
          <cell r="D1467" t="str">
            <v>KFR33GW/A</v>
          </cell>
          <cell r="F1467" t="str">
            <v>台</v>
          </cell>
          <cell r="G1467">
            <v>37050</v>
          </cell>
          <cell r="H1467">
            <v>37050</v>
          </cell>
          <cell r="I1467">
            <v>42084</v>
          </cell>
          <cell r="J1467">
            <v>36826.550000000003</v>
          </cell>
          <cell r="K1467">
            <v>42084</v>
          </cell>
          <cell r="L1467">
            <v>36826.550000000003</v>
          </cell>
          <cell r="M1467">
            <v>42000</v>
          </cell>
          <cell r="N1467">
            <v>90</v>
          </cell>
          <cell r="O1467">
            <v>37800</v>
          </cell>
          <cell r="P1467">
            <v>2.6433374834188839</v>
          </cell>
        </row>
        <row r="1468">
          <cell r="B1468" t="str">
            <v>2001-05</v>
          </cell>
          <cell r="C1468" t="str">
            <v>格力空调</v>
          </cell>
          <cell r="D1468" t="str">
            <v>KFR33GW/A</v>
          </cell>
          <cell r="F1468" t="str">
            <v>台</v>
          </cell>
          <cell r="G1468">
            <v>37064</v>
          </cell>
          <cell r="H1468">
            <v>37064</v>
          </cell>
          <cell r="I1468">
            <v>5660</v>
          </cell>
          <cell r="J1468">
            <v>4952.91</v>
          </cell>
          <cell r="K1468">
            <v>5660</v>
          </cell>
          <cell r="L1468">
            <v>4952.91</v>
          </cell>
          <cell r="M1468">
            <v>5600</v>
          </cell>
          <cell r="N1468">
            <v>90</v>
          </cell>
          <cell r="O1468">
            <v>5040</v>
          </cell>
          <cell r="P1468">
            <v>1.7583602367093314</v>
          </cell>
        </row>
        <row r="1469">
          <cell r="B1469" t="str">
            <v>2001-06</v>
          </cell>
          <cell r="C1469" t="str">
            <v>格力空调</v>
          </cell>
          <cell r="D1469" t="str">
            <v>KFR202GW/G</v>
          </cell>
          <cell r="F1469" t="str">
            <v>台</v>
          </cell>
          <cell r="G1469">
            <v>37064</v>
          </cell>
          <cell r="H1469">
            <v>37064</v>
          </cell>
          <cell r="I1469">
            <v>5840</v>
          </cell>
          <cell r="J1469">
            <v>5110.45</v>
          </cell>
          <cell r="K1469">
            <v>5840</v>
          </cell>
          <cell r="L1469">
            <v>5110.45</v>
          </cell>
          <cell r="M1469">
            <v>5800</v>
          </cell>
          <cell r="N1469">
            <v>90</v>
          </cell>
          <cell r="O1469">
            <v>5220</v>
          </cell>
          <cell r="P1469">
            <v>2.1436468412762122</v>
          </cell>
        </row>
        <row r="1470">
          <cell r="B1470" t="str">
            <v>2001-01</v>
          </cell>
          <cell r="C1470" t="str">
            <v>海尔空调</v>
          </cell>
          <cell r="D1470" t="str">
            <v>KFR-33GW/B</v>
          </cell>
          <cell r="F1470" t="str">
            <v>台</v>
          </cell>
          <cell r="G1470">
            <v>37033</v>
          </cell>
          <cell r="H1470">
            <v>37033</v>
          </cell>
          <cell r="I1470">
            <v>3300</v>
          </cell>
          <cell r="J1470">
            <v>2853.34</v>
          </cell>
          <cell r="K1470">
            <v>3300</v>
          </cell>
          <cell r="L1470">
            <v>2853.34</v>
          </cell>
          <cell r="M1470">
            <v>3300</v>
          </cell>
          <cell r="N1470">
            <v>90</v>
          </cell>
          <cell r="O1470">
            <v>2970</v>
          </cell>
          <cell r="P1470">
            <v>4.0885418492012819</v>
          </cell>
        </row>
        <row r="1471">
          <cell r="B1471" t="str">
            <v>2001-02</v>
          </cell>
          <cell r="C1471" t="str">
            <v>海尔空调</v>
          </cell>
          <cell r="D1471" t="str">
            <v>KFR-33GW/B</v>
          </cell>
          <cell r="F1471" t="str">
            <v>台</v>
          </cell>
          <cell r="G1471">
            <v>37033</v>
          </cell>
          <cell r="H1471">
            <v>37033</v>
          </cell>
          <cell r="I1471">
            <v>13200</v>
          </cell>
          <cell r="J1471">
            <v>11413.46</v>
          </cell>
          <cell r="K1471">
            <v>13200</v>
          </cell>
          <cell r="L1471">
            <v>11413.46</v>
          </cell>
          <cell r="M1471">
            <v>13200</v>
          </cell>
          <cell r="N1471">
            <v>90</v>
          </cell>
          <cell r="O1471">
            <v>11880</v>
          </cell>
          <cell r="P1471">
            <v>4.0876298685937567</v>
          </cell>
        </row>
        <row r="1472">
          <cell r="B1472" t="str">
            <v>116</v>
          </cell>
          <cell r="C1472" t="str">
            <v>清扫器</v>
          </cell>
          <cell r="D1472" t="str">
            <v/>
          </cell>
          <cell r="F1472" t="str">
            <v>台</v>
          </cell>
          <cell r="G1472">
            <v>34491</v>
          </cell>
          <cell r="H1472">
            <v>34491</v>
          </cell>
          <cell r="I1472">
            <v>9200</v>
          </cell>
          <cell r="J1472">
            <v>3214.48</v>
          </cell>
          <cell r="K1472">
            <v>9200</v>
          </cell>
          <cell r="L1472">
            <v>3214.48</v>
          </cell>
          <cell r="M1472">
            <v>9200</v>
          </cell>
          <cell r="N1472">
            <v>30</v>
          </cell>
          <cell r="O1472">
            <v>2760</v>
          </cell>
          <cell r="P1472">
            <v>-14.138523182598743</v>
          </cell>
        </row>
        <row r="1473">
          <cell r="B1473" t="str">
            <v>117</v>
          </cell>
          <cell r="C1473" t="str">
            <v>空调机</v>
          </cell>
          <cell r="D1473" t="str">
            <v/>
          </cell>
          <cell r="F1473" t="str">
            <v>台</v>
          </cell>
          <cell r="G1473">
            <v>34607</v>
          </cell>
          <cell r="H1473">
            <v>34607</v>
          </cell>
          <cell r="I1473">
            <v>2467.4899999999998</v>
          </cell>
          <cell r="J1473">
            <v>1018.84</v>
          </cell>
          <cell r="K1473">
            <v>2467.4899999999998</v>
          </cell>
          <cell r="L1473">
            <v>1018.84</v>
          </cell>
          <cell r="M1473">
            <v>1800</v>
          </cell>
          <cell r="N1473">
            <v>5</v>
          </cell>
          <cell r="O1473">
            <v>90</v>
          </cell>
          <cell r="P1473">
            <v>-91.166424561265757</v>
          </cell>
        </row>
        <row r="1474">
          <cell r="B1474" t="str">
            <v>118</v>
          </cell>
          <cell r="C1474" t="str">
            <v>空调机</v>
          </cell>
          <cell r="D1474" t="str">
            <v>KFR-35GW</v>
          </cell>
          <cell r="F1474" t="str">
            <v>台</v>
          </cell>
          <cell r="G1474">
            <v>35033</v>
          </cell>
          <cell r="H1474">
            <v>35033</v>
          </cell>
          <cell r="I1474">
            <v>53410</v>
          </cell>
          <cell r="J1474">
            <v>29303.03</v>
          </cell>
          <cell r="K1474">
            <v>53410</v>
          </cell>
          <cell r="L1474">
            <v>29303.03</v>
          </cell>
          <cell r="M1474">
            <v>53400</v>
          </cell>
          <cell r="N1474">
            <v>5</v>
          </cell>
          <cell r="O1474">
            <v>2670</v>
          </cell>
          <cell r="P1474">
            <v>-90.888314280127346</v>
          </cell>
        </row>
        <row r="1475">
          <cell r="B1475" t="str">
            <v>119</v>
          </cell>
          <cell r="C1475" t="str">
            <v>科龙空调机</v>
          </cell>
          <cell r="D1475" t="str">
            <v>KC-25</v>
          </cell>
          <cell r="F1475" t="str">
            <v>台</v>
          </cell>
          <cell r="G1475">
            <v>35368</v>
          </cell>
          <cell r="H1475">
            <v>35368</v>
          </cell>
          <cell r="I1475">
            <v>30690</v>
          </cell>
          <cell r="J1475">
            <v>19368.18</v>
          </cell>
          <cell r="K1475">
            <v>30690</v>
          </cell>
          <cell r="L1475">
            <v>19368.18</v>
          </cell>
          <cell r="M1475">
            <v>21000</v>
          </cell>
          <cell r="N1475">
            <v>5</v>
          </cell>
          <cell r="O1475">
            <v>1050</v>
          </cell>
          <cell r="P1475">
            <v>-94.578736876670916</v>
          </cell>
        </row>
        <row r="1476">
          <cell r="B1476" t="str">
            <v>120</v>
          </cell>
          <cell r="C1476" t="str">
            <v>科龙空调机</v>
          </cell>
          <cell r="D1476" t="str">
            <v/>
          </cell>
          <cell r="F1476" t="str">
            <v>台</v>
          </cell>
          <cell r="G1476">
            <v>35703</v>
          </cell>
          <cell r="H1476">
            <v>35703</v>
          </cell>
          <cell r="I1476">
            <v>6197.49</v>
          </cell>
          <cell r="J1476">
            <v>4316.6099999999997</v>
          </cell>
          <cell r="K1476">
            <v>6197.49</v>
          </cell>
          <cell r="L1476">
            <v>4316.6099999999997</v>
          </cell>
          <cell r="M1476">
            <v>4500</v>
          </cell>
          <cell r="N1476">
            <v>5</v>
          </cell>
          <cell r="O1476">
            <v>225</v>
          </cell>
          <cell r="P1476">
            <v>-94.787576362006291</v>
          </cell>
        </row>
        <row r="1477">
          <cell r="B1477" t="str">
            <v>121</v>
          </cell>
          <cell r="C1477" t="str">
            <v>科龙空调机</v>
          </cell>
          <cell r="D1477" t="str">
            <v/>
          </cell>
          <cell r="F1477" t="str">
            <v>台</v>
          </cell>
          <cell r="G1477">
            <v>35703</v>
          </cell>
          <cell r="H1477">
            <v>35703</v>
          </cell>
          <cell r="I1477">
            <v>6197.49</v>
          </cell>
          <cell r="J1477">
            <v>4316.6099999999997</v>
          </cell>
          <cell r="K1477">
            <v>6197.49</v>
          </cell>
          <cell r="L1477">
            <v>4316.6099999999997</v>
          </cell>
          <cell r="M1477">
            <v>4500</v>
          </cell>
          <cell r="N1477">
            <v>5</v>
          </cell>
          <cell r="O1477">
            <v>225</v>
          </cell>
          <cell r="P1477">
            <v>-94.787576362006291</v>
          </cell>
        </row>
        <row r="1478">
          <cell r="B1478" t="str">
            <v>122</v>
          </cell>
          <cell r="C1478" t="str">
            <v>格力柜式空调机</v>
          </cell>
          <cell r="D1478" t="str">
            <v>RFD12WAK</v>
          </cell>
          <cell r="F1478" t="str">
            <v>台</v>
          </cell>
          <cell r="G1478">
            <v>35733</v>
          </cell>
          <cell r="H1478">
            <v>35733</v>
          </cell>
          <cell r="I1478">
            <v>30548.7</v>
          </cell>
          <cell r="J1478">
            <v>21460.7</v>
          </cell>
          <cell r="K1478">
            <v>30548.7</v>
          </cell>
          <cell r="L1478">
            <v>21460.7</v>
          </cell>
          <cell r="M1478">
            <v>18000</v>
          </cell>
          <cell r="N1478">
            <v>50</v>
          </cell>
          <cell r="O1478">
            <v>9000</v>
          </cell>
          <cell r="P1478">
            <v>-58.062877725330488</v>
          </cell>
        </row>
        <row r="1479">
          <cell r="B1479" t="str">
            <v>123</v>
          </cell>
          <cell r="C1479" t="str">
            <v>海尔冷柜</v>
          </cell>
          <cell r="D1479" t="str">
            <v>253A</v>
          </cell>
          <cell r="F1479" t="str">
            <v>台</v>
          </cell>
          <cell r="G1479">
            <v>35794</v>
          </cell>
          <cell r="H1479">
            <v>35794</v>
          </cell>
          <cell r="I1479">
            <v>3700</v>
          </cell>
          <cell r="J1479">
            <v>2643.09</v>
          </cell>
          <cell r="K1479">
            <v>3700</v>
          </cell>
          <cell r="L1479">
            <v>2643.09</v>
          </cell>
          <cell r="M1479">
            <v>2200</v>
          </cell>
          <cell r="N1479">
            <v>50</v>
          </cell>
          <cell r="O1479">
            <v>1100</v>
          </cell>
          <cell r="P1479">
            <v>-58.382045257634061</v>
          </cell>
        </row>
        <row r="1480">
          <cell r="B1480" t="str">
            <v>124</v>
          </cell>
          <cell r="C1480" t="str">
            <v>立式空调机</v>
          </cell>
          <cell r="D1480" t="str">
            <v/>
          </cell>
          <cell r="F1480" t="str">
            <v>台</v>
          </cell>
          <cell r="G1480">
            <v>36037</v>
          </cell>
          <cell r="H1480">
            <v>36037</v>
          </cell>
          <cell r="I1480">
            <v>39312</v>
          </cell>
          <cell r="J1480">
            <v>29955.61</v>
          </cell>
          <cell r="K1480">
            <v>39312</v>
          </cell>
          <cell r="L1480">
            <v>29955.61</v>
          </cell>
          <cell r="M1480">
            <v>32000</v>
          </cell>
          <cell r="N1480">
            <v>60</v>
          </cell>
          <cell r="O1480">
            <v>19200</v>
          </cell>
          <cell r="P1480">
            <v>-35.905161003231115</v>
          </cell>
        </row>
        <row r="1481">
          <cell r="B1481" t="str">
            <v>004</v>
          </cell>
          <cell r="C1481" t="str">
            <v>笔记本电脑</v>
          </cell>
          <cell r="D1481" t="str">
            <v>紫光H3250C</v>
          </cell>
          <cell r="F1481" t="str">
            <v>台</v>
          </cell>
          <cell r="G1481">
            <v>37110</v>
          </cell>
          <cell r="H1481">
            <v>37110</v>
          </cell>
          <cell r="I1481">
            <v>12500</v>
          </cell>
          <cell r="J1481">
            <v>11666.67</v>
          </cell>
          <cell r="K1481">
            <v>12500</v>
          </cell>
          <cell r="L1481">
            <v>11666.67</v>
          </cell>
          <cell r="M1481">
            <v>12500</v>
          </cell>
          <cell r="N1481">
            <v>90</v>
          </cell>
          <cell r="O1481">
            <v>11250</v>
          </cell>
          <cell r="P1481">
            <v>-3.5714561224411088</v>
          </cell>
        </row>
        <row r="1482">
          <cell r="B1482" t="str">
            <v>005</v>
          </cell>
          <cell r="C1482" t="str">
            <v>编程器</v>
          </cell>
          <cell r="D1482" t="str">
            <v>XELTEK</v>
          </cell>
          <cell r="F1482" t="str">
            <v>台</v>
          </cell>
          <cell r="G1482">
            <v>37110</v>
          </cell>
          <cell r="H1482">
            <v>37110</v>
          </cell>
          <cell r="I1482">
            <v>26000</v>
          </cell>
          <cell r="J1482">
            <v>24266.67</v>
          </cell>
          <cell r="K1482">
            <v>26000</v>
          </cell>
          <cell r="L1482">
            <v>24266.67</v>
          </cell>
          <cell r="M1482">
            <v>2600</v>
          </cell>
          <cell r="N1482">
            <v>90</v>
          </cell>
          <cell r="O1482">
            <v>2340</v>
          </cell>
          <cell r="P1482">
            <v>-90.357144181710964</v>
          </cell>
        </row>
        <row r="1484">
          <cell r="C1484" t="str">
            <v>合计</v>
          </cell>
          <cell r="I1484">
            <v>28777400.779999983</v>
          </cell>
          <cell r="J1484">
            <v>20391461.069999848</v>
          </cell>
          <cell r="K1484">
            <v>28777400.779999983</v>
          </cell>
          <cell r="L1484">
            <v>20391461.069999848</v>
          </cell>
          <cell r="M1484">
            <v>22297815</v>
          </cell>
          <cell r="O1484">
            <v>15092171</v>
          </cell>
          <cell r="P1484">
            <v>-25.987789947019657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S01-01"/>
      <sheetName val="YS02-02"/>
      <sheetName val="YYY"/>
      <sheetName val="TTT"/>
      <sheetName val="5折旧预测ok"/>
      <sheetName val="预收帐款"/>
      <sheetName val="XL4Poppy"/>
      <sheetName val=""/>
      <sheetName val="KKKKKKKK"/>
      <sheetName val="SW-TEO"/>
      <sheetName val="5-1-3管沟"/>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目录"/>
      <sheetName val="项目指标"/>
      <sheetName val="假设条件"/>
      <sheetName val="收入假设"/>
      <sheetName val="月度收入"/>
      <sheetName val="季度收入"/>
      <sheetName val="Sheet1"/>
      <sheetName val="收入"/>
      <sheetName val="成本"/>
      <sheetName val="费用"/>
      <sheetName val="税金"/>
      <sheetName val="融资"/>
      <sheetName val="资产负债表"/>
      <sheetName val="损益表"/>
      <sheetName val="现金流量表"/>
      <sheetName val="销售价格假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XL4Poppy"/>
      <sheetName val=""/>
      <sheetName val="KKKKKKKK"/>
      <sheetName val="名称"/>
      <sheetName val="收入"/>
      <sheetName val="模板参数"/>
      <sheetName val="申报表封面"/>
      <sheetName val="tiaojian"/>
    </sheetNames>
    <sheetDataSet>
      <sheetData sheetId="0"/>
      <sheetData sheetId="1"/>
      <sheetData sheetId="2"/>
      <sheetData sheetId="3"/>
      <sheetData sheetId="4"/>
      <sheetData sheetId="5"/>
      <sheetData sheetId="6"/>
      <sheetData sheetId="7" refreshError="1">
        <row r="1">
          <cell r="A1" t="str">
            <v xml:space="preserve">                          工时统计表</v>
          </cell>
        </row>
        <row r="4">
          <cell r="H4" t="str">
            <v>索引号: Z13-1</v>
          </cell>
        </row>
        <row r="5">
          <cell r="A5" t="str">
            <v>被审计单位:</v>
          </cell>
        </row>
        <row r="6">
          <cell r="A6" t="str">
            <v>所属时期:  2000年</v>
          </cell>
        </row>
        <row r="8">
          <cell r="E8" t="str">
            <v>个人系数</v>
          </cell>
        </row>
        <row r="10">
          <cell r="A10" t="str">
            <v>日期</v>
          </cell>
          <cell r="B10" t="str">
            <v>星期</v>
          </cell>
          <cell r="C10" t="str">
            <v>起时间</v>
          </cell>
          <cell r="D10" t="str">
            <v>迄时间</v>
          </cell>
          <cell r="E10" t="str">
            <v>工作时数</v>
          </cell>
          <cell r="F10" t="str">
            <v>A</v>
          </cell>
          <cell r="G10" t="str">
            <v>B</v>
          </cell>
          <cell r="H10" t="str">
            <v>C</v>
          </cell>
          <cell r="I10" t="str">
            <v>D</v>
          </cell>
          <cell r="J10" t="str">
            <v>E</v>
          </cell>
          <cell r="K10" t="str">
            <v>F</v>
          </cell>
          <cell r="L10" t="str">
            <v>G</v>
          </cell>
          <cell r="M10" t="str">
            <v>H</v>
          </cell>
          <cell r="N10" t="str">
            <v>I</v>
          </cell>
          <cell r="O10" t="str">
            <v>J</v>
          </cell>
        </row>
        <row r="11">
          <cell r="F11" t="str">
            <v>折算工时</v>
          </cell>
        </row>
        <row r="12">
          <cell r="B12" t="str">
            <v/>
          </cell>
          <cell r="C12">
            <v>0</v>
          </cell>
          <cell r="D12">
            <v>0</v>
          </cell>
          <cell r="E12" t="str">
            <v/>
          </cell>
          <cell r="F12" t="str">
            <v/>
          </cell>
          <cell r="G12" t="str">
            <v/>
          </cell>
          <cell r="H12" t="str">
            <v/>
          </cell>
          <cell r="I12" t="str">
            <v/>
          </cell>
          <cell r="J12" t="str">
            <v/>
          </cell>
          <cell r="K12" t="str">
            <v/>
          </cell>
          <cell r="L12" t="str">
            <v/>
          </cell>
          <cell r="M12" t="str">
            <v/>
          </cell>
          <cell r="N12" t="str">
            <v/>
          </cell>
          <cell r="O12" t="str">
            <v/>
          </cell>
        </row>
        <row r="13">
          <cell r="B13" t="str">
            <v/>
          </cell>
          <cell r="C13">
            <v>0</v>
          </cell>
          <cell r="D13">
            <v>0</v>
          </cell>
          <cell r="E13" t="str">
            <v/>
          </cell>
          <cell r="F13" t="str">
            <v/>
          </cell>
          <cell r="G13" t="str">
            <v/>
          </cell>
          <cell r="H13" t="str">
            <v/>
          </cell>
          <cell r="I13" t="str">
            <v/>
          </cell>
          <cell r="J13" t="str">
            <v/>
          </cell>
          <cell r="K13" t="str">
            <v/>
          </cell>
          <cell r="L13" t="str">
            <v/>
          </cell>
          <cell r="M13" t="str">
            <v/>
          </cell>
          <cell r="N13" t="str">
            <v/>
          </cell>
          <cell r="O13" t="str">
            <v/>
          </cell>
        </row>
        <row r="14">
          <cell r="B14" t="str">
            <v/>
          </cell>
          <cell r="C14">
            <v>0</v>
          </cell>
          <cell r="D14">
            <v>0</v>
          </cell>
          <cell r="E14" t="str">
            <v/>
          </cell>
          <cell r="F14" t="str">
            <v/>
          </cell>
          <cell r="G14" t="str">
            <v/>
          </cell>
          <cell r="H14" t="str">
            <v/>
          </cell>
          <cell r="I14" t="str">
            <v/>
          </cell>
          <cell r="J14" t="str">
            <v/>
          </cell>
          <cell r="K14" t="str">
            <v/>
          </cell>
          <cell r="L14" t="str">
            <v/>
          </cell>
          <cell r="M14" t="str">
            <v/>
          </cell>
          <cell r="N14" t="str">
            <v/>
          </cell>
          <cell r="O14" t="str">
            <v/>
          </cell>
        </row>
        <row r="15">
          <cell r="B15" t="str">
            <v/>
          </cell>
          <cell r="C15">
            <v>0</v>
          </cell>
          <cell r="D15">
            <v>0</v>
          </cell>
          <cell r="E15" t="str">
            <v/>
          </cell>
          <cell r="F15" t="str">
            <v/>
          </cell>
          <cell r="G15" t="str">
            <v/>
          </cell>
          <cell r="H15" t="str">
            <v/>
          </cell>
          <cell r="I15" t="str">
            <v/>
          </cell>
          <cell r="J15" t="str">
            <v/>
          </cell>
          <cell r="K15" t="str">
            <v/>
          </cell>
          <cell r="L15" t="str">
            <v/>
          </cell>
          <cell r="M15" t="str">
            <v/>
          </cell>
          <cell r="N15" t="str">
            <v/>
          </cell>
          <cell r="O15" t="str">
            <v/>
          </cell>
        </row>
        <row r="16">
          <cell r="B16" t="str">
            <v/>
          </cell>
          <cell r="C16">
            <v>0</v>
          </cell>
          <cell r="D16">
            <v>0</v>
          </cell>
          <cell r="E16" t="str">
            <v/>
          </cell>
          <cell r="F16" t="str">
            <v/>
          </cell>
          <cell r="G16" t="str">
            <v/>
          </cell>
          <cell r="H16" t="str">
            <v/>
          </cell>
          <cell r="I16" t="str">
            <v/>
          </cell>
          <cell r="J16" t="str">
            <v/>
          </cell>
          <cell r="K16" t="str">
            <v/>
          </cell>
          <cell r="L16" t="str">
            <v/>
          </cell>
          <cell r="M16" t="str">
            <v/>
          </cell>
          <cell r="N16" t="str">
            <v/>
          </cell>
          <cell r="O16" t="str">
            <v/>
          </cell>
        </row>
        <row r="17">
          <cell r="B17" t="str">
            <v/>
          </cell>
          <cell r="C17">
            <v>0</v>
          </cell>
          <cell r="D17">
            <v>0</v>
          </cell>
          <cell r="E17" t="str">
            <v/>
          </cell>
          <cell r="F17" t="str">
            <v/>
          </cell>
          <cell r="G17" t="str">
            <v/>
          </cell>
          <cell r="H17" t="str">
            <v/>
          </cell>
          <cell r="I17" t="str">
            <v/>
          </cell>
          <cell r="J17" t="str">
            <v/>
          </cell>
          <cell r="K17" t="str">
            <v/>
          </cell>
          <cell r="L17" t="str">
            <v/>
          </cell>
          <cell r="M17" t="str">
            <v/>
          </cell>
          <cell r="N17" t="str">
            <v/>
          </cell>
          <cell r="O17" t="str">
            <v/>
          </cell>
        </row>
        <row r="18">
          <cell r="B18" t="str">
            <v/>
          </cell>
          <cell r="C18">
            <v>0</v>
          </cell>
          <cell r="D18">
            <v>0</v>
          </cell>
          <cell r="E18" t="str">
            <v/>
          </cell>
          <cell r="F18" t="str">
            <v/>
          </cell>
          <cell r="G18" t="str">
            <v/>
          </cell>
          <cell r="H18" t="str">
            <v/>
          </cell>
          <cell r="I18" t="str">
            <v/>
          </cell>
          <cell r="J18" t="str">
            <v/>
          </cell>
          <cell r="K18" t="str">
            <v/>
          </cell>
          <cell r="L18" t="str">
            <v/>
          </cell>
          <cell r="M18" t="str">
            <v/>
          </cell>
          <cell r="N18" t="str">
            <v/>
          </cell>
          <cell r="O18" t="str">
            <v/>
          </cell>
        </row>
        <row r="19">
          <cell r="B19" t="str">
            <v/>
          </cell>
          <cell r="C19">
            <v>0</v>
          </cell>
          <cell r="D19">
            <v>0</v>
          </cell>
          <cell r="E19" t="str">
            <v/>
          </cell>
          <cell r="F19" t="str">
            <v/>
          </cell>
          <cell r="G19" t="str">
            <v/>
          </cell>
          <cell r="H19" t="str">
            <v/>
          </cell>
          <cell r="I19" t="str">
            <v/>
          </cell>
          <cell r="J19" t="str">
            <v/>
          </cell>
          <cell r="K19" t="str">
            <v/>
          </cell>
          <cell r="L19" t="str">
            <v/>
          </cell>
          <cell r="M19" t="str">
            <v/>
          </cell>
          <cell r="N19" t="str">
            <v/>
          </cell>
          <cell r="O19" t="str">
            <v/>
          </cell>
        </row>
        <row r="20">
          <cell r="B20" t="str">
            <v/>
          </cell>
          <cell r="C20">
            <v>0</v>
          </cell>
          <cell r="D20">
            <v>0</v>
          </cell>
          <cell r="E20" t="str">
            <v/>
          </cell>
          <cell r="F20" t="str">
            <v/>
          </cell>
          <cell r="G20" t="str">
            <v/>
          </cell>
          <cell r="H20" t="str">
            <v/>
          </cell>
          <cell r="I20" t="str">
            <v/>
          </cell>
          <cell r="J20" t="str">
            <v/>
          </cell>
          <cell r="K20" t="str">
            <v/>
          </cell>
          <cell r="L20" t="str">
            <v/>
          </cell>
          <cell r="M20" t="str">
            <v/>
          </cell>
          <cell r="N20" t="str">
            <v/>
          </cell>
          <cell r="O20" t="str">
            <v/>
          </cell>
        </row>
        <row r="21">
          <cell r="B21" t="str">
            <v/>
          </cell>
          <cell r="C21">
            <v>0</v>
          </cell>
          <cell r="D21">
            <v>0</v>
          </cell>
          <cell r="E21" t="str">
            <v/>
          </cell>
          <cell r="F21" t="str">
            <v/>
          </cell>
          <cell r="G21" t="str">
            <v/>
          </cell>
          <cell r="H21" t="str">
            <v/>
          </cell>
          <cell r="I21" t="str">
            <v/>
          </cell>
          <cell r="J21" t="str">
            <v/>
          </cell>
          <cell r="K21" t="str">
            <v/>
          </cell>
          <cell r="L21" t="str">
            <v/>
          </cell>
          <cell r="M21" t="str">
            <v/>
          </cell>
          <cell r="N21" t="str">
            <v/>
          </cell>
          <cell r="O21" t="str">
            <v/>
          </cell>
        </row>
        <row r="22">
          <cell r="B22" t="str">
            <v/>
          </cell>
          <cell r="C22">
            <v>0</v>
          </cell>
          <cell r="D22">
            <v>0</v>
          </cell>
          <cell r="E22" t="str">
            <v/>
          </cell>
          <cell r="F22" t="str">
            <v/>
          </cell>
          <cell r="G22" t="str">
            <v/>
          </cell>
          <cell r="H22" t="str">
            <v/>
          </cell>
          <cell r="I22" t="str">
            <v/>
          </cell>
          <cell r="J22" t="str">
            <v/>
          </cell>
          <cell r="K22" t="str">
            <v/>
          </cell>
          <cell r="L22" t="str">
            <v/>
          </cell>
          <cell r="M22" t="str">
            <v/>
          </cell>
          <cell r="N22" t="str">
            <v/>
          </cell>
          <cell r="O22" t="str">
            <v/>
          </cell>
        </row>
        <row r="23">
          <cell r="B23" t="str">
            <v/>
          </cell>
          <cell r="C23">
            <v>0</v>
          </cell>
          <cell r="D23">
            <v>0</v>
          </cell>
          <cell r="E23" t="str">
            <v/>
          </cell>
          <cell r="F23" t="str">
            <v/>
          </cell>
          <cell r="G23" t="str">
            <v/>
          </cell>
          <cell r="H23" t="str">
            <v/>
          </cell>
          <cell r="I23" t="str">
            <v/>
          </cell>
          <cell r="J23" t="str">
            <v/>
          </cell>
          <cell r="K23" t="str">
            <v/>
          </cell>
          <cell r="L23" t="str">
            <v/>
          </cell>
          <cell r="M23" t="str">
            <v/>
          </cell>
          <cell r="N23" t="str">
            <v/>
          </cell>
          <cell r="O23" t="str">
            <v/>
          </cell>
        </row>
        <row r="24">
          <cell r="B24" t="str">
            <v/>
          </cell>
          <cell r="C24">
            <v>0</v>
          </cell>
          <cell r="D24">
            <v>0</v>
          </cell>
          <cell r="E24" t="str">
            <v/>
          </cell>
          <cell r="F24" t="str">
            <v/>
          </cell>
          <cell r="G24" t="str">
            <v/>
          </cell>
          <cell r="H24" t="str">
            <v/>
          </cell>
          <cell r="I24" t="str">
            <v/>
          </cell>
          <cell r="J24" t="str">
            <v/>
          </cell>
          <cell r="K24" t="str">
            <v/>
          </cell>
          <cell r="L24" t="str">
            <v/>
          </cell>
          <cell r="M24" t="str">
            <v/>
          </cell>
          <cell r="N24" t="str">
            <v/>
          </cell>
          <cell r="O24" t="str">
            <v/>
          </cell>
        </row>
        <row r="25">
          <cell r="B25" t="str">
            <v/>
          </cell>
          <cell r="C25">
            <v>0</v>
          </cell>
          <cell r="D25">
            <v>0</v>
          </cell>
          <cell r="E25" t="str">
            <v/>
          </cell>
          <cell r="F25" t="str">
            <v/>
          </cell>
          <cell r="G25" t="str">
            <v/>
          </cell>
          <cell r="H25" t="str">
            <v/>
          </cell>
          <cell r="I25" t="str">
            <v/>
          </cell>
          <cell r="J25" t="str">
            <v/>
          </cell>
          <cell r="K25" t="str">
            <v/>
          </cell>
          <cell r="L25" t="str">
            <v/>
          </cell>
          <cell r="M25" t="str">
            <v/>
          </cell>
          <cell r="N25" t="str">
            <v/>
          </cell>
          <cell r="O25" t="str">
            <v/>
          </cell>
        </row>
        <row r="26">
          <cell r="B26" t="str">
            <v/>
          </cell>
          <cell r="C26">
            <v>0</v>
          </cell>
          <cell r="D26">
            <v>0</v>
          </cell>
          <cell r="E26" t="str">
            <v/>
          </cell>
          <cell r="F26" t="str">
            <v/>
          </cell>
          <cell r="G26" t="str">
            <v/>
          </cell>
          <cell r="H26" t="str">
            <v/>
          </cell>
          <cell r="I26" t="str">
            <v/>
          </cell>
          <cell r="J26" t="str">
            <v/>
          </cell>
          <cell r="K26" t="str">
            <v/>
          </cell>
          <cell r="L26" t="str">
            <v/>
          </cell>
          <cell r="M26" t="str">
            <v/>
          </cell>
          <cell r="N26" t="str">
            <v/>
          </cell>
          <cell r="O26" t="str">
            <v/>
          </cell>
        </row>
        <row r="27">
          <cell r="B27" t="str">
            <v/>
          </cell>
          <cell r="C27">
            <v>0</v>
          </cell>
          <cell r="D27">
            <v>0</v>
          </cell>
          <cell r="E27" t="str">
            <v/>
          </cell>
          <cell r="F27" t="str">
            <v/>
          </cell>
          <cell r="G27" t="str">
            <v/>
          </cell>
          <cell r="H27" t="str">
            <v/>
          </cell>
          <cell r="I27" t="str">
            <v/>
          </cell>
          <cell r="J27" t="str">
            <v/>
          </cell>
          <cell r="K27" t="str">
            <v/>
          </cell>
          <cell r="L27" t="str">
            <v/>
          </cell>
          <cell r="M27" t="str">
            <v/>
          </cell>
          <cell r="N27" t="str">
            <v/>
          </cell>
          <cell r="O27" t="str">
            <v/>
          </cell>
        </row>
        <row r="28">
          <cell r="B28" t="str">
            <v/>
          </cell>
          <cell r="C28">
            <v>0</v>
          </cell>
          <cell r="D28">
            <v>0</v>
          </cell>
          <cell r="E28" t="str">
            <v/>
          </cell>
          <cell r="F28" t="str">
            <v/>
          </cell>
          <cell r="G28" t="str">
            <v/>
          </cell>
          <cell r="H28" t="str">
            <v/>
          </cell>
          <cell r="I28" t="str">
            <v/>
          </cell>
          <cell r="J28" t="str">
            <v/>
          </cell>
          <cell r="K28" t="str">
            <v/>
          </cell>
          <cell r="L28" t="str">
            <v/>
          </cell>
          <cell r="M28" t="str">
            <v/>
          </cell>
          <cell r="N28" t="str">
            <v/>
          </cell>
          <cell r="O28" t="str">
            <v/>
          </cell>
        </row>
        <row r="29">
          <cell r="B29" t="str">
            <v/>
          </cell>
          <cell r="C29">
            <v>0</v>
          </cell>
          <cell r="D29">
            <v>0</v>
          </cell>
          <cell r="E29" t="str">
            <v/>
          </cell>
          <cell r="F29" t="str">
            <v/>
          </cell>
          <cell r="G29" t="str">
            <v/>
          </cell>
          <cell r="H29" t="str">
            <v/>
          </cell>
          <cell r="I29" t="str">
            <v/>
          </cell>
          <cell r="J29" t="str">
            <v/>
          </cell>
          <cell r="K29" t="str">
            <v/>
          </cell>
          <cell r="L29" t="str">
            <v/>
          </cell>
          <cell r="M29" t="str">
            <v/>
          </cell>
          <cell r="N29" t="str">
            <v/>
          </cell>
          <cell r="O29" t="str">
            <v/>
          </cell>
        </row>
        <row r="30">
          <cell r="B30" t="str">
            <v/>
          </cell>
          <cell r="C30">
            <v>0</v>
          </cell>
          <cell r="D30">
            <v>0</v>
          </cell>
          <cell r="E30" t="str">
            <v/>
          </cell>
          <cell r="F30" t="str">
            <v/>
          </cell>
          <cell r="G30" t="str">
            <v/>
          </cell>
          <cell r="H30" t="str">
            <v/>
          </cell>
          <cell r="I30" t="str">
            <v/>
          </cell>
          <cell r="J30" t="str">
            <v/>
          </cell>
          <cell r="K30" t="str">
            <v/>
          </cell>
          <cell r="L30" t="str">
            <v/>
          </cell>
          <cell r="M30" t="str">
            <v/>
          </cell>
          <cell r="N30" t="str">
            <v/>
          </cell>
          <cell r="O30" t="str">
            <v/>
          </cell>
        </row>
        <row r="31">
          <cell r="B31" t="str">
            <v/>
          </cell>
          <cell r="C31">
            <v>0</v>
          </cell>
          <cell r="D31">
            <v>0</v>
          </cell>
          <cell r="E31" t="str">
            <v/>
          </cell>
          <cell r="F31" t="str">
            <v/>
          </cell>
          <cell r="G31" t="str">
            <v/>
          </cell>
          <cell r="H31" t="str">
            <v/>
          </cell>
          <cell r="I31" t="str">
            <v/>
          </cell>
          <cell r="J31" t="str">
            <v/>
          </cell>
          <cell r="K31" t="str">
            <v/>
          </cell>
          <cell r="L31" t="str">
            <v/>
          </cell>
          <cell r="M31" t="str">
            <v/>
          </cell>
          <cell r="N31" t="str">
            <v/>
          </cell>
          <cell r="O31" t="str">
            <v/>
          </cell>
        </row>
        <row r="32">
          <cell r="B32" t="str">
            <v/>
          </cell>
          <cell r="C32">
            <v>0</v>
          </cell>
          <cell r="D32">
            <v>0</v>
          </cell>
          <cell r="E32" t="str">
            <v/>
          </cell>
          <cell r="F32" t="str">
            <v/>
          </cell>
          <cell r="G32" t="str">
            <v/>
          </cell>
          <cell r="H32" t="str">
            <v/>
          </cell>
          <cell r="I32" t="str">
            <v/>
          </cell>
          <cell r="J32" t="str">
            <v/>
          </cell>
          <cell r="K32" t="str">
            <v/>
          </cell>
          <cell r="L32" t="str">
            <v/>
          </cell>
          <cell r="M32" t="str">
            <v/>
          </cell>
          <cell r="N32" t="str">
            <v/>
          </cell>
          <cell r="O32" t="str">
            <v/>
          </cell>
        </row>
        <row r="33">
          <cell r="B33" t="str">
            <v/>
          </cell>
          <cell r="C33">
            <v>0</v>
          </cell>
          <cell r="D33">
            <v>0</v>
          </cell>
          <cell r="E33" t="str">
            <v/>
          </cell>
          <cell r="F33" t="str">
            <v/>
          </cell>
          <cell r="G33" t="str">
            <v/>
          </cell>
          <cell r="H33" t="str">
            <v/>
          </cell>
          <cell r="I33" t="str">
            <v/>
          </cell>
          <cell r="J33" t="str">
            <v/>
          </cell>
          <cell r="K33" t="str">
            <v/>
          </cell>
          <cell r="L33" t="str">
            <v/>
          </cell>
          <cell r="M33" t="str">
            <v/>
          </cell>
          <cell r="N33" t="str">
            <v/>
          </cell>
          <cell r="O33" t="str">
            <v/>
          </cell>
        </row>
        <row r="34">
          <cell r="B34" t="str">
            <v/>
          </cell>
          <cell r="C34">
            <v>0</v>
          </cell>
          <cell r="D34">
            <v>0</v>
          </cell>
          <cell r="E34" t="str">
            <v/>
          </cell>
          <cell r="F34" t="str">
            <v/>
          </cell>
          <cell r="G34" t="str">
            <v/>
          </cell>
          <cell r="H34" t="str">
            <v/>
          </cell>
          <cell r="I34" t="str">
            <v/>
          </cell>
          <cell r="J34" t="str">
            <v/>
          </cell>
          <cell r="K34" t="str">
            <v/>
          </cell>
          <cell r="L34" t="str">
            <v/>
          </cell>
          <cell r="M34" t="str">
            <v/>
          </cell>
          <cell r="N34" t="str">
            <v/>
          </cell>
          <cell r="O34" t="str">
            <v/>
          </cell>
        </row>
        <row r="35">
          <cell r="B35" t="str">
            <v/>
          </cell>
          <cell r="C35">
            <v>0</v>
          </cell>
          <cell r="D35">
            <v>0</v>
          </cell>
          <cell r="E35" t="str">
            <v/>
          </cell>
          <cell r="F35" t="str">
            <v/>
          </cell>
          <cell r="G35" t="str">
            <v/>
          </cell>
          <cell r="H35" t="str">
            <v/>
          </cell>
          <cell r="I35" t="str">
            <v/>
          </cell>
          <cell r="J35" t="str">
            <v/>
          </cell>
          <cell r="K35" t="str">
            <v/>
          </cell>
          <cell r="L35" t="str">
            <v/>
          </cell>
          <cell r="M35" t="str">
            <v/>
          </cell>
          <cell r="N35" t="str">
            <v/>
          </cell>
          <cell r="O35" t="str">
            <v/>
          </cell>
        </row>
        <row r="36">
          <cell r="B36" t="str">
            <v/>
          </cell>
          <cell r="C36">
            <v>0</v>
          </cell>
          <cell r="D36">
            <v>0</v>
          </cell>
          <cell r="E36" t="str">
            <v/>
          </cell>
          <cell r="F36" t="str">
            <v/>
          </cell>
          <cell r="G36" t="str">
            <v/>
          </cell>
          <cell r="H36" t="str">
            <v/>
          </cell>
          <cell r="I36" t="str">
            <v/>
          </cell>
          <cell r="J36" t="str">
            <v/>
          </cell>
          <cell r="K36" t="str">
            <v/>
          </cell>
          <cell r="L36" t="str">
            <v/>
          </cell>
          <cell r="M36" t="str">
            <v/>
          </cell>
          <cell r="N36" t="str">
            <v/>
          </cell>
          <cell r="O36" t="str">
            <v/>
          </cell>
        </row>
        <row r="37">
          <cell r="B37" t="str">
            <v/>
          </cell>
          <cell r="C37">
            <v>0</v>
          </cell>
          <cell r="D37">
            <v>0</v>
          </cell>
          <cell r="E37" t="str">
            <v/>
          </cell>
          <cell r="F37" t="str">
            <v/>
          </cell>
          <cell r="G37" t="str">
            <v/>
          </cell>
          <cell r="H37" t="str">
            <v/>
          </cell>
          <cell r="I37" t="str">
            <v/>
          </cell>
          <cell r="J37" t="str">
            <v/>
          </cell>
          <cell r="K37" t="str">
            <v/>
          </cell>
          <cell r="L37" t="str">
            <v/>
          </cell>
          <cell r="M37" t="str">
            <v/>
          </cell>
          <cell r="N37" t="str">
            <v/>
          </cell>
          <cell r="O37" t="str">
            <v/>
          </cell>
        </row>
        <row r="38">
          <cell r="B38" t="str">
            <v/>
          </cell>
          <cell r="C38">
            <v>0</v>
          </cell>
          <cell r="D38">
            <v>0</v>
          </cell>
          <cell r="E38" t="str">
            <v/>
          </cell>
          <cell r="F38" t="str">
            <v/>
          </cell>
          <cell r="G38" t="str">
            <v/>
          </cell>
          <cell r="H38" t="str">
            <v/>
          </cell>
          <cell r="I38" t="str">
            <v/>
          </cell>
          <cell r="J38" t="str">
            <v/>
          </cell>
          <cell r="K38" t="str">
            <v/>
          </cell>
          <cell r="L38" t="str">
            <v/>
          </cell>
          <cell r="M38" t="str">
            <v/>
          </cell>
          <cell r="N38" t="str">
            <v/>
          </cell>
          <cell r="O38" t="str">
            <v/>
          </cell>
        </row>
        <row r="39">
          <cell r="B39" t="str">
            <v/>
          </cell>
          <cell r="C39">
            <v>0</v>
          </cell>
          <cell r="D39">
            <v>0</v>
          </cell>
          <cell r="E39" t="str">
            <v/>
          </cell>
          <cell r="F39" t="str">
            <v/>
          </cell>
          <cell r="G39" t="str">
            <v/>
          </cell>
          <cell r="H39" t="str">
            <v/>
          </cell>
          <cell r="I39" t="str">
            <v/>
          </cell>
          <cell r="J39" t="str">
            <v/>
          </cell>
          <cell r="K39" t="str">
            <v/>
          </cell>
          <cell r="L39" t="str">
            <v/>
          </cell>
          <cell r="M39" t="str">
            <v/>
          </cell>
          <cell r="N39" t="str">
            <v/>
          </cell>
          <cell r="O39" t="str">
            <v/>
          </cell>
        </row>
        <row r="40">
          <cell r="A40" t="str">
            <v>合计</v>
          </cell>
          <cell r="B40">
            <v>0</v>
          </cell>
          <cell r="C40">
            <v>0</v>
          </cell>
          <cell r="D40">
            <v>0</v>
          </cell>
          <cell r="E40">
            <v>0</v>
          </cell>
          <cell r="F40">
            <v>0</v>
          </cell>
          <cell r="G40">
            <v>0</v>
          </cell>
          <cell r="H40">
            <v>0</v>
          </cell>
          <cell r="I40">
            <v>0</v>
          </cell>
          <cell r="J40">
            <v>0</v>
          </cell>
          <cell r="K40">
            <v>0</v>
          </cell>
          <cell r="L40">
            <v>0</v>
          </cell>
          <cell r="M40">
            <v>0</v>
          </cell>
          <cell r="N40">
            <v>0</v>
          </cell>
          <cell r="O4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sheetName val="Sheet2"/>
      <sheetName val="Sheet3"/>
      <sheetName val="Sheet1"/>
      <sheetName val="分支机构通讯录"/>
    </sheetNames>
    <sheetDataSet>
      <sheetData sheetId="0"/>
      <sheetData sheetId="1" refreshError="1"/>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设备部房屋"/>
      <sheetName val="设备部构筑物"/>
      <sheetName val="Comparison"/>
      <sheetName val="2002-06NL"/>
      <sheetName val="2001-12NL"/>
      <sheetName val="2000-12NL"/>
      <sheetName val="1999-12NL"/>
      <sheetName val="Adjustment summary"/>
      <sheetName val="Unadjusted errors"/>
      <sheetName val="2002-06"/>
      <sheetName val="2001"/>
      <sheetName val="2000"/>
      <sheetName val="1999"/>
      <sheetName val="laroux"/>
      <sheetName val="目录"/>
      <sheetName val="法律及其他资料"/>
      <sheetName val="填报说明"/>
      <sheetName val="资负汇总"/>
      <sheetName val="利润表"/>
      <sheetName val="利润分配表"/>
      <sheetName val="现金流量表"/>
      <sheetName val="合并底稿"/>
      <sheetName val="现金"/>
      <sheetName val="银行存款"/>
      <sheetName val="银行余额调节表 "/>
      <sheetName val="其他货币资金"/>
      <sheetName val="短期投资-股票投资"/>
      <sheetName val="短期投资-债券投资"/>
      <sheetName val="短期投资-其他"/>
      <sheetName val="应收票据"/>
      <sheetName val="应收帐款"/>
      <sheetName val="应收股利"/>
      <sheetName val="应收利息"/>
      <sheetName val="预付帐款"/>
      <sheetName val="应收补贴款"/>
      <sheetName val="应收出口退税"/>
      <sheetName val="其他应收款"/>
      <sheetName val="存货"/>
      <sheetName val="存货调节表"/>
      <sheetName val="待摊费用变动表"/>
      <sheetName val="待处理资产净损失"/>
      <sheetName val="其他流动资产"/>
      <sheetName val="长期投资明细表"/>
      <sheetName val="长期股票投资"/>
      <sheetName val="长期债券投资"/>
      <sheetName val="长期股权投资"/>
      <sheetName val="长期投资差额"/>
      <sheetName val="固定资产变动表"/>
      <sheetName val="在建工程变动表"/>
      <sheetName val="无形资产变动"/>
      <sheetName val="长期待摊费用"/>
      <sheetName val="其他长期资产"/>
      <sheetName val="短期借款"/>
      <sheetName val="应付票据"/>
      <sheetName val="应付账款"/>
      <sheetName val="预收账款"/>
      <sheetName val="代销商品款"/>
      <sheetName val="其他应付款"/>
      <sheetName val="应付工资变动表"/>
      <sheetName val="应付福利费变动表"/>
      <sheetName val="应交税金变动表"/>
      <sheetName val="所得税调节表 "/>
      <sheetName val="递延税项"/>
      <sheetName val="应付股利"/>
      <sheetName val="应付利润"/>
      <sheetName val="其他应交款"/>
      <sheetName val="预提费用"/>
      <sheetName val="一年内到期的长期借款"/>
      <sheetName val="其他流动负债"/>
      <sheetName val="长期借款"/>
      <sheetName val="应付债券"/>
      <sheetName val="长期应付款及其他长期负债变动表"/>
      <sheetName val="递延税款贷项"/>
      <sheetName val="所有者权益"/>
      <sheetName val="营业收入-1"/>
      <sheetName val="营业收入-2"/>
      <sheetName val="制造费用"/>
      <sheetName val="主营业务税金及附加"/>
      <sheetName val="销售费用"/>
      <sheetName val="管理费用"/>
      <sheetName val="财务费用"/>
      <sheetName val="其他业务利润"/>
      <sheetName val="营业外收入"/>
      <sheetName val="投资收益"/>
      <sheetName val="以前年度调整"/>
      <sheetName val="资产减值"/>
      <sheetName val="承诺事项"/>
      <sheetName val="或有事项"/>
      <sheetName val="管理人员酬金"/>
      <sheetName val="关联方交易发生额"/>
      <sheetName val="关联方交易余额"/>
      <sheetName val="分部报告"/>
      <sheetName val="封面"/>
      <sheetName val="原材料"/>
      <sheetName val="在途物资"/>
      <sheetName val="在库低耗"/>
      <sheetName val="包装物"/>
      <sheetName val="委托加工"/>
      <sheetName val="产成品"/>
      <sheetName val="在产品"/>
      <sheetName val="分期收款发出商品"/>
      <sheetName val="在用低耗"/>
      <sheetName val="委托代销商品"/>
      <sheetName val="受托代销商品"/>
      <sheetName val="待摊费用"/>
      <sheetName val="一年长期债券"/>
      <sheetName val="其他债权投资"/>
      <sheetName val="固定资产汇总"/>
      <sheetName val="房屋"/>
      <sheetName val="房屋调查表"/>
      <sheetName val="威格斯-1租赁房(生产用）"/>
      <sheetName val="威格斯-2租赁房(非生产）"/>
      <sheetName val="构筑物"/>
      <sheetName val="管道和沟槽"/>
      <sheetName val="网络设备"/>
      <sheetName val="电子设备"/>
      <sheetName val="办公设备"/>
      <sheetName val="车辆"/>
      <sheetName val="车辆调查"/>
      <sheetName val="其他设备"/>
      <sheetName val="重点设备调查表"/>
      <sheetName val="在建管理调查"/>
      <sheetName val="统计调查"/>
      <sheetName val="单项调查"/>
      <sheetName val="工程物资"/>
      <sheetName val="在建土建"/>
      <sheetName val="在建构筑"/>
      <sheetName val="地下在建"/>
      <sheetName val="在建安装"/>
      <sheetName val="在建工程"/>
      <sheetName val="固资清理"/>
      <sheetName val="土地使用权"/>
      <sheetName val="其他无形"/>
      <sheetName val="开办费"/>
      <sheetName val="应付帐款"/>
      <sheetName val="预收帐款"/>
      <sheetName val="应付工资"/>
      <sheetName val="应付福利费"/>
      <sheetName val="一年内到期的长期债券"/>
      <sheetName val="住房周转金变动表"/>
      <sheetName val="营业收入-3"/>
      <sheetName val="营业成本"/>
      <sheetName val="关联方－1"/>
      <sheetName val="关联方－2"/>
      <sheetName val="关联方－3"/>
      <sheetName val="关联方－4"/>
      <sheetName val="关联方－5"/>
      <sheetName val="中资调查1"/>
      <sheetName val="中资调查2"/>
      <sheetName val="中资调查3"/>
      <sheetName val="中资调查4"/>
      <sheetName val="02-IAS-Conso"/>
      <sheetName val="IAS adj. entry"/>
      <sheetName val="02-PRC-Conso"/>
      <sheetName val="Cashflow-PRC"/>
      <sheetName val="Cashflow(PRC)-calculation"/>
      <sheetName val="consol adj."/>
      <sheetName val="consol adj. for ref."/>
      <sheetName val="PRC Adjusted"/>
      <sheetName val="01"/>
      <sheetName val="01adj"/>
      <sheetName val="02"/>
      <sheetName val="02adj"/>
      <sheetName val="03"/>
      <sheetName val="03adj"/>
      <sheetName val="04"/>
      <sheetName val="04adj"/>
      <sheetName val="05"/>
      <sheetName val="05adj"/>
      <sheetName val="06"/>
      <sheetName val="07"/>
      <sheetName val="08"/>
      <sheetName val="08adj"/>
      <sheetName val="09"/>
      <sheetName val="09adj"/>
      <sheetName val="10"/>
      <sheetName val="11"/>
      <sheetName val="11adj"/>
      <sheetName val="12"/>
      <sheetName val="12adj"/>
      <sheetName val="13"/>
      <sheetName val="13adj"/>
      <sheetName val="SUD"/>
      <sheetName val="Validation source"/>
    </sheetNames>
    <sheetDataSet>
      <sheetData sheetId="0" refreshError="1">
        <row r="5">
          <cell r="C5" t="str">
            <v>1#检修综合办公楼</v>
          </cell>
          <cell r="D5">
            <v>32523</v>
          </cell>
          <cell r="E5" t="str">
            <v>砖混</v>
          </cell>
          <cell r="F5">
            <v>3</v>
          </cell>
          <cell r="G5">
            <v>3.3</v>
          </cell>
          <cell r="H5">
            <v>1124.04</v>
          </cell>
          <cell r="J5">
            <v>1085820</v>
          </cell>
          <cell r="K5">
            <v>-362321.11</v>
          </cell>
          <cell r="N5">
            <v>10.5</v>
          </cell>
          <cell r="O5">
            <v>40</v>
          </cell>
          <cell r="R5">
            <v>875</v>
          </cell>
          <cell r="S5">
            <v>959.7</v>
          </cell>
          <cell r="T5">
            <v>1078741.1880000001</v>
          </cell>
          <cell r="U5">
            <v>74</v>
          </cell>
          <cell r="V5">
            <v>798268</v>
          </cell>
        </row>
        <row r="6">
          <cell r="C6" t="str">
            <v>1#检修洗衣房</v>
          </cell>
          <cell r="D6">
            <v>32523</v>
          </cell>
          <cell r="E6" t="str">
            <v>砖混</v>
          </cell>
          <cell r="F6">
            <v>1</v>
          </cell>
          <cell r="G6">
            <v>3.3</v>
          </cell>
          <cell r="H6">
            <v>62.13</v>
          </cell>
          <cell r="J6">
            <v>60017</v>
          </cell>
          <cell r="K6">
            <v>60017</v>
          </cell>
          <cell r="N6">
            <v>10.5</v>
          </cell>
          <cell r="O6">
            <v>40</v>
          </cell>
          <cell r="R6">
            <v>850</v>
          </cell>
          <cell r="S6">
            <v>905.93000000000006</v>
          </cell>
          <cell r="T6">
            <v>56285.430900000007</v>
          </cell>
          <cell r="U6">
            <v>74</v>
          </cell>
          <cell r="V6">
            <v>41651</v>
          </cell>
        </row>
        <row r="7">
          <cell r="C7" t="str">
            <v>1#检修站浴室</v>
          </cell>
          <cell r="D7">
            <v>32523</v>
          </cell>
          <cell r="E7" t="str">
            <v>砖混</v>
          </cell>
          <cell r="F7">
            <v>2</v>
          </cell>
          <cell r="G7">
            <v>3</v>
          </cell>
          <cell r="H7">
            <v>578.16</v>
          </cell>
          <cell r="J7">
            <v>558501</v>
          </cell>
          <cell r="K7">
            <v>558501</v>
          </cell>
          <cell r="N7">
            <v>10.5</v>
          </cell>
          <cell r="O7">
            <v>40</v>
          </cell>
          <cell r="R7">
            <v>1530</v>
          </cell>
          <cell r="S7">
            <v>1678.104</v>
          </cell>
          <cell r="T7">
            <v>970212.60863999999</v>
          </cell>
          <cell r="U7">
            <v>74</v>
          </cell>
          <cell r="V7">
            <v>717957</v>
          </cell>
        </row>
        <row r="8">
          <cell r="C8" t="str">
            <v>1#检修加压水泵房</v>
          </cell>
          <cell r="D8">
            <v>32523</v>
          </cell>
          <cell r="E8" t="str">
            <v>砖混</v>
          </cell>
          <cell r="F8">
            <v>1</v>
          </cell>
          <cell r="G8">
            <v>3</v>
          </cell>
          <cell r="H8">
            <v>27.09</v>
          </cell>
          <cell r="J8">
            <v>26169</v>
          </cell>
          <cell r="K8">
            <v>26169</v>
          </cell>
          <cell r="N8">
            <v>10.5</v>
          </cell>
          <cell r="O8">
            <v>40</v>
          </cell>
          <cell r="R8">
            <v>1320</v>
          </cell>
          <cell r="S8">
            <v>1406.856</v>
          </cell>
          <cell r="T8">
            <v>38111.729039999998</v>
          </cell>
          <cell r="U8">
            <v>74</v>
          </cell>
          <cell r="V8">
            <v>28203</v>
          </cell>
        </row>
        <row r="9">
          <cell r="C9" t="str">
            <v>1#检修自行车棚</v>
          </cell>
          <cell r="D9">
            <v>32523</v>
          </cell>
          <cell r="E9" t="str">
            <v>砖混</v>
          </cell>
          <cell r="F9">
            <v>1</v>
          </cell>
          <cell r="G9">
            <v>3</v>
          </cell>
          <cell r="H9">
            <v>91.8</v>
          </cell>
          <cell r="J9">
            <v>88679</v>
          </cell>
          <cell r="K9">
            <v>88679</v>
          </cell>
          <cell r="N9">
            <v>10.5</v>
          </cell>
          <cell r="O9">
            <v>15</v>
          </cell>
          <cell r="R9">
            <v>600</v>
          </cell>
          <cell r="S9">
            <v>639.48</v>
          </cell>
          <cell r="T9">
            <v>58704.264000000003</v>
          </cell>
          <cell r="U9">
            <v>30</v>
          </cell>
          <cell r="V9">
            <v>17611</v>
          </cell>
        </row>
        <row r="10">
          <cell r="C10" t="str">
            <v>1#检修站食堂</v>
          </cell>
          <cell r="D10">
            <v>32523</v>
          </cell>
          <cell r="E10" t="str">
            <v>砖混</v>
          </cell>
          <cell r="F10">
            <v>2</v>
          </cell>
          <cell r="G10">
            <v>3</v>
          </cell>
          <cell r="H10">
            <v>713.92</v>
          </cell>
          <cell r="J10">
            <v>689645</v>
          </cell>
          <cell r="K10">
            <v>689645</v>
          </cell>
          <cell r="N10">
            <v>10.5</v>
          </cell>
          <cell r="O10">
            <v>40</v>
          </cell>
          <cell r="R10">
            <v>930</v>
          </cell>
          <cell r="S10">
            <v>1020.024</v>
          </cell>
          <cell r="T10">
            <v>728215.53408000001</v>
          </cell>
          <cell r="U10">
            <v>74</v>
          </cell>
          <cell r="V10">
            <v>538879</v>
          </cell>
        </row>
        <row r="11">
          <cell r="C11" t="str">
            <v>1#检修工具间</v>
          </cell>
          <cell r="D11">
            <v>32523</v>
          </cell>
          <cell r="E11" t="str">
            <v>砖混</v>
          </cell>
          <cell r="F11">
            <v>1</v>
          </cell>
          <cell r="G11">
            <v>3</v>
          </cell>
          <cell r="H11">
            <v>335.73</v>
          </cell>
          <cell r="J11">
            <v>324314</v>
          </cell>
          <cell r="K11">
            <v>324314</v>
          </cell>
          <cell r="N11">
            <v>10.5</v>
          </cell>
          <cell r="O11">
            <v>40</v>
          </cell>
          <cell r="R11">
            <v>680</v>
          </cell>
          <cell r="S11">
            <v>724.74400000000003</v>
          </cell>
          <cell r="T11">
            <v>243318.30312000003</v>
          </cell>
          <cell r="U11">
            <v>74</v>
          </cell>
          <cell r="V11">
            <v>180056</v>
          </cell>
        </row>
        <row r="12">
          <cell r="C12" t="str">
            <v>1#检修值班室</v>
          </cell>
          <cell r="D12">
            <v>32523</v>
          </cell>
          <cell r="E12" t="str">
            <v>砖混</v>
          </cell>
          <cell r="F12">
            <v>1</v>
          </cell>
          <cell r="G12">
            <v>3</v>
          </cell>
          <cell r="H12">
            <v>22.05</v>
          </cell>
          <cell r="J12">
            <v>21300</v>
          </cell>
          <cell r="K12">
            <v>21300</v>
          </cell>
          <cell r="N12">
            <v>10.5</v>
          </cell>
          <cell r="O12">
            <v>40</v>
          </cell>
          <cell r="R12">
            <v>850</v>
          </cell>
          <cell r="S12">
            <v>905.93000000000006</v>
          </cell>
          <cell r="T12">
            <v>19975.756500000003</v>
          </cell>
          <cell r="U12">
            <v>74</v>
          </cell>
          <cell r="V12">
            <v>14782</v>
          </cell>
        </row>
        <row r="13">
          <cell r="C13" t="str">
            <v>1#检修夜班餐厅</v>
          </cell>
          <cell r="D13">
            <v>32523</v>
          </cell>
          <cell r="E13" t="str">
            <v>砖混</v>
          </cell>
          <cell r="F13">
            <v>1</v>
          </cell>
          <cell r="G13">
            <v>3</v>
          </cell>
          <cell r="H13">
            <v>68.59</v>
          </cell>
          <cell r="J13">
            <v>66258</v>
          </cell>
          <cell r="K13">
            <v>66258</v>
          </cell>
          <cell r="N13">
            <v>10.5</v>
          </cell>
          <cell r="O13">
            <v>40</v>
          </cell>
          <cell r="R13">
            <v>880</v>
          </cell>
          <cell r="S13">
            <v>937.90400000000011</v>
          </cell>
          <cell r="T13">
            <v>64330.835360000012</v>
          </cell>
          <cell r="U13">
            <v>74</v>
          </cell>
          <cell r="V13">
            <v>47605</v>
          </cell>
        </row>
        <row r="14">
          <cell r="C14" t="str">
            <v>2#检修主体大楼</v>
          </cell>
          <cell r="D14">
            <v>32523</v>
          </cell>
          <cell r="E14" t="str">
            <v>钢砼</v>
          </cell>
          <cell r="F14">
            <v>2</v>
          </cell>
          <cell r="G14">
            <v>3.3</v>
          </cell>
          <cell r="H14">
            <v>2685</v>
          </cell>
          <cell r="J14">
            <v>4887310</v>
          </cell>
          <cell r="K14">
            <v>2464087.0499999998</v>
          </cell>
          <cell r="N14">
            <v>10.5</v>
          </cell>
          <cell r="O14">
            <v>55</v>
          </cell>
          <cell r="R14">
            <v>1072</v>
          </cell>
          <cell r="S14">
            <v>1175.7696000000001</v>
          </cell>
          <cell r="T14">
            <v>3156941.3760000002</v>
          </cell>
          <cell r="U14">
            <v>81</v>
          </cell>
          <cell r="V14">
            <v>2557123</v>
          </cell>
        </row>
        <row r="15">
          <cell r="C15" t="str">
            <v>2#检修调度室</v>
          </cell>
          <cell r="D15">
            <v>32523</v>
          </cell>
          <cell r="E15" t="str">
            <v>砖混</v>
          </cell>
          <cell r="F15">
            <v>1</v>
          </cell>
          <cell r="G15">
            <v>3.3</v>
          </cell>
          <cell r="H15">
            <v>20</v>
          </cell>
          <cell r="J15">
            <v>66300</v>
          </cell>
          <cell r="K15">
            <v>33427.18</v>
          </cell>
          <cell r="N15">
            <v>10.5</v>
          </cell>
          <cell r="O15">
            <v>40</v>
          </cell>
          <cell r="R15">
            <v>1150</v>
          </cell>
          <cell r="S15">
            <v>1225.67</v>
          </cell>
          <cell r="T15">
            <v>24513.4</v>
          </cell>
          <cell r="U15">
            <v>74</v>
          </cell>
          <cell r="V15">
            <v>18140</v>
          </cell>
        </row>
        <row r="16">
          <cell r="C16" t="str">
            <v>2#检修泵房</v>
          </cell>
          <cell r="D16">
            <v>32523</v>
          </cell>
          <cell r="E16" t="str">
            <v>钢砼</v>
          </cell>
          <cell r="F16">
            <v>2</v>
          </cell>
          <cell r="G16">
            <v>4.5</v>
          </cell>
          <cell r="H16">
            <v>378</v>
          </cell>
          <cell r="J16">
            <v>132600</v>
          </cell>
          <cell r="K16">
            <v>66854.350000000006</v>
          </cell>
          <cell r="N16">
            <v>10.5</v>
          </cell>
          <cell r="O16">
            <v>50</v>
          </cell>
          <cell r="R16">
            <v>1310</v>
          </cell>
          <cell r="S16">
            <v>1396.1980000000001</v>
          </cell>
          <cell r="T16">
            <v>527762.84400000004</v>
          </cell>
          <cell r="U16">
            <v>79</v>
          </cell>
          <cell r="V16">
            <v>416933</v>
          </cell>
        </row>
        <row r="17">
          <cell r="C17" t="str">
            <v>2#检修车棚</v>
          </cell>
          <cell r="D17">
            <v>32523</v>
          </cell>
          <cell r="E17" t="str">
            <v>轻钢</v>
          </cell>
          <cell r="F17">
            <v>1</v>
          </cell>
          <cell r="G17">
            <v>3</v>
          </cell>
          <cell r="H17">
            <v>148.76</v>
          </cell>
          <cell r="J17">
            <v>20205</v>
          </cell>
          <cell r="K17">
            <v>10186.950000000001</v>
          </cell>
          <cell r="N17">
            <v>10.5</v>
          </cell>
          <cell r="O17">
            <v>15</v>
          </cell>
          <cell r="R17">
            <v>280</v>
          </cell>
          <cell r="S17">
            <v>298.42400000000004</v>
          </cell>
          <cell r="T17">
            <v>44393.554240000005</v>
          </cell>
          <cell r="U17">
            <v>30</v>
          </cell>
          <cell r="V17">
            <v>13318</v>
          </cell>
        </row>
        <row r="18">
          <cell r="C18" t="str">
            <v>2#变电所</v>
          </cell>
          <cell r="D18">
            <v>32523</v>
          </cell>
          <cell r="E18" t="str">
            <v>钢砼</v>
          </cell>
          <cell r="F18">
            <v>1</v>
          </cell>
          <cell r="G18">
            <v>3.3</v>
          </cell>
          <cell r="H18">
            <v>70</v>
          </cell>
          <cell r="J18">
            <v>92820</v>
          </cell>
          <cell r="K18">
            <v>36688.83</v>
          </cell>
          <cell r="N18">
            <v>10.5</v>
          </cell>
          <cell r="O18">
            <v>40</v>
          </cell>
          <cell r="R18">
            <v>880</v>
          </cell>
          <cell r="S18">
            <v>937.90400000000011</v>
          </cell>
          <cell r="T18">
            <v>65653.280000000013</v>
          </cell>
          <cell r="U18">
            <v>74</v>
          </cell>
          <cell r="V18">
            <v>48583</v>
          </cell>
        </row>
        <row r="19">
          <cell r="C19" t="str">
            <v>2#检修煤气站</v>
          </cell>
          <cell r="D19">
            <v>32523</v>
          </cell>
          <cell r="E19" t="str">
            <v>钢砼</v>
          </cell>
          <cell r="F19">
            <v>1</v>
          </cell>
          <cell r="G19">
            <v>3</v>
          </cell>
          <cell r="H19">
            <v>12</v>
          </cell>
          <cell r="J19">
            <v>26520</v>
          </cell>
          <cell r="K19">
            <v>13370.87</v>
          </cell>
          <cell r="N19">
            <v>10.5</v>
          </cell>
          <cell r="O19">
            <v>50</v>
          </cell>
          <cell r="R19">
            <v>1250</v>
          </cell>
          <cell r="S19">
            <v>1332.25</v>
          </cell>
          <cell r="T19">
            <v>15987</v>
          </cell>
          <cell r="U19">
            <v>79</v>
          </cell>
          <cell r="V19">
            <v>12630</v>
          </cell>
        </row>
        <row r="20">
          <cell r="C20" t="str">
            <v>3#检修综合办公楼</v>
          </cell>
          <cell r="D20">
            <v>32523</v>
          </cell>
          <cell r="E20" t="str">
            <v>砖混</v>
          </cell>
          <cell r="F20">
            <v>3</v>
          </cell>
          <cell r="G20">
            <v>3.3</v>
          </cell>
          <cell r="H20">
            <v>1171.25</v>
          </cell>
          <cell r="J20">
            <v>2652000</v>
          </cell>
          <cell r="K20">
            <v>1337087.04</v>
          </cell>
          <cell r="N20">
            <v>10.5</v>
          </cell>
          <cell r="O20">
            <v>40</v>
          </cell>
          <cell r="R20">
            <v>1072</v>
          </cell>
          <cell r="S20">
            <v>1175.7696000000001</v>
          </cell>
          <cell r="T20">
            <v>1377120.1440000001</v>
          </cell>
          <cell r="U20">
            <v>74</v>
          </cell>
          <cell r="V20">
            <v>1019069</v>
          </cell>
        </row>
        <row r="21">
          <cell r="C21" t="str">
            <v>3#检修站食堂</v>
          </cell>
          <cell r="D21">
            <v>32523</v>
          </cell>
          <cell r="E21" t="str">
            <v>砖混</v>
          </cell>
          <cell r="F21">
            <v>1</v>
          </cell>
          <cell r="G21">
            <v>4.5</v>
          </cell>
          <cell r="H21">
            <v>869.91</v>
          </cell>
          <cell r="J21">
            <v>915973</v>
          </cell>
          <cell r="K21">
            <v>461815.84</v>
          </cell>
          <cell r="N21">
            <v>10.5</v>
          </cell>
          <cell r="O21">
            <v>40</v>
          </cell>
          <cell r="R21">
            <v>930</v>
          </cell>
          <cell r="S21">
            <v>1020.024</v>
          </cell>
          <cell r="T21">
            <v>887329.07783999993</v>
          </cell>
          <cell r="U21">
            <v>74</v>
          </cell>
          <cell r="V21">
            <v>656624</v>
          </cell>
        </row>
        <row r="22">
          <cell r="C22" t="str">
            <v>3#检修站浴室</v>
          </cell>
          <cell r="D22">
            <v>32523</v>
          </cell>
          <cell r="E22" t="str">
            <v>钢砼</v>
          </cell>
          <cell r="F22">
            <v>1</v>
          </cell>
          <cell r="G22">
            <v>4.5</v>
          </cell>
          <cell r="H22">
            <v>1068.6600000000001</v>
          </cell>
          <cell r="J22">
            <v>1199404</v>
          </cell>
          <cell r="K22">
            <v>604716.27</v>
          </cell>
          <cell r="N22">
            <v>10.5</v>
          </cell>
          <cell r="O22">
            <v>50</v>
          </cell>
          <cell r="R22">
            <v>1530</v>
          </cell>
          <cell r="S22">
            <v>1678.104</v>
          </cell>
          <cell r="T22">
            <v>1793322.6206400001</v>
          </cell>
          <cell r="U22">
            <v>79</v>
          </cell>
          <cell r="V22">
            <v>1416725</v>
          </cell>
        </row>
        <row r="23">
          <cell r="C23" t="str">
            <v>3#检修自行车棚</v>
          </cell>
          <cell r="D23">
            <v>32523</v>
          </cell>
          <cell r="E23" t="str">
            <v>轻钢</v>
          </cell>
          <cell r="F23">
            <v>1</v>
          </cell>
          <cell r="G23">
            <v>2.5</v>
          </cell>
          <cell r="H23">
            <v>667.59</v>
          </cell>
          <cell r="J23">
            <v>15454</v>
          </cell>
          <cell r="K23">
            <v>5266.93</v>
          </cell>
          <cell r="N23">
            <v>10.5</v>
          </cell>
          <cell r="O23">
            <v>15</v>
          </cell>
          <cell r="R23">
            <v>288</v>
          </cell>
          <cell r="S23">
            <v>315.8784</v>
          </cell>
          <cell r="T23">
            <v>210877.26105600002</v>
          </cell>
          <cell r="U23">
            <v>30</v>
          </cell>
          <cell r="V23">
            <v>63263</v>
          </cell>
        </row>
        <row r="24">
          <cell r="C24" t="str">
            <v>3#检修工具间</v>
          </cell>
          <cell r="D24">
            <v>32523</v>
          </cell>
          <cell r="E24" t="str">
            <v>钢砼</v>
          </cell>
          <cell r="F24">
            <v>1</v>
          </cell>
          <cell r="G24">
            <v>4.5</v>
          </cell>
          <cell r="H24">
            <v>442.14</v>
          </cell>
          <cell r="J24">
            <v>302766</v>
          </cell>
          <cell r="K24">
            <v>152648.74</v>
          </cell>
          <cell r="N24">
            <v>10.5</v>
          </cell>
          <cell r="O24">
            <v>50</v>
          </cell>
          <cell r="R24">
            <v>780</v>
          </cell>
          <cell r="S24">
            <v>831.32400000000007</v>
          </cell>
          <cell r="T24">
            <v>367561.59336</v>
          </cell>
          <cell r="U24">
            <v>79</v>
          </cell>
          <cell r="V24">
            <v>290374</v>
          </cell>
        </row>
        <row r="25">
          <cell r="C25" t="str">
            <v>4#检修蒸汽采暖系统(一)食堂</v>
          </cell>
          <cell r="D25">
            <v>32523</v>
          </cell>
          <cell r="J25">
            <v>149517</v>
          </cell>
          <cell r="K25">
            <v>26530.92</v>
          </cell>
          <cell r="N25">
            <v>10.5</v>
          </cell>
          <cell r="O25">
            <v>20</v>
          </cell>
          <cell r="S25">
            <v>0</v>
          </cell>
          <cell r="T25">
            <v>156990</v>
          </cell>
          <cell r="U25">
            <v>48</v>
          </cell>
          <cell r="V25">
            <v>75355</v>
          </cell>
        </row>
        <row r="26">
          <cell r="C26" t="str">
            <v>4#检修简易仓库</v>
          </cell>
          <cell r="D26">
            <v>32523</v>
          </cell>
          <cell r="E26" t="str">
            <v>钢砼</v>
          </cell>
          <cell r="F26">
            <v>1</v>
          </cell>
          <cell r="G26">
            <v>6</v>
          </cell>
          <cell r="H26">
            <v>279</v>
          </cell>
          <cell r="J26">
            <v>355151</v>
          </cell>
          <cell r="K26">
            <v>-1985954.69</v>
          </cell>
          <cell r="N26">
            <v>10.5</v>
          </cell>
          <cell r="O26">
            <v>50</v>
          </cell>
          <cell r="R26">
            <v>850</v>
          </cell>
          <cell r="S26">
            <v>905.93000000000006</v>
          </cell>
          <cell r="T26">
            <v>252754.47000000003</v>
          </cell>
          <cell r="U26">
            <v>79</v>
          </cell>
          <cell r="V26">
            <v>199676</v>
          </cell>
        </row>
        <row r="27">
          <cell r="C27" t="str">
            <v>4#检修办公及更衣楼食堂</v>
          </cell>
          <cell r="D27">
            <v>32523</v>
          </cell>
          <cell r="E27" t="str">
            <v>钢砼</v>
          </cell>
          <cell r="F27">
            <v>5</v>
          </cell>
          <cell r="G27">
            <v>3.3</v>
          </cell>
          <cell r="H27">
            <v>6111.24</v>
          </cell>
          <cell r="J27">
            <v>2486051</v>
          </cell>
          <cell r="K27">
            <v>2486051</v>
          </cell>
          <cell r="N27">
            <v>10.5</v>
          </cell>
          <cell r="O27">
            <v>55</v>
          </cell>
          <cell r="R27">
            <v>1072</v>
          </cell>
          <cell r="S27">
            <v>1175.7696000000001</v>
          </cell>
          <cell r="T27">
            <v>7185410.2103040004</v>
          </cell>
          <cell r="U27">
            <v>81</v>
          </cell>
          <cell r="V27">
            <v>5820182</v>
          </cell>
        </row>
        <row r="28">
          <cell r="C28" t="str">
            <v>4#检修机械零部件拆卸.装配间</v>
          </cell>
          <cell r="D28">
            <v>32523</v>
          </cell>
          <cell r="E28" t="str">
            <v>钢砼</v>
          </cell>
          <cell r="F28">
            <v>1</v>
          </cell>
          <cell r="G28">
            <v>12</v>
          </cell>
          <cell r="H28">
            <v>1001.01</v>
          </cell>
          <cell r="J28">
            <v>710300</v>
          </cell>
          <cell r="K28">
            <v>710300</v>
          </cell>
          <cell r="N28">
            <v>10.5</v>
          </cell>
          <cell r="O28">
            <v>50</v>
          </cell>
          <cell r="R28">
            <v>1050</v>
          </cell>
          <cell r="S28">
            <v>1151.6400000000001</v>
          </cell>
          <cell r="T28">
            <v>1152803.1564</v>
          </cell>
          <cell r="U28">
            <v>79</v>
          </cell>
          <cell r="V28">
            <v>910714</v>
          </cell>
        </row>
        <row r="29">
          <cell r="C29" t="str">
            <v>东控湿库</v>
          </cell>
          <cell r="D29">
            <v>29204</v>
          </cell>
          <cell r="E29" t="str">
            <v>钢砼</v>
          </cell>
          <cell r="F29">
            <v>1</v>
          </cell>
          <cell r="G29">
            <v>12.5</v>
          </cell>
          <cell r="H29">
            <v>2000</v>
          </cell>
          <cell r="J29">
            <v>394616</v>
          </cell>
          <cell r="K29">
            <v>15784.64</v>
          </cell>
          <cell r="N29">
            <v>19.600000000000001</v>
          </cell>
          <cell r="O29">
            <v>50</v>
          </cell>
          <cell r="R29">
            <v>1040</v>
          </cell>
          <cell r="S29">
            <v>1140.672</v>
          </cell>
          <cell r="T29">
            <v>2281344</v>
          </cell>
          <cell r="U29">
            <v>61</v>
          </cell>
          <cell r="V29">
            <v>1391620</v>
          </cell>
        </row>
        <row r="30">
          <cell r="C30" t="str">
            <v>西控湿库</v>
          </cell>
          <cell r="D30">
            <v>29204</v>
          </cell>
          <cell r="E30" t="str">
            <v>钢砼</v>
          </cell>
          <cell r="F30">
            <v>1</v>
          </cell>
          <cell r="G30">
            <v>12.5</v>
          </cell>
          <cell r="H30">
            <v>1500</v>
          </cell>
          <cell r="J30">
            <v>299338</v>
          </cell>
          <cell r="K30">
            <v>11973.52</v>
          </cell>
          <cell r="N30">
            <v>19.600000000000001</v>
          </cell>
          <cell r="O30">
            <v>50</v>
          </cell>
          <cell r="R30">
            <v>1040</v>
          </cell>
          <cell r="S30">
            <v>1140.672</v>
          </cell>
          <cell r="T30">
            <v>1711008</v>
          </cell>
          <cell r="U30">
            <v>61</v>
          </cell>
          <cell r="V30">
            <v>1043715</v>
          </cell>
        </row>
        <row r="31">
          <cell r="C31" t="str">
            <v>1号库</v>
          </cell>
          <cell r="D31">
            <v>29204</v>
          </cell>
          <cell r="E31" t="str">
            <v>钢砼</v>
          </cell>
          <cell r="F31">
            <v>1</v>
          </cell>
          <cell r="G31">
            <v>12.5</v>
          </cell>
          <cell r="H31">
            <v>8750</v>
          </cell>
          <cell r="J31">
            <v>1160444.75</v>
          </cell>
          <cell r="K31">
            <v>46417.79</v>
          </cell>
          <cell r="N31">
            <v>19.600000000000001</v>
          </cell>
          <cell r="O31">
            <v>50</v>
          </cell>
          <cell r="R31">
            <v>941</v>
          </cell>
          <cell r="S31">
            <v>1032.0888</v>
          </cell>
          <cell r="T31">
            <v>9030777</v>
          </cell>
          <cell r="U31">
            <v>58</v>
          </cell>
          <cell r="V31">
            <v>5237850.66</v>
          </cell>
        </row>
        <row r="32">
          <cell r="C32" t="str">
            <v>2号库</v>
          </cell>
          <cell r="D32">
            <v>29204</v>
          </cell>
          <cell r="E32" t="str">
            <v>钢砼</v>
          </cell>
          <cell r="F32">
            <v>1</v>
          </cell>
          <cell r="G32">
            <v>12.5</v>
          </cell>
          <cell r="H32">
            <v>8750</v>
          </cell>
          <cell r="J32">
            <v>1160444.75</v>
          </cell>
          <cell r="K32">
            <v>46417.79</v>
          </cell>
          <cell r="N32">
            <v>19.600000000000001</v>
          </cell>
          <cell r="O32">
            <v>50</v>
          </cell>
          <cell r="R32">
            <v>941</v>
          </cell>
          <cell r="S32">
            <v>1032.0888</v>
          </cell>
          <cell r="T32">
            <v>9030777</v>
          </cell>
          <cell r="U32">
            <v>61</v>
          </cell>
          <cell r="V32">
            <v>5508774</v>
          </cell>
        </row>
        <row r="33">
          <cell r="C33" t="str">
            <v>3号库</v>
          </cell>
          <cell r="D33">
            <v>29204</v>
          </cell>
          <cell r="E33" t="str">
            <v>钢砼</v>
          </cell>
          <cell r="F33">
            <v>1</v>
          </cell>
          <cell r="G33">
            <v>12.5</v>
          </cell>
          <cell r="H33">
            <v>8750</v>
          </cell>
          <cell r="J33">
            <v>1160444.75</v>
          </cell>
          <cell r="K33">
            <v>46417.79</v>
          </cell>
          <cell r="N33">
            <v>19.600000000000001</v>
          </cell>
          <cell r="O33">
            <v>50</v>
          </cell>
          <cell r="R33">
            <v>941</v>
          </cell>
          <cell r="S33">
            <v>1032.0888</v>
          </cell>
          <cell r="T33">
            <v>9030777</v>
          </cell>
          <cell r="U33">
            <v>61</v>
          </cell>
          <cell r="V33">
            <v>5508774</v>
          </cell>
        </row>
        <row r="34">
          <cell r="C34" t="str">
            <v>4号库</v>
          </cell>
          <cell r="D34">
            <v>29204</v>
          </cell>
          <cell r="E34" t="str">
            <v>钢砼</v>
          </cell>
          <cell r="F34">
            <v>1</v>
          </cell>
          <cell r="G34">
            <v>12.5</v>
          </cell>
          <cell r="H34">
            <v>8750</v>
          </cell>
          <cell r="J34">
            <v>1160444.75</v>
          </cell>
          <cell r="K34">
            <v>46417.79</v>
          </cell>
          <cell r="N34">
            <v>19.600000000000001</v>
          </cell>
          <cell r="O34">
            <v>50</v>
          </cell>
          <cell r="R34">
            <v>941</v>
          </cell>
          <cell r="S34">
            <v>1032.0888</v>
          </cell>
          <cell r="T34">
            <v>9030777</v>
          </cell>
          <cell r="U34">
            <v>61</v>
          </cell>
          <cell r="V34">
            <v>5508774</v>
          </cell>
        </row>
        <row r="35">
          <cell r="C35" t="str">
            <v>5号库</v>
          </cell>
          <cell r="D35">
            <v>29204</v>
          </cell>
          <cell r="E35" t="str">
            <v>钢砼</v>
          </cell>
          <cell r="F35">
            <v>1</v>
          </cell>
          <cell r="G35">
            <v>12.5</v>
          </cell>
          <cell r="H35">
            <v>8750</v>
          </cell>
          <cell r="J35">
            <v>1160444.75</v>
          </cell>
          <cell r="K35">
            <v>46417.79</v>
          </cell>
          <cell r="N35">
            <v>19.600000000000001</v>
          </cell>
          <cell r="O35">
            <v>50</v>
          </cell>
          <cell r="R35">
            <v>941</v>
          </cell>
          <cell r="S35">
            <v>1032.0888</v>
          </cell>
          <cell r="T35">
            <v>9030777</v>
          </cell>
          <cell r="U35">
            <v>61</v>
          </cell>
          <cell r="V35">
            <v>5508774</v>
          </cell>
        </row>
        <row r="36">
          <cell r="C36" t="str">
            <v>6号库</v>
          </cell>
          <cell r="D36">
            <v>29204</v>
          </cell>
          <cell r="E36" t="str">
            <v>钢砼</v>
          </cell>
          <cell r="F36">
            <v>1</v>
          </cell>
          <cell r="G36">
            <v>12.5</v>
          </cell>
          <cell r="H36">
            <v>8750</v>
          </cell>
          <cell r="J36">
            <v>1160444.75</v>
          </cell>
          <cell r="K36">
            <v>46417.79</v>
          </cell>
          <cell r="N36">
            <v>19.600000000000001</v>
          </cell>
          <cell r="O36">
            <v>50</v>
          </cell>
          <cell r="R36">
            <v>941</v>
          </cell>
          <cell r="S36">
            <v>1032.0888</v>
          </cell>
          <cell r="T36">
            <v>9030777</v>
          </cell>
          <cell r="U36">
            <v>61</v>
          </cell>
          <cell r="V36">
            <v>5508774</v>
          </cell>
        </row>
        <row r="37">
          <cell r="C37" t="str">
            <v>7号库</v>
          </cell>
          <cell r="D37">
            <v>29204</v>
          </cell>
          <cell r="E37" t="str">
            <v>钢砼</v>
          </cell>
          <cell r="F37">
            <v>1</v>
          </cell>
          <cell r="G37">
            <v>12.5</v>
          </cell>
          <cell r="H37">
            <v>8750</v>
          </cell>
          <cell r="J37">
            <v>1160444.75</v>
          </cell>
          <cell r="K37">
            <v>46417.79</v>
          </cell>
          <cell r="N37">
            <v>19.600000000000001</v>
          </cell>
          <cell r="O37">
            <v>50</v>
          </cell>
          <cell r="R37">
            <v>941</v>
          </cell>
          <cell r="S37">
            <v>1032.0888</v>
          </cell>
          <cell r="T37">
            <v>9030777</v>
          </cell>
          <cell r="U37">
            <v>61</v>
          </cell>
          <cell r="V37">
            <v>5508774</v>
          </cell>
        </row>
        <row r="38">
          <cell r="C38" t="str">
            <v>8号库</v>
          </cell>
          <cell r="D38">
            <v>29204</v>
          </cell>
          <cell r="E38" t="str">
            <v>钢砼</v>
          </cell>
          <cell r="F38">
            <v>1</v>
          </cell>
          <cell r="G38">
            <v>12.5</v>
          </cell>
          <cell r="H38">
            <v>8750</v>
          </cell>
          <cell r="J38">
            <v>1160444.73</v>
          </cell>
          <cell r="K38">
            <v>46417.79</v>
          </cell>
          <cell r="N38">
            <v>19.600000000000001</v>
          </cell>
          <cell r="O38">
            <v>50</v>
          </cell>
          <cell r="R38">
            <v>941</v>
          </cell>
          <cell r="S38">
            <v>1032.0888</v>
          </cell>
          <cell r="T38">
            <v>9030777</v>
          </cell>
          <cell r="U38">
            <v>61</v>
          </cell>
          <cell r="V38">
            <v>5508774</v>
          </cell>
        </row>
        <row r="39">
          <cell r="C39" t="str">
            <v>10号库</v>
          </cell>
          <cell r="D39">
            <v>29204</v>
          </cell>
          <cell r="E39" t="str">
            <v>钢砼</v>
          </cell>
          <cell r="F39">
            <v>1</v>
          </cell>
          <cell r="G39">
            <v>12.5</v>
          </cell>
          <cell r="H39">
            <v>2068</v>
          </cell>
          <cell r="J39">
            <v>145362.16</v>
          </cell>
          <cell r="K39">
            <v>5814.49</v>
          </cell>
          <cell r="N39">
            <v>19.600000000000001</v>
          </cell>
          <cell r="O39">
            <v>50</v>
          </cell>
          <cell r="R39">
            <v>960</v>
          </cell>
          <cell r="S39">
            <v>1052.9279999999999</v>
          </cell>
          <cell r="T39">
            <v>2177455.1039999998</v>
          </cell>
          <cell r="U39">
            <v>61</v>
          </cell>
          <cell r="V39">
            <v>1328248</v>
          </cell>
        </row>
        <row r="40">
          <cell r="C40" t="str">
            <v>11号库</v>
          </cell>
          <cell r="D40">
            <v>29204</v>
          </cell>
          <cell r="E40" t="str">
            <v>钢砼</v>
          </cell>
          <cell r="F40">
            <v>1</v>
          </cell>
          <cell r="G40">
            <v>12.5</v>
          </cell>
          <cell r="H40">
            <v>1029</v>
          </cell>
          <cell r="J40">
            <v>145362.16</v>
          </cell>
          <cell r="K40">
            <v>5814.49</v>
          </cell>
          <cell r="N40">
            <v>19.600000000000001</v>
          </cell>
          <cell r="O40">
            <v>50</v>
          </cell>
          <cell r="R40">
            <v>960</v>
          </cell>
          <cell r="S40">
            <v>1052.9279999999999</v>
          </cell>
          <cell r="T40">
            <v>1083462.9119999998</v>
          </cell>
          <cell r="U40">
            <v>61</v>
          </cell>
          <cell r="V40">
            <v>660912</v>
          </cell>
        </row>
        <row r="41">
          <cell r="C41" t="str">
            <v>12号库</v>
          </cell>
          <cell r="D41">
            <v>29204</v>
          </cell>
          <cell r="E41" t="str">
            <v>钢砼</v>
          </cell>
          <cell r="F41">
            <v>1</v>
          </cell>
          <cell r="G41">
            <v>12.5</v>
          </cell>
          <cell r="H41">
            <v>755</v>
          </cell>
          <cell r="J41">
            <v>145362.16</v>
          </cell>
          <cell r="K41">
            <v>5814.49</v>
          </cell>
          <cell r="N41">
            <v>19.600000000000001</v>
          </cell>
          <cell r="O41">
            <v>50</v>
          </cell>
          <cell r="R41">
            <v>960</v>
          </cell>
          <cell r="S41">
            <v>1052.9279999999999</v>
          </cell>
          <cell r="T41">
            <v>794960.6399999999</v>
          </cell>
          <cell r="U41">
            <v>61</v>
          </cell>
          <cell r="V41">
            <v>484926</v>
          </cell>
        </row>
        <row r="42">
          <cell r="C42" t="str">
            <v>13号库</v>
          </cell>
          <cell r="D42">
            <v>29204</v>
          </cell>
          <cell r="E42" t="str">
            <v>钢砼</v>
          </cell>
          <cell r="F42">
            <v>1</v>
          </cell>
          <cell r="G42">
            <v>5</v>
          </cell>
          <cell r="H42">
            <v>74</v>
          </cell>
          <cell r="J42">
            <v>145362.17000000001</v>
          </cell>
          <cell r="K42">
            <v>5814.49</v>
          </cell>
          <cell r="N42">
            <v>19.600000000000001</v>
          </cell>
          <cell r="O42">
            <v>50</v>
          </cell>
          <cell r="R42">
            <v>960</v>
          </cell>
          <cell r="S42">
            <v>1023.1680000000001</v>
          </cell>
          <cell r="T42">
            <v>75714.432000000015</v>
          </cell>
          <cell r="U42">
            <v>61</v>
          </cell>
          <cell r="V42">
            <v>46186</v>
          </cell>
        </row>
        <row r="43">
          <cell r="C43" t="str">
            <v>燃油库</v>
          </cell>
          <cell r="D43">
            <v>29204</v>
          </cell>
          <cell r="E43" t="str">
            <v>钢砼</v>
          </cell>
          <cell r="F43">
            <v>1</v>
          </cell>
          <cell r="G43">
            <v>5</v>
          </cell>
          <cell r="H43">
            <v>64.14</v>
          </cell>
          <cell r="J43">
            <v>14922.87</v>
          </cell>
          <cell r="K43">
            <v>596.91</v>
          </cell>
          <cell r="N43">
            <v>19.600000000000001</v>
          </cell>
          <cell r="O43">
            <v>40</v>
          </cell>
          <cell r="R43">
            <v>720</v>
          </cell>
          <cell r="S43">
            <v>767.37600000000009</v>
          </cell>
          <cell r="T43">
            <v>49219.496640000005</v>
          </cell>
          <cell r="U43">
            <v>51</v>
          </cell>
          <cell r="V43">
            <v>25102</v>
          </cell>
        </row>
        <row r="44">
          <cell r="C44" t="str">
            <v>库区东堆场</v>
          </cell>
          <cell r="D44">
            <v>29204</v>
          </cell>
          <cell r="E44" t="str">
            <v>砼</v>
          </cell>
          <cell r="H44">
            <v>9900</v>
          </cell>
          <cell r="J44">
            <v>586770.25</v>
          </cell>
          <cell r="K44">
            <v>23470.81</v>
          </cell>
          <cell r="N44">
            <v>19.600000000000001</v>
          </cell>
          <cell r="O44">
            <v>30</v>
          </cell>
          <cell r="R44">
            <v>120</v>
          </cell>
          <cell r="S44">
            <v>131.61599999999999</v>
          </cell>
          <cell r="T44">
            <v>1302998.3999999999</v>
          </cell>
          <cell r="U44">
            <v>35</v>
          </cell>
          <cell r="V44">
            <v>456049</v>
          </cell>
        </row>
        <row r="45">
          <cell r="C45" t="str">
            <v>库区西堆场</v>
          </cell>
          <cell r="D45">
            <v>29204</v>
          </cell>
          <cell r="E45" t="str">
            <v>砼</v>
          </cell>
          <cell r="H45">
            <v>15600</v>
          </cell>
          <cell r="J45">
            <v>730365</v>
          </cell>
          <cell r="K45">
            <v>29214.6</v>
          </cell>
          <cell r="N45">
            <v>19.600000000000001</v>
          </cell>
          <cell r="O45">
            <v>30</v>
          </cell>
          <cell r="R45">
            <v>120</v>
          </cell>
          <cell r="S45">
            <v>131.61599999999999</v>
          </cell>
          <cell r="T45">
            <v>2053209.5999999999</v>
          </cell>
          <cell r="U45">
            <v>35</v>
          </cell>
          <cell r="V45">
            <v>718623</v>
          </cell>
        </row>
        <row r="46">
          <cell r="C46" t="str">
            <v>变电所</v>
          </cell>
          <cell r="D46">
            <v>29204</v>
          </cell>
          <cell r="E46" t="str">
            <v>砖混</v>
          </cell>
          <cell r="F46">
            <v>1</v>
          </cell>
          <cell r="G46">
            <v>3.3</v>
          </cell>
          <cell r="H46">
            <v>76</v>
          </cell>
          <cell r="J46">
            <v>31789.21</v>
          </cell>
          <cell r="K46">
            <v>1065.55</v>
          </cell>
          <cell r="N46">
            <v>19.600000000000001</v>
          </cell>
          <cell r="O46">
            <v>40</v>
          </cell>
          <cell r="R46">
            <v>710</v>
          </cell>
          <cell r="S46">
            <v>756.71800000000007</v>
          </cell>
          <cell r="T46">
            <v>57510.568000000007</v>
          </cell>
          <cell r="U46">
            <v>51</v>
          </cell>
          <cell r="V46">
            <v>29330</v>
          </cell>
        </row>
        <row r="47">
          <cell r="C47" t="str">
            <v>变电所</v>
          </cell>
          <cell r="D47">
            <v>29204</v>
          </cell>
          <cell r="E47" t="str">
            <v>砖混</v>
          </cell>
          <cell r="F47">
            <v>1</v>
          </cell>
          <cell r="G47">
            <v>3.3</v>
          </cell>
          <cell r="H47">
            <v>47</v>
          </cell>
          <cell r="J47">
            <v>31789.200000000001</v>
          </cell>
          <cell r="K47">
            <v>1271.57</v>
          </cell>
          <cell r="N47">
            <v>19.600000000000001</v>
          </cell>
          <cell r="O47">
            <v>40</v>
          </cell>
          <cell r="R47">
            <v>710</v>
          </cell>
          <cell r="S47">
            <v>756.71800000000007</v>
          </cell>
          <cell r="T47">
            <v>35565.746000000006</v>
          </cell>
          <cell r="U47">
            <v>51</v>
          </cell>
          <cell r="V47">
            <v>18139</v>
          </cell>
        </row>
        <row r="48">
          <cell r="C48" t="str">
            <v>公用设施(消防栓.消</v>
          </cell>
        </row>
        <row r="49">
          <cell r="C49" t="str">
            <v>防水管.给排水.围墙)</v>
          </cell>
          <cell r="D49">
            <v>29204</v>
          </cell>
          <cell r="J49">
            <v>2200139.73</v>
          </cell>
          <cell r="K49">
            <v>2200139.73</v>
          </cell>
          <cell r="N49">
            <v>19.600000000000001</v>
          </cell>
          <cell r="O49">
            <v>20</v>
          </cell>
          <cell r="T49">
            <v>2310146</v>
          </cell>
          <cell r="U49">
            <v>2</v>
          </cell>
          <cell r="V49">
            <v>46203</v>
          </cell>
        </row>
        <row r="50">
          <cell r="C50" t="str">
            <v>库区厕所(1#厕所)</v>
          </cell>
          <cell r="D50">
            <v>29204</v>
          </cell>
          <cell r="E50" t="str">
            <v>砖混</v>
          </cell>
          <cell r="F50">
            <v>1</v>
          </cell>
          <cell r="G50">
            <v>3.5</v>
          </cell>
          <cell r="H50">
            <v>25</v>
          </cell>
          <cell r="J50">
            <v>2563</v>
          </cell>
          <cell r="K50">
            <v>-4793.4799999999996</v>
          </cell>
          <cell r="N50">
            <v>19.600000000000001</v>
          </cell>
          <cell r="O50">
            <v>40</v>
          </cell>
          <cell r="R50">
            <v>630</v>
          </cell>
          <cell r="S50">
            <v>671.45400000000006</v>
          </cell>
          <cell r="T50">
            <v>16786.350000000002</v>
          </cell>
          <cell r="U50">
            <v>51</v>
          </cell>
          <cell r="V50">
            <v>8561</v>
          </cell>
        </row>
        <row r="51">
          <cell r="C51" t="str">
            <v>库区厕所(2#厕所)</v>
          </cell>
          <cell r="D51">
            <v>29204</v>
          </cell>
          <cell r="E51" t="str">
            <v>砖混</v>
          </cell>
          <cell r="F51">
            <v>1</v>
          </cell>
          <cell r="G51">
            <v>3.5</v>
          </cell>
          <cell r="H51">
            <v>23</v>
          </cell>
          <cell r="J51">
            <v>2550</v>
          </cell>
          <cell r="K51">
            <v>2550</v>
          </cell>
          <cell r="N51">
            <v>19.600000000000001</v>
          </cell>
          <cell r="O51">
            <v>40</v>
          </cell>
          <cell r="R51">
            <v>630</v>
          </cell>
          <cell r="S51">
            <v>671.45400000000006</v>
          </cell>
          <cell r="T51">
            <v>15443.442000000001</v>
          </cell>
          <cell r="U51">
            <v>51</v>
          </cell>
          <cell r="V51">
            <v>7876</v>
          </cell>
        </row>
        <row r="52">
          <cell r="C52" t="str">
            <v>库区厕所(3#厕所)</v>
          </cell>
          <cell r="D52">
            <v>29204</v>
          </cell>
          <cell r="E52" t="str">
            <v>砖混</v>
          </cell>
          <cell r="F52">
            <v>1</v>
          </cell>
          <cell r="G52">
            <v>3.5</v>
          </cell>
          <cell r="H52">
            <v>23</v>
          </cell>
          <cell r="J52">
            <v>2550</v>
          </cell>
          <cell r="K52">
            <v>2550</v>
          </cell>
          <cell r="N52">
            <v>19.600000000000001</v>
          </cell>
          <cell r="O52">
            <v>40</v>
          </cell>
          <cell r="R52">
            <v>630</v>
          </cell>
          <cell r="S52">
            <v>671.45400000000006</v>
          </cell>
          <cell r="T52">
            <v>15443.442000000001</v>
          </cell>
          <cell r="U52">
            <v>51</v>
          </cell>
          <cell r="V52">
            <v>7876</v>
          </cell>
        </row>
        <row r="53">
          <cell r="C53" t="str">
            <v>库区门卫(1#门卫)</v>
          </cell>
          <cell r="D53">
            <v>29204</v>
          </cell>
          <cell r="E53" t="str">
            <v>砖混</v>
          </cell>
          <cell r="F53">
            <v>1</v>
          </cell>
          <cell r="G53">
            <v>3.5</v>
          </cell>
          <cell r="H53">
            <v>26</v>
          </cell>
          <cell r="J53">
            <v>1863</v>
          </cell>
          <cell r="K53">
            <v>-2676.84</v>
          </cell>
          <cell r="N53">
            <v>19.600000000000001</v>
          </cell>
          <cell r="O53">
            <v>40</v>
          </cell>
          <cell r="R53">
            <v>880</v>
          </cell>
          <cell r="S53">
            <v>937.90400000000011</v>
          </cell>
          <cell r="T53">
            <v>24385.504000000004</v>
          </cell>
          <cell r="U53">
            <v>51</v>
          </cell>
          <cell r="V53">
            <v>12437</v>
          </cell>
        </row>
        <row r="54">
          <cell r="C54" t="str">
            <v>库区门卫(2#门卫)</v>
          </cell>
          <cell r="D54">
            <v>29204</v>
          </cell>
          <cell r="E54" t="str">
            <v>砖混</v>
          </cell>
          <cell r="F54">
            <v>1</v>
          </cell>
          <cell r="G54">
            <v>3.5</v>
          </cell>
          <cell r="H54">
            <v>22</v>
          </cell>
          <cell r="J54">
            <v>1628</v>
          </cell>
          <cell r="K54">
            <v>1628</v>
          </cell>
          <cell r="N54">
            <v>19.600000000000001</v>
          </cell>
          <cell r="O54">
            <v>40</v>
          </cell>
          <cell r="R54">
            <v>880</v>
          </cell>
          <cell r="S54">
            <v>937.90400000000011</v>
          </cell>
          <cell r="T54">
            <v>20633.888000000003</v>
          </cell>
          <cell r="U54">
            <v>51</v>
          </cell>
          <cell r="V54">
            <v>10523</v>
          </cell>
        </row>
        <row r="55">
          <cell r="C55" t="str">
            <v>库区门卫(3#门卫)</v>
          </cell>
          <cell r="D55">
            <v>29204</v>
          </cell>
          <cell r="E55" t="str">
            <v>砖混</v>
          </cell>
          <cell r="F55">
            <v>1</v>
          </cell>
          <cell r="G55">
            <v>3.5</v>
          </cell>
          <cell r="H55">
            <v>16</v>
          </cell>
          <cell r="J55">
            <v>1238</v>
          </cell>
          <cell r="K55">
            <v>1238</v>
          </cell>
          <cell r="N55">
            <v>19.600000000000001</v>
          </cell>
          <cell r="O55">
            <v>40</v>
          </cell>
          <cell r="R55">
            <v>880</v>
          </cell>
          <cell r="S55">
            <v>937.90400000000011</v>
          </cell>
          <cell r="T55">
            <v>15006.464000000002</v>
          </cell>
          <cell r="U55">
            <v>51</v>
          </cell>
          <cell r="V55">
            <v>7653</v>
          </cell>
        </row>
        <row r="56">
          <cell r="C56" t="str">
            <v>9#库</v>
          </cell>
          <cell r="D56">
            <v>29204</v>
          </cell>
          <cell r="E56" t="str">
            <v>钢砼</v>
          </cell>
          <cell r="F56">
            <v>1</v>
          </cell>
          <cell r="G56">
            <v>12.5</v>
          </cell>
          <cell r="H56">
            <v>6050</v>
          </cell>
          <cell r="J56">
            <v>1042292</v>
          </cell>
          <cell r="K56">
            <v>953349.76</v>
          </cell>
          <cell r="N56">
            <v>19.600000000000001</v>
          </cell>
          <cell r="O56">
            <v>50</v>
          </cell>
          <cell r="R56">
            <v>941</v>
          </cell>
          <cell r="S56">
            <v>1002.9178000000001</v>
          </cell>
          <cell r="T56">
            <v>6067652.6900000004</v>
          </cell>
          <cell r="U56">
            <v>61</v>
          </cell>
          <cell r="V56">
            <v>3701268</v>
          </cell>
        </row>
        <row r="57">
          <cell r="C57" t="str">
            <v>活动房</v>
          </cell>
          <cell r="D57">
            <v>31213</v>
          </cell>
          <cell r="E57" t="str">
            <v>钢</v>
          </cell>
          <cell r="F57">
            <v>1</v>
          </cell>
          <cell r="G57">
            <v>2.5</v>
          </cell>
          <cell r="H57" t="str">
            <v>HW84-1</v>
          </cell>
          <cell r="J57">
            <v>33422</v>
          </cell>
          <cell r="K57">
            <v>1336.88</v>
          </cell>
          <cell r="N57">
            <v>14.1</v>
          </cell>
          <cell r="O57">
            <v>55</v>
          </cell>
          <cell r="T57">
            <v>35100</v>
          </cell>
          <cell r="U57">
            <v>74</v>
          </cell>
          <cell r="V57">
            <v>25974</v>
          </cell>
        </row>
        <row r="58">
          <cell r="C58" t="str">
            <v>玻璃房</v>
          </cell>
          <cell r="D58">
            <v>32523</v>
          </cell>
          <cell r="E58" t="str">
            <v>铝合金</v>
          </cell>
          <cell r="F58">
            <v>1</v>
          </cell>
          <cell r="G58">
            <v>3</v>
          </cell>
          <cell r="J58">
            <v>223235</v>
          </cell>
          <cell r="K58">
            <v>12259.67</v>
          </cell>
          <cell r="N58">
            <v>10.5</v>
          </cell>
          <cell r="O58">
            <v>50</v>
          </cell>
          <cell r="T58">
            <v>234390</v>
          </cell>
          <cell r="U58">
            <v>79</v>
          </cell>
          <cell r="V58">
            <v>185168</v>
          </cell>
        </row>
        <row r="59">
          <cell r="C59" t="str">
            <v>一露天库</v>
          </cell>
          <cell r="D59">
            <v>34288</v>
          </cell>
          <cell r="E59" t="str">
            <v>砼</v>
          </cell>
          <cell r="H59">
            <v>7600</v>
          </cell>
          <cell r="J59">
            <v>1428625</v>
          </cell>
          <cell r="K59">
            <v>1005894.59</v>
          </cell>
          <cell r="N59">
            <v>5.7</v>
          </cell>
          <cell r="O59">
            <v>30</v>
          </cell>
          <cell r="R59">
            <v>150</v>
          </cell>
          <cell r="S59">
            <v>164.52</v>
          </cell>
          <cell r="T59">
            <v>1250352</v>
          </cell>
          <cell r="U59">
            <v>81</v>
          </cell>
          <cell r="V59">
            <v>1012785</v>
          </cell>
        </row>
        <row r="60">
          <cell r="C60" t="str">
            <v>轴承库</v>
          </cell>
          <cell r="D60">
            <v>32523</v>
          </cell>
          <cell r="E60" t="str">
            <v>钢砼</v>
          </cell>
          <cell r="F60">
            <v>1</v>
          </cell>
          <cell r="G60">
            <v>16</v>
          </cell>
          <cell r="H60">
            <v>690</v>
          </cell>
          <cell r="I60">
            <v>10858</v>
          </cell>
          <cell r="J60">
            <v>3667617</v>
          </cell>
          <cell r="K60">
            <v>1849141.45</v>
          </cell>
          <cell r="N60">
            <v>10.5</v>
          </cell>
          <cell r="O60">
            <v>50</v>
          </cell>
          <cell r="R60">
            <v>1112</v>
          </cell>
          <cell r="S60">
            <v>1219.6415999999999</v>
          </cell>
          <cell r="T60">
            <v>841552.70399999991</v>
          </cell>
          <cell r="U60">
            <v>79</v>
          </cell>
          <cell r="V60">
            <v>664827</v>
          </cell>
        </row>
        <row r="61">
          <cell r="C61" t="str">
            <v>初轧库</v>
          </cell>
          <cell r="D61">
            <v>32523</v>
          </cell>
          <cell r="E61" t="str">
            <v>钢砼</v>
          </cell>
          <cell r="F61">
            <v>1</v>
          </cell>
          <cell r="G61">
            <v>8</v>
          </cell>
          <cell r="H61">
            <v>3159</v>
          </cell>
          <cell r="J61">
            <v>9131100</v>
          </cell>
          <cell r="K61">
            <v>4603723.7699999996</v>
          </cell>
          <cell r="N61">
            <v>10.5</v>
          </cell>
          <cell r="O61">
            <v>50</v>
          </cell>
          <cell r="R61">
            <v>884</v>
          </cell>
          <cell r="S61">
            <v>969.57119999999998</v>
          </cell>
          <cell r="T61">
            <v>3062875.4208</v>
          </cell>
          <cell r="U61">
            <v>79</v>
          </cell>
          <cell r="V61">
            <v>2419672</v>
          </cell>
        </row>
        <row r="62">
          <cell r="C62" t="str">
            <v>2#精密仪表库</v>
          </cell>
          <cell r="D62">
            <v>32523</v>
          </cell>
          <cell r="E62" t="str">
            <v>钢砼</v>
          </cell>
          <cell r="F62">
            <v>3</v>
          </cell>
          <cell r="G62">
            <v>5</v>
          </cell>
          <cell r="H62">
            <v>3252</v>
          </cell>
          <cell r="I62" t="str">
            <v>03828</v>
          </cell>
          <cell r="J62">
            <v>9533289</v>
          </cell>
          <cell r="K62">
            <v>4806499.67</v>
          </cell>
          <cell r="N62">
            <v>10.5</v>
          </cell>
          <cell r="O62">
            <v>50</v>
          </cell>
          <cell r="R62">
            <v>1193</v>
          </cell>
          <cell r="S62">
            <v>1308.4824000000001</v>
          </cell>
          <cell r="T62">
            <v>4255184.7648</v>
          </cell>
          <cell r="U62">
            <v>76</v>
          </cell>
          <cell r="V62">
            <v>3233940.4212480001</v>
          </cell>
        </row>
        <row r="63">
          <cell r="C63" t="str">
            <v>小型备件库</v>
          </cell>
          <cell r="D63">
            <v>32523</v>
          </cell>
          <cell r="E63" t="str">
            <v>钢砼</v>
          </cell>
          <cell r="F63">
            <v>4</v>
          </cell>
          <cell r="G63">
            <v>5</v>
          </cell>
          <cell r="H63">
            <v>7074</v>
          </cell>
          <cell r="I63" t="str">
            <v>03828</v>
          </cell>
          <cell r="J63">
            <v>6429828</v>
          </cell>
          <cell r="K63">
            <v>3241794.75</v>
          </cell>
          <cell r="N63">
            <v>10.5</v>
          </cell>
          <cell r="O63">
            <v>50</v>
          </cell>
          <cell r="R63">
            <v>1193</v>
          </cell>
          <cell r="S63">
            <v>1308.4824000000001</v>
          </cell>
          <cell r="T63">
            <v>9256204.4976000004</v>
          </cell>
          <cell r="U63">
            <v>79</v>
          </cell>
          <cell r="V63">
            <v>7312402</v>
          </cell>
        </row>
        <row r="64">
          <cell r="C64" t="str">
            <v>自行车棚</v>
          </cell>
          <cell r="D64">
            <v>34257</v>
          </cell>
          <cell r="E64" t="str">
            <v>轻钢</v>
          </cell>
          <cell r="F64">
            <v>1</v>
          </cell>
          <cell r="G64">
            <v>2.5</v>
          </cell>
          <cell r="H64">
            <v>131.6</v>
          </cell>
          <cell r="I64" t="str">
            <v>03828</v>
          </cell>
          <cell r="J64">
            <v>31277</v>
          </cell>
          <cell r="K64">
            <v>21781.01</v>
          </cell>
          <cell r="N64">
            <v>5.8</v>
          </cell>
          <cell r="O64">
            <v>15</v>
          </cell>
          <cell r="R64">
            <v>288</v>
          </cell>
          <cell r="S64">
            <v>306.9504</v>
          </cell>
          <cell r="T64">
            <v>40394.672639999997</v>
          </cell>
          <cell r="U64">
            <v>61</v>
          </cell>
          <cell r="V64">
            <v>24641</v>
          </cell>
        </row>
        <row r="65">
          <cell r="C65" t="str">
            <v>自行车棚</v>
          </cell>
          <cell r="D65">
            <v>34257</v>
          </cell>
          <cell r="E65" t="str">
            <v>轻钢</v>
          </cell>
          <cell r="F65">
            <v>1</v>
          </cell>
          <cell r="G65">
            <v>2.5</v>
          </cell>
          <cell r="H65">
            <v>45</v>
          </cell>
          <cell r="I65" t="str">
            <v>03828</v>
          </cell>
          <cell r="J65">
            <v>31277</v>
          </cell>
          <cell r="K65">
            <v>21781.01</v>
          </cell>
          <cell r="N65">
            <v>5.8</v>
          </cell>
          <cell r="O65">
            <v>15</v>
          </cell>
          <cell r="R65">
            <v>288</v>
          </cell>
          <cell r="S65">
            <v>306.9504</v>
          </cell>
          <cell r="T65">
            <v>13812.768</v>
          </cell>
          <cell r="U65">
            <v>61</v>
          </cell>
          <cell r="V65">
            <v>8426</v>
          </cell>
        </row>
        <row r="66">
          <cell r="C66" t="str">
            <v>炼钢地区备品库</v>
          </cell>
          <cell r="D66">
            <v>31305</v>
          </cell>
          <cell r="E66" t="str">
            <v>钢砼</v>
          </cell>
          <cell r="F66">
            <v>1</v>
          </cell>
          <cell r="G66">
            <v>12</v>
          </cell>
          <cell r="H66">
            <v>1344</v>
          </cell>
          <cell r="J66">
            <v>1609991</v>
          </cell>
          <cell r="K66">
            <v>664340.37</v>
          </cell>
          <cell r="N66">
            <v>13.9</v>
          </cell>
          <cell r="O66">
            <v>50</v>
          </cell>
          <cell r="R66">
            <v>884</v>
          </cell>
          <cell r="S66">
            <v>969.57119999999998</v>
          </cell>
          <cell r="T66">
            <v>1303103.6928000001</v>
          </cell>
          <cell r="U66">
            <v>72</v>
          </cell>
          <cell r="V66">
            <v>938235</v>
          </cell>
        </row>
        <row r="67">
          <cell r="C67" t="str">
            <v>精密仪表库(一仪表)</v>
          </cell>
          <cell r="D67">
            <v>31305</v>
          </cell>
          <cell r="E67" t="str">
            <v>钢砼</v>
          </cell>
          <cell r="F67">
            <v>2</v>
          </cell>
          <cell r="G67">
            <v>4.5</v>
          </cell>
          <cell r="H67">
            <v>1885.9</v>
          </cell>
          <cell r="J67">
            <v>1680377</v>
          </cell>
          <cell r="K67">
            <v>693384.17</v>
          </cell>
          <cell r="N67">
            <v>13.9</v>
          </cell>
          <cell r="O67">
            <v>50</v>
          </cell>
          <cell r="R67">
            <v>916</v>
          </cell>
          <cell r="S67">
            <v>1004.6688</v>
          </cell>
          <cell r="T67">
            <v>1894704.8899200002</v>
          </cell>
          <cell r="U67">
            <v>72</v>
          </cell>
          <cell r="V67">
            <v>1364188</v>
          </cell>
        </row>
        <row r="68">
          <cell r="C68" t="str">
            <v>机电备品库</v>
          </cell>
          <cell r="D68">
            <v>31305</v>
          </cell>
          <cell r="E68" t="str">
            <v>钢砼</v>
          </cell>
          <cell r="F68">
            <v>1</v>
          </cell>
          <cell r="G68">
            <v>12</v>
          </cell>
          <cell r="H68">
            <v>8837.2999999999993</v>
          </cell>
          <cell r="J68">
            <v>8027853</v>
          </cell>
          <cell r="K68">
            <v>3312581.81</v>
          </cell>
          <cell r="N68">
            <v>13.9</v>
          </cell>
          <cell r="O68">
            <v>50</v>
          </cell>
          <cell r="R68">
            <v>884</v>
          </cell>
          <cell r="S68">
            <v>969.57119999999998</v>
          </cell>
          <cell r="T68">
            <v>8568391.5657599997</v>
          </cell>
          <cell r="U68">
            <v>72</v>
          </cell>
          <cell r="V68">
            <v>6169242</v>
          </cell>
        </row>
        <row r="69">
          <cell r="C69" t="str">
            <v>车辆备件仓库</v>
          </cell>
          <cell r="D69">
            <v>31305</v>
          </cell>
          <cell r="E69" t="str">
            <v>钢砼</v>
          </cell>
          <cell r="F69">
            <v>1</v>
          </cell>
          <cell r="G69">
            <v>12</v>
          </cell>
          <cell r="H69">
            <v>1836</v>
          </cell>
          <cell r="J69">
            <v>1828477</v>
          </cell>
          <cell r="K69">
            <v>754495.56</v>
          </cell>
          <cell r="N69">
            <v>13.9</v>
          </cell>
          <cell r="O69">
            <v>50</v>
          </cell>
          <cell r="R69">
            <v>884</v>
          </cell>
          <cell r="S69">
            <v>969.57119999999998</v>
          </cell>
          <cell r="T69">
            <v>1780132.7231999999</v>
          </cell>
          <cell r="U69">
            <v>72</v>
          </cell>
          <cell r="V69">
            <v>1281696</v>
          </cell>
        </row>
        <row r="70">
          <cell r="C70" t="str">
            <v>二次淬火厂房</v>
          </cell>
          <cell r="D70">
            <v>32523</v>
          </cell>
          <cell r="E70" t="str">
            <v>钢砼</v>
          </cell>
          <cell r="F70">
            <v>1</v>
          </cell>
          <cell r="G70">
            <v>16</v>
          </cell>
          <cell r="H70">
            <v>4233</v>
          </cell>
          <cell r="J70">
            <v>11810982</v>
          </cell>
          <cell r="K70">
            <v>5954868.3899999997</v>
          </cell>
          <cell r="N70">
            <v>10.5</v>
          </cell>
          <cell r="O70">
            <v>50</v>
          </cell>
          <cell r="R70">
            <v>1112</v>
          </cell>
          <cell r="S70">
            <v>1219.6415999999999</v>
          </cell>
          <cell r="T70">
            <v>5162742.8927999996</v>
          </cell>
          <cell r="U70">
            <v>79</v>
          </cell>
          <cell r="V70">
            <v>4078567</v>
          </cell>
        </row>
        <row r="71">
          <cell r="C71" t="str">
            <v>自行车棚</v>
          </cell>
          <cell r="D71">
            <v>34257</v>
          </cell>
          <cell r="E71" t="str">
            <v>轻钢</v>
          </cell>
          <cell r="F71">
            <v>1</v>
          </cell>
          <cell r="G71">
            <v>2.5</v>
          </cell>
          <cell r="H71">
            <v>156.6</v>
          </cell>
          <cell r="J71">
            <v>31277</v>
          </cell>
          <cell r="K71">
            <v>21781.01</v>
          </cell>
          <cell r="N71">
            <v>5.8</v>
          </cell>
          <cell r="O71">
            <v>15</v>
          </cell>
          <cell r="R71">
            <v>288</v>
          </cell>
          <cell r="S71">
            <v>306.9504</v>
          </cell>
          <cell r="T71">
            <v>48068.432639999999</v>
          </cell>
          <cell r="U71">
            <v>61</v>
          </cell>
          <cell r="V71">
            <v>29322</v>
          </cell>
        </row>
        <row r="72">
          <cell r="C72" t="str">
            <v>5#磅房</v>
          </cell>
          <cell r="D72">
            <v>32857</v>
          </cell>
          <cell r="E72" t="str">
            <v>砖混</v>
          </cell>
          <cell r="F72">
            <v>1</v>
          </cell>
          <cell r="G72">
            <v>3</v>
          </cell>
          <cell r="H72">
            <v>20</v>
          </cell>
          <cell r="J72">
            <v>40000</v>
          </cell>
          <cell r="K72">
            <v>40000</v>
          </cell>
          <cell r="N72">
            <v>9.6</v>
          </cell>
          <cell r="O72">
            <v>40</v>
          </cell>
          <cell r="R72">
            <v>2000</v>
          </cell>
          <cell r="S72">
            <v>2131.6000000000004</v>
          </cell>
          <cell r="T72">
            <v>42632.000000000007</v>
          </cell>
          <cell r="U72">
            <v>76</v>
          </cell>
          <cell r="V72">
            <v>32400</v>
          </cell>
        </row>
        <row r="73">
          <cell r="C73" t="str">
            <v>7#磅房</v>
          </cell>
          <cell r="D73">
            <v>32126</v>
          </cell>
          <cell r="E73" t="str">
            <v>砖混</v>
          </cell>
          <cell r="F73">
            <v>1</v>
          </cell>
          <cell r="G73">
            <v>3</v>
          </cell>
          <cell r="H73">
            <v>20</v>
          </cell>
          <cell r="J73">
            <v>40000</v>
          </cell>
          <cell r="K73">
            <v>40000</v>
          </cell>
          <cell r="N73">
            <v>11.6</v>
          </cell>
          <cell r="O73">
            <v>40</v>
          </cell>
          <cell r="R73">
            <v>2000</v>
          </cell>
          <cell r="S73">
            <v>2131.6000000000004</v>
          </cell>
          <cell r="T73">
            <v>42632.000000000007</v>
          </cell>
          <cell r="U73">
            <v>71</v>
          </cell>
          <cell r="V73">
            <v>30269</v>
          </cell>
        </row>
        <row r="74">
          <cell r="C74" t="str">
            <v>8#磅房</v>
          </cell>
          <cell r="D74">
            <v>33100</v>
          </cell>
          <cell r="E74" t="str">
            <v>砖混</v>
          </cell>
          <cell r="F74">
            <v>1</v>
          </cell>
          <cell r="G74">
            <v>3</v>
          </cell>
          <cell r="H74">
            <v>20</v>
          </cell>
          <cell r="J74">
            <v>40000</v>
          </cell>
          <cell r="K74">
            <v>40000</v>
          </cell>
          <cell r="N74">
            <v>9</v>
          </cell>
          <cell r="O74">
            <v>40</v>
          </cell>
          <cell r="R74">
            <v>2000</v>
          </cell>
          <cell r="S74">
            <v>2131.6000000000004</v>
          </cell>
          <cell r="T74">
            <v>42632.000000000007</v>
          </cell>
          <cell r="U74">
            <v>78</v>
          </cell>
          <cell r="V74">
            <v>33253</v>
          </cell>
        </row>
        <row r="75">
          <cell r="C75" t="str">
            <v>同位素库房</v>
          </cell>
          <cell r="D75">
            <v>29966</v>
          </cell>
          <cell r="E75" t="str">
            <v>砖混</v>
          </cell>
          <cell r="F75">
            <v>1</v>
          </cell>
          <cell r="G75">
            <v>4.5</v>
          </cell>
          <cell r="H75">
            <v>61.3</v>
          </cell>
          <cell r="I75">
            <v>10858</v>
          </cell>
          <cell r="J75">
            <v>75368</v>
          </cell>
          <cell r="K75">
            <v>31099.56</v>
          </cell>
          <cell r="N75">
            <v>17.600000000000001</v>
          </cell>
          <cell r="O75">
            <v>40</v>
          </cell>
          <cell r="R75">
            <v>960</v>
          </cell>
          <cell r="S75">
            <v>1023.1680000000001</v>
          </cell>
          <cell r="T75">
            <v>62720.198400000001</v>
          </cell>
          <cell r="U75">
            <v>56</v>
          </cell>
          <cell r="V75">
            <v>35123</v>
          </cell>
        </row>
        <row r="76">
          <cell r="C76" t="str">
            <v>同位素工作室</v>
          </cell>
          <cell r="D76">
            <v>32523</v>
          </cell>
          <cell r="E76" t="str">
            <v>砖混</v>
          </cell>
          <cell r="F76">
            <v>1</v>
          </cell>
          <cell r="G76">
            <v>4.5</v>
          </cell>
          <cell r="H76">
            <v>72</v>
          </cell>
          <cell r="I76">
            <v>10858</v>
          </cell>
          <cell r="J76">
            <v>67798</v>
          </cell>
          <cell r="K76">
            <v>34182.449999999997</v>
          </cell>
          <cell r="N76">
            <v>10.5</v>
          </cell>
          <cell r="O76">
            <v>40</v>
          </cell>
          <cell r="R76">
            <v>960</v>
          </cell>
          <cell r="S76">
            <v>1023.1680000000001</v>
          </cell>
          <cell r="T76">
            <v>73668.096000000005</v>
          </cell>
          <cell r="U76">
            <v>74</v>
          </cell>
          <cell r="V76">
            <v>54514</v>
          </cell>
        </row>
        <row r="77">
          <cell r="C77" t="str">
            <v>1#磅房</v>
          </cell>
          <cell r="D77">
            <v>32035</v>
          </cell>
          <cell r="E77" t="str">
            <v>砖混</v>
          </cell>
          <cell r="F77">
            <v>1</v>
          </cell>
          <cell r="G77">
            <v>3</v>
          </cell>
          <cell r="H77">
            <v>24</v>
          </cell>
          <cell r="I77" t="str">
            <v>04881</v>
          </cell>
          <cell r="J77">
            <v>48203</v>
          </cell>
          <cell r="K77">
            <v>18536.259999999998</v>
          </cell>
          <cell r="N77">
            <v>11.9</v>
          </cell>
          <cell r="O77">
            <v>40</v>
          </cell>
          <cell r="R77">
            <v>2000</v>
          </cell>
          <cell r="S77">
            <v>2131.6000000000004</v>
          </cell>
          <cell r="T77">
            <v>51158.400000000009</v>
          </cell>
          <cell r="U77">
            <v>70</v>
          </cell>
          <cell r="V77">
            <v>35811</v>
          </cell>
        </row>
        <row r="78">
          <cell r="C78" t="str">
            <v>2#磅房</v>
          </cell>
          <cell r="D78">
            <v>32065</v>
          </cell>
          <cell r="E78" t="str">
            <v>砖混</v>
          </cell>
          <cell r="F78">
            <v>1</v>
          </cell>
          <cell r="G78">
            <v>3</v>
          </cell>
          <cell r="H78">
            <v>24</v>
          </cell>
          <cell r="I78" t="str">
            <v>04876</v>
          </cell>
          <cell r="J78">
            <v>48203</v>
          </cell>
          <cell r="K78">
            <v>18664.79</v>
          </cell>
          <cell r="N78">
            <v>11.8</v>
          </cell>
          <cell r="O78">
            <v>40</v>
          </cell>
          <cell r="R78">
            <v>2000</v>
          </cell>
          <cell r="S78">
            <v>2131.6000000000004</v>
          </cell>
          <cell r="T78">
            <v>51158.400000000009</v>
          </cell>
          <cell r="U78">
            <v>71</v>
          </cell>
          <cell r="V78">
            <v>36322</v>
          </cell>
        </row>
        <row r="79">
          <cell r="C79" t="str">
            <v>3#磅房</v>
          </cell>
          <cell r="D79">
            <v>32065</v>
          </cell>
          <cell r="E79" t="str">
            <v>砖混</v>
          </cell>
          <cell r="F79">
            <v>1</v>
          </cell>
          <cell r="G79">
            <v>3</v>
          </cell>
          <cell r="H79">
            <v>24</v>
          </cell>
          <cell r="J79">
            <v>53353</v>
          </cell>
          <cell r="K79">
            <v>23814.79</v>
          </cell>
          <cell r="N79">
            <v>11.8</v>
          </cell>
          <cell r="O79">
            <v>40</v>
          </cell>
          <cell r="R79">
            <v>2000</v>
          </cell>
          <cell r="S79">
            <v>2131.6000000000004</v>
          </cell>
          <cell r="T79">
            <v>51158.400000000009</v>
          </cell>
          <cell r="U79">
            <v>71</v>
          </cell>
          <cell r="V79">
            <v>36322</v>
          </cell>
        </row>
        <row r="80">
          <cell r="C80" t="str">
            <v>4#磅房</v>
          </cell>
          <cell r="D80">
            <v>32004</v>
          </cell>
          <cell r="E80" t="str">
            <v>砖混</v>
          </cell>
          <cell r="F80">
            <v>1</v>
          </cell>
          <cell r="G80">
            <v>3</v>
          </cell>
          <cell r="H80">
            <v>18.899999999999999</v>
          </cell>
          <cell r="J80">
            <v>30413</v>
          </cell>
          <cell r="K80">
            <v>10580.58</v>
          </cell>
          <cell r="N80">
            <v>12</v>
          </cell>
          <cell r="O80">
            <v>40</v>
          </cell>
          <cell r="R80">
            <v>2000</v>
          </cell>
          <cell r="S80">
            <v>2131.6000000000004</v>
          </cell>
          <cell r="T80">
            <v>40287.240000000005</v>
          </cell>
          <cell r="U80">
            <v>70</v>
          </cell>
          <cell r="V80">
            <v>28201</v>
          </cell>
        </row>
        <row r="81">
          <cell r="C81" t="str">
            <v>6#磅房</v>
          </cell>
          <cell r="D81">
            <v>32065</v>
          </cell>
          <cell r="E81" t="str">
            <v>砖混</v>
          </cell>
          <cell r="F81">
            <v>1</v>
          </cell>
          <cell r="G81">
            <v>3</v>
          </cell>
          <cell r="H81">
            <v>60</v>
          </cell>
          <cell r="J81">
            <v>540025</v>
          </cell>
          <cell r="K81">
            <v>238223.61</v>
          </cell>
          <cell r="N81">
            <v>11.8</v>
          </cell>
          <cell r="O81">
            <v>40</v>
          </cell>
          <cell r="R81">
            <v>2000</v>
          </cell>
          <cell r="S81">
            <v>2131.6000000000004</v>
          </cell>
          <cell r="T81">
            <v>127896.00000000003</v>
          </cell>
          <cell r="U81">
            <v>71</v>
          </cell>
          <cell r="V81">
            <v>90806</v>
          </cell>
        </row>
        <row r="82">
          <cell r="C82" t="str">
            <v>自行车棚</v>
          </cell>
          <cell r="D82">
            <v>34257</v>
          </cell>
          <cell r="E82" t="str">
            <v>轻钢</v>
          </cell>
          <cell r="F82">
            <v>1</v>
          </cell>
          <cell r="G82">
            <v>2.5</v>
          </cell>
          <cell r="H82">
            <v>224</v>
          </cell>
          <cell r="I82">
            <v>10858</v>
          </cell>
          <cell r="J82">
            <v>31288</v>
          </cell>
          <cell r="K82">
            <v>21788.68</v>
          </cell>
          <cell r="N82">
            <v>5.8</v>
          </cell>
          <cell r="O82">
            <v>15</v>
          </cell>
          <cell r="R82">
            <v>288</v>
          </cell>
          <cell r="S82">
            <v>306.9504</v>
          </cell>
          <cell r="T82">
            <v>68756.889599999995</v>
          </cell>
          <cell r="U82">
            <v>61</v>
          </cell>
          <cell r="V82">
            <v>41942</v>
          </cell>
        </row>
        <row r="83">
          <cell r="C83" t="str">
            <v>自行车棚</v>
          </cell>
          <cell r="D83">
            <v>34257</v>
          </cell>
          <cell r="E83" t="str">
            <v>轻钢</v>
          </cell>
          <cell r="F83">
            <v>1</v>
          </cell>
          <cell r="G83">
            <v>2.5</v>
          </cell>
          <cell r="H83">
            <v>236</v>
          </cell>
          <cell r="I83">
            <v>10858</v>
          </cell>
          <cell r="J83">
            <v>31277</v>
          </cell>
          <cell r="K83">
            <v>21781.01</v>
          </cell>
          <cell r="N83">
            <v>5.8</v>
          </cell>
          <cell r="O83">
            <v>15</v>
          </cell>
          <cell r="R83">
            <v>288</v>
          </cell>
          <cell r="S83">
            <v>306.9504</v>
          </cell>
          <cell r="T83">
            <v>72440.294399999999</v>
          </cell>
          <cell r="U83">
            <v>61</v>
          </cell>
          <cell r="V83">
            <v>44189</v>
          </cell>
        </row>
        <row r="84">
          <cell r="C84" t="str">
            <v>自行车棚</v>
          </cell>
          <cell r="D84">
            <v>34257</v>
          </cell>
          <cell r="E84" t="str">
            <v>轻钢</v>
          </cell>
          <cell r="F84">
            <v>1</v>
          </cell>
          <cell r="G84">
            <v>2.5</v>
          </cell>
          <cell r="H84">
            <v>526</v>
          </cell>
          <cell r="I84">
            <v>10858</v>
          </cell>
          <cell r="J84">
            <v>31277</v>
          </cell>
          <cell r="K84">
            <v>21781.01</v>
          </cell>
          <cell r="N84">
            <v>5.8</v>
          </cell>
          <cell r="O84">
            <v>15</v>
          </cell>
          <cell r="R84">
            <v>288</v>
          </cell>
          <cell r="S84">
            <v>315.8784</v>
          </cell>
          <cell r="T84">
            <v>166152.03839999999</v>
          </cell>
          <cell r="U84">
            <v>61</v>
          </cell>
          <cell r="V84">
            <v>101353</v>
          </cell>
        </row>
        <row r="85">
          <cell r="C85" t="str">
            <v>自行车棚</v>
          </cell>
          <cell r="D85">
            <v>34257</v>
          </cell>
          <cell r="E85" t="str">
            <v>轻钢</v>
          </cell>
          <cell r="F85">
            <v>1</v>
          </cell>
          <cell r="G85">
            <v>2.5</v>
          </cell>
          <cell r="H85">
            <v>136</v>
          </cell>
          <cell r="I85">
            <v>10858</v>
          </cell>
          <cell r="J85">
            <v>31277</v>
          </cell>
          <cell r="K85">
            <v>21781.01</v>
          </cell>
          <cell r="N85">
            <v>5.8</v>
          </cell>
          <cell r="O85">
            <v>15</v>
          </cell>
          <cell r="R85">
            <v>288</v>
          </cell>
          <cell r="S85">
            <v>306.9504</v>
          </cell>
          <cell r="T85">
            <v>41745.254399999998</v>
          </cell>
          <cell r="U85">
            <v>61</v>
          </cell>
          <cell r="V85">
            <v>25465</v>
          </cell>
        </row>
        <row r="86">
          <cell r="C86" t="str">
            <v>自行车棚</v>
          </cell>
          <cell r="D86">
            <v>34257</v>
          </cell>
          <cell r="E86" t="str">
            <v>轻钢</v>
          </cell>
          <cell r="F86">
            <v>1</v>
          </cell>
          <cell r="G86">
            <v>2.5</v>
          </cell>
          <cell r="H86">
            <v>131</v>
          </cell>
          <cell r="I86">
            <v>10858</v>
          </cell>
          <cell r="J86">
            <v>31277</v>
          </cell>
          <cell r="K86">
            <v>21781.01</v>
          </cell>
          <cell r="N86">
            <v>5.8</v>
          </cell>
          <cell r="O86">
            <v>15</v>
          </cell>
          <cell r="R86">
            <v>288</v>
          </cell>
          <cell r="S86">
            <v>306.9504</v>
          </cell>
          <cell r="T86">
            <v>40210.502399999998</v>
          </cell>
          <cell r="U86">
            <v>61</v>
          </cell>
          <cell r="V86">
            <v>24528</v>
          </cell>
        </row>
        <row r="87">
          <cell r="C87" t="str">
            <v>自行车棚</v>
          </cell>
          <cell r="D87">
            <v>34257</v>
          </cell>
          <cell r="E87" t="str">
            <v>轻钢</v>
          </cell>
          <cell r="F87">
            <v>1</v>
          </cell>
          <cell r="G87">
            <v>2.5</v>
          </cell>
          <cell r="H87">
            <v>222</v>
          </cell>
          <cell r="I87">
            <v>10858</v>
          </cell>
          <cell r="J87">
            <v>31277</v>
          </cell>
          <cell r="K87">
            <v>21781.01</v>
          </cell>
          <cell r="N87">
            <v>5.8</v>
          </cell>
          <cell r="O87">
            <v>15</v>
          </cell>
          <cell r="R87">
            <v>288</v>
          </cell>
          <cell r="S87">
            <v>306.9504</v>
          </cell>
          <cell r="T87">
            <v>68142.988800000006</v>
          </cell>
          <cell r="U87">
            <v>61</v>
          </cell>
          <cell r="V87">
            <v>41567</v>
          </cell>
        </row>
        <row r="88">
          <cell r="C88" t="str">
            <v>自行车棚</v>
          </cell>
          <cell r="D88">
            <v>34257</v>
          </cell>
          <cell r="E88" t="str">
            <v>轻钢</v>
          </cell>
          <cell r="F88">
            <v>1</v>
          </cell>
          <cell r="G88">
            <v>2.5</v>
          </cell>
          <cell r="H88">
            <v>132</v>
          </cell>
          <cell r="I88">
            <v>10858</v>
          </cell>
          <cell r="J88">
            <v>31277</v>
          </cell>
          <cell r="K88">
            <v>21781.01</v>
          </cell>
          <cell r="N88">
            <v>5.8</v>
          </cell>
          <cell r="O88">
            <v>15</v>
          </cell>
          <cell r="R88">
            <v>288</v>
          </cell>
          <cell r="S88">
            <v>306.9504</v>
          </cell>
          <cell r="T88">
            <v>40517.452799999999</v>
          </cell>
          <cell r="U88">
            <v>61</v>
          </cell>
          <cell r="V88">
            <v>24716</v>
          </cell>
        </row>
        <row r="89">
          <cell r="C89" t="str">
            <v>自行车棚</v>
          </cell>
          <cell r="D89">
            <v>34257</v>
          </cell>
          <cell r="E89" t="str">
            <v>轻钢</v>
          </cell>
          <cell r="F89">
            <v>1</v>
          </cell>
          <cell r="G89">
            <v>2.5</v>
          </cell>
          <cell r="H89">
            <v>337</v>
          </cell>
          <cell r="I89">
            <v>10858</v>
          </cell>
          <cell r="J89">
            <v>31277</v>
          </cell>
          <cell r="K89">
            <v>21781.01</v>
          </cell>
          <cell r="N89">
            <v>5.8</v>
          </cell>
          <cell r="O89">
            <v>15</v>
          </cell>
          <cell r="R89">
            <v>288</v>
          </cell>
          <cell r="S89">
            <v>306.9504</v>
          </cell>
          <cell r="T89">
            <v>103442.28479999999</v>
          </cell>
          <cell r="U89">
            <v>61</v>
          </cell>
          <cell r="V89">
            <v>63100</v>
          </cell>
        </row>
        <row r="90">
          <cell r="C90" t="str">
            <v>自行车棚</v>
          </cell>
          <cell r="D90">
            <v>34257</v>
          </cell>
          <cell r="E90" t="str">
            <v>轻钢</v>
          </cell>
          <cell r="F90">
            <v>1</v>
          </cell>
          <cell r="G90">
            <v>2.5</v>
          </cell>
          <cell r="H90">
            <v>126</v>
          </cell>
          <cell r="I90">
            <v>10858</v>
          </cell>
          <cell r="J90">
            <v>31277</v>
          </cell>
          <cell r="K90">
            <v>21781.01</v>
          </cell>
          <cell r="N90">
            <v>5.8</v>
          </cell>
          <cell r="O90">
            <v>15</v>
          </cell>
          <cell r="R90">
            <v>288</v>
          </cell>
          <cell r="S90">
            <v>306.9504</v>
          </cell>
          <cell r="T90">
            <v>38675.750399999997</v>
          </cell>
          <cell r="U90">
            <v>61</v>
          </cell>
          <cell r="V90">
            <v>23592</v>
          </cell>
        </row>
        <row r="91">
          <cell r="C91" t="str">
            <v>自行车棚</v>
          </cell>
          <cell r="D91">
            <v>34257</v>
          </cell>
          <cell r="E91" t="str">
            <v>轻钢</v>
          </cell>
          <cell r="F91">
            <v>1</v>
          </cell>
          <cell r="G91">
            <v>2.5</v>
          </cell>
          <cell r="H91">
            <v>223</v>
          </cell>
          <cell r="I91">
            <v>10858</v>
          </cell>
          <cell r="J91">
            <v>31277</v>
          </cell>
          <cell r="K91">
            <v>21781.01</v>
          </cell>
          <cell r="N91">
            <v>5.8</v>
          </cell>
          <cell r="O91">
            <v>15</v>
          </cell>
          <cell r="R91">
            <v>288</v>
          </cell>
          <cell r="S91">
            <v>306.9504</v>
          </cell>
          <cell r="T91">
            <v>68449.939199999993</v>
          </cell>
          <cell r="U91">
            <v>61</v>
          </cell>
          <cell r="V91">
            <v>41754</v>
          </cell>
        </row>
        <row r="92">
          <cell r="C92" t="str">
            <v>机修更衣室</v>
          </cell>
          <cell r="D92">
            <v>31305</v>
          </cell>
          <cell r="E92" t="str">
            <v>砖混</v>
          </cell>
          <cell r="F92">
            <v>3</v>
          </cell>
          <cell r="G92">
            <v>3.3</v>
          </cell>
          <cell r="H92">
            <v>1267</v>
          </cell>
          <cell r="I92">
            <v>10861</v>
          </cell>
          <cell r="J92">
            <v>721477</v>
          </cell>
          <cell r="K92">
            <v>297707.40999999997</v>
          </cell>
          <cell r="N92">
            <v>13.9</v>
          </cell>
          <cell r="O92">
            <v>40</v>
          </cell>
          <cell r="R92">
            <v>690</v>
          </cell>
          <cell r="S92">
            <v>756.79200000000003</v>
          </cell>
          <cell r="T92">
            <v>958855.46400000004</v>
          </cell>
          <cell r="U92">
            <v>65</v>
          </cell>
          <cell r="V92">
            <v>623256</v>
          </cell>
        </row>
        <row r="93">
          <cell r="C93" t="str">
            <v>钢锭模食堂</v>
          </cell>
          <cell r="D93">
            <v>31305</v>
          </cell>
          <cell r="E93" t="str">
            <v>钢砼</v>
          </cell>
          <cell r="F93">
            <v>1</v>
          </cell>
          <cell r="G93">
            <v>4</v>
          </cell>
          <cell r="H93">
            <v>438</v>
          </cell>
          <cell r="I93">
            <v>10861</v>
          </cell>
          <cell r="J93">
            <v>912758</v>
          </cell>
          <cell r="K93">
            <v>376636.91</v>
          </cell>
          <cell r="N93">
            <v>13.9</v>
          </cell>
          <cell r="O93">
            <v>55</v>
          </cell>
          <cell r="R93">
            <v>1019</v>
          </cell>
          <cell r="S93">
            <v>1086.0502000000001</v>
          </cell>
          <cell r="T93">
            <v>475689.98760000005</v>
          </cell>
          <cell r="U93">
            <v>75</v>
          </cell>
          <cell r="V93">
            <v>356767</v>
          </cell>
        </row>
        <row r="94">
          <cell r="C94" t="str">
            <v>钢锭模浴室</v>
          </cell>
          <cell r="D94">
            <v>31305</v>
          </cell>
          <cell r="E94" t="str">
            <v>砖混</v>
          </cell>
          <cell r="F94">
            <v>1</v>
          </cell>
          <cell r="G94">
            <v>4</v>
          </cell>
          <cell r="H94">
            <v>438</v>
          </cell>
          <cell r="I94">
            <v>10861</v>
          </cell>
          <cell r="J94">
            <v>289473</v>
          </cell>
          <cell r="K94">
            <v>119446.97</v>
          </cell>
          <cell r="N94">
            <v>13.9</v>
          </cell>
          <cell r="O94">
            <v>40</v>
          </cell>
          <cell r="R94">
            <v>1530</v>
          </cell>
          <cell r="S94">
            <v>1630.6740000000002</v>
          </cell>
          <cell r="T94">
            <v>714235.21200000006</v>
          </cell>
          <cell r="U94">
            <v>65</v>
          </cell>
          <cell r="V94">
            <v>464253</v>
          </cell>
        </row>
        <row r="95">
          <cell r="C95" t="str">
            <v>设备部浴室</v>
          </cell>
          <cell r="D95">
            <v>32096</v>
          </cell>
          <cell r="E95" t="str">
            <v>砖混</v>
          </cell>
          <cell r="F95">
            <v>1</v>
          </cell>
          <cell r="G95">
            <v>4</v>
          </cell>
          <cell r="H95">
            <v>467</v>
          </cell>
          <cell r="I95">
            <v>10858</v>
          </cell>
          <cell r="J95">
            <v>359550</v>
          </cell>
          <cell r="K95">
            <v>161356</v>
          </cell>
          <cell r="N95">
            <v>11.7</v>
          </cell>
          <cell r="O95">
            <v>40</v>
          </cell>
          <cell r="R95">
            <v>1530</v>
          </cell>
          <cell r="S95">
            <v>1630.6740000000002</v>
          </cell>
          <cell r="T95">
            <v>761524.75800000015</v>
          </cell>
          <cell r="U95">
            <v>71</v>
          </cell>
          <cell r="V95">
            <v>540683</v>
          </cell>
        </row>
        <row r="96">
          <cell r="C96" t="str">
            <v>设备部食堂</v>
          </cell>
          <cell r="D96">
            <v>32096</v>
          </cell>
          <cell r="E96" t="str">
            <v>钢砼</v>
          </cell>
          <cell r="F96">
            <v>1</v>
          </cell>
          <cell r="G96">
            <v>4</v>
          </cell>
          <cell r="H96">
            <v>2693</v>
          </cell>
          <cell r="I96">
            <v>10858</v>
          </cell>
          <cell r="J96">
            <v>3526400</v>
          </cell>
          <cell r="K96">
            <v>1582549.9</v>
          </cell>
          <cell r="N96">
            <v>11.7</v>
          </cell>
          <cell r="O96">
            <v>55</v>
          </cell>
          <cell r="R96">
            <v>1019</v>
          </cell>
          <cell r="S96">
            <v>1117.6392000000001</v>
          </cell>
          <cell r="T96">
            <v>3009802.3656000001</v>
          </cell>
          <cell r="U96">
            <v>79</v>
          </cell>
          <cell r="V96">
            <v>2377744</v>
          </cell>
        </row>
        <row r="97">
          <cell r="C97" t="str">
            <v>设备部托儿所(新楼)</v>
          </cell>
          <cell r="D97">
            <v>32096</v>
          </cell>
          <cell r="E97" t="str">
            <v>砖混</v>
          </cell>
          <cell r="F97">
            <v>2</v>
          </cell>
          <cell r="G97">
            <v>3.3</v>
          </cell>
          <cell r="H97">
            <v>711</v>
          </cell>
          <cell r="I97">
            <v>10858</v>
          </cell>
          <cell r="J97">
            <v>452327</v>
          </cell>
          <cell r="K97">
            <v>202991.69</v>
          </cell>
          <cell r="N97">
            <v>11.7</v>
          </cell>
          <cell r="O97">
            <v>40</v>
          </cell>
          <cell r="R97">
            <v>875</v>
          </cell>
          <cell r="S97">
            <v>959.7</v>
          </cell>
          <cell r="T97">
            <v>682346.70000000007</v>
          </cell>
          <cell r="U97">
            <v>71</v>
          </cell>
          <cell r="V97">
            <v>484466</v>
          </cell>
        </row>
        <row r="98">
          <cell r="C98" t="str">
            <v>设备部办公楼(老楼)</v>
          </cell>
          <cell r="D98">
            <v>32096</v>
          </cell>
          <cell r="E98" t="str">
            <v>砖混</v>
          </cell>
          <cell r="F98">
            <v>4</v>
          </cell>
          <cell r="G98">
            <v>3.3</v>
          </cell>
          <cell r="H98">
            <v>3338</v>
          </cell>
          <cell r="I98">
            <v>10858</v>
          </cell>
          <cell r="J98">
            <v>1978200</v>
          </cell>
          <cell r="K98">
            <v>887760.95</v>
          </cell>
          <cell r="N98">
            <v>11.7</v>
          </cell>
          <cell r="O98">
            <v>40</v>
          </cell>
          <cell r="R98">
            <v>875</v>
          </cell>
          <cell r="S98">
            <v>959.7</v>
          </cell>
          <cell r="T98">
            <v>3203478.6</v>
          </cell>
          <cell r="U98">
            <v>71</v>
          </cell>
          <cell r="V98">
            <v>2274470</v>
          </cell>
        </row>
        <row r="99">
          <cell r="C99" t="str">
            <v>设备部更衣室</v>
          </cell>
          <cell r="D99">
            <v>32096</v>
          </cell>
          <cell r="E99" t="str">
            <v>砖混</v>
          </cell>
          <cell r="F99">
            <v>3</v>
          </cell>
          <cell r="G99">
            <v>3.3</v>
          </cell>
          <cell r="H99">
            <v>1436</v>
          </cell>
          <cell r="I99">
            <v>10858</v>
          </cell>
          <cell r="J99">
            <v>463015.35</v>
          </cell>
          <cell r="K99">
            <v>463015.35</v>
          </cell>
          <cell r="N99">
            <v>11.7</v>
          </cell>
          <cell r="O99">
            <v>40</v>
          </cell>
          <cell r="R99">
            <v>690</v>
          </cell>
          <cell r="S99">
            <v>756.79200000000003</v>
          </cell>
          <cell r="T99">
            <v>1086753.3120000002</v>
          </cell>
          <cell r="U99">
            <v>71</v>
          </cell>
          <cell r="V99">
            <v>771595</v>
          </cell>
        </row>
        <row r="100">
          <cell r="C100" t="str">
            <v>维修站大楼</v>
          </cell>
          <cell r="D100">
            <v>33862</v>
          </cell>
          <cell r="E100" t="str">
            <v>钢砼</v>
          </cell>
          <cell r="F100">
            <v>5</v>
          </cell>
          <cell r="G100">
            <v>3.3</v>
          </cell>
          <cell r="H100">
            <v>1575</v>
          </cell>
          <cell r="J100">
            <v>2255765</v>
          </cell>
          <cell r="K100">
            <v>2255765</v>
          </cell>
          <cell r="N100">
            <v>6.9</v>
          </cell>
          <cell r="O100">
            <v>55</v>
          </cell>
          <cell r="R100">
            <v>1072</v>
          </cell>
          <cell r="S100">
            <v>1175.7696000000001</v>
          </cell>
          <cell r="T100">
            <v>1851837.12</v>
          </cell>
          <cell r="U100">
            <v>87</v>
          </cell>
          <cell r="V100">
            <v>1611098</v>
          </cell>
        </row>
        <row r="101">
          <cell r="C101" t="str">
            <v>14号库房</v>
          </cell>
          <cell r="D101">
            <v>29952</v>
          </cell>
          <cell r="E101" t="str">
            <v>钢砼</v>
          </cell>
          <cell r="F101">
            <v>1</v>
          </cell>
          <cell r="G101">
            <v>12.5</v>
          </cell>
          <cell r="H101">
            <v>1980</v>
          </cell>
          <cell r="J101">
            <v>0</v>
          </cell>
          <cell r="K101">
            <v>0</v>
          </cell>
          <cell r="N101">
            <v>17.600000000000001</v>
          </cell>
          <cell r="O101">
            <v>50</v>
          </cell>
          <cell r="R101">
            <v>960</v>
          </cell>
          <cell r="S101">
            <v>1052.9279999999999</v>
          </cell>
          <cell r="T101">
            <v>2084797.4399999997</v>
          </cell>
          <cell r="U101">
            <v>65</v>
          </cell>
          <cell r="V101">
            <v>1355118</v>
          </cell>
        </row>
        <row r="102">
          <cell r="C102" t="str">
            <v>15号库房</v>
          </cell>
          <cell r="D102">
            <v>29952</v>
          </cell>
          <cell r="E102" t="str">
            <v>钢砼</v>
          </cell>
          <cell r="F102">
            <v>1</v>
          </cell>
          <cell r="G102">
            <v>12.5</v>
          </cell>
          <cell r="H102">
            <v>1480</v>
          </cell>
          <cell r="J102">
            <v>0</v>
          </cell>
          <cell r="K102">
            <v>0</v>
          </cell>
          <cell r="N102">
            <v>17.600000000000001</v>
          </cell>
          <cell r="O102">
            <v>50</v>
          </cell>
          <cell r="R102">
            <v>960</v>
          </cell>
          <cell r="S102">
            <v>1052.9279999999999</v>
          </cell>
          <cell r="T102">
            <v>1558333.4399999999</v>
          </cell>
          <cell r="U102">
            <v>65</v>
          </cell>
          <cell r="V102">
            <v>1012917</v>
          </cell>
        </row>
        <row r="103">
          <cell r="C103" t="str">
            <v>16号库房</v>
          </cell>
          <cell r="D103">
            <v>29952</v>
          </cell>
          <cell r="E103" t="str">
            <v>钢砼</v>
          </cell>
          <cell r="F103">
            <v>1</v>
          </cell>
          <cell r="G103">
            <v>12.5</v>
          </cell>
          <cell r="H103">
            <v>1890</v>
          </cell>
          <cell r="J103">
            <v>0</v>
          </cell>
          <cell r="K103">
            <v>0</v>
          </cell>
          <cell r="N103">
            <v>17.600000000000001</v>
          </cell>
          <cell r="O103">
            <v>50</v>
          </cell>
          <cell r="R103">
            <v>960</v>
          </cell>
          <cell r="S103">
            <v>1052.9279999999999</v>
          </cell>
          <cell r="T103">
            <v>1990033.9199999997</v>
          </cell>
          <cell r="U103">
            <v>65</v>
          </cell>
          <cell r="V103">
            <v>1293522</v>
          </cell>
        </row>
        <row r="104">
          <cell r="C104" t="str">
            <v>武警生活区房</v>
          </cell>
          <cell r="D104">
            <v>29952</v>
          </cell>
          <cell r="E104" t="str">
            <v>砖混</v>
          </cell>
          <cell r="F104">
            <v>2</v>
          </cell>
          <cell r="G104">
            <v>3.3</v>
          </cell>
          <cell r="H104">
            <v>200</v>
          </cell>
          <cell r="J104">
            <v>0</v>
          </cell>
          <cell r="K104">
            <v>0</v>
          </cell>
          <cell r="N104">
            <v>17.600000000000001</v>
          </cell>
          <cell r="O104">
            <v>40</v>
          </cell>
          <cell r="R104">
            <v>690</v>
          </cell>
          <cell r="S104">
            <v>735.40200000000004</v>
          </cell>
          <cell r="T104">
            <v>147080.40000000002</v>
          </cell>
          <cell r="U104">
            <v>56</v>
          </cell>
          <cell r="V104">
            <v>82365</v>
          </cell>
        </row>
        <row r="105">
          <cell r="C105" t="str">
            <v>生产管制楼</v>
          </cell>
          <cell r="D105">
            <v>33970</v>
          </cell>
          <cell r="E105" t="str">
            <v>钢砼</v>
          </cell>
          <cell r="F105">
            <v>4</v>
          </cell>
          <cell r="G105">
            <v>3.3</v>
          </cell>
          <cell r="H105">
            <v>2400</v>
          </cell>
          <cell r="J105">
            <v>5972543.1200000001</v>
          </cell>
          <cell r="K105">
            <v>5265494.9800000004</v>
          </cell>
          <cell r="N105">
            <v>6.6</v>
          </cell>
          <cell r="O105">
            <v>50</v>
          </cell>
          <cell r="R105">
            <v>1222</v>
          </cell>
          <cell r="S105">
            <v>1340.2896000000001</v>
          </cell>
          <cell r="T105">
            <v>3216695.04</v>
          </cell>
          <cell r="U105">
            <v>87</v>
          </cell>
          <cell r="V105">
            <v>2798525</v>
          </cell>
        </row>
        <row r="106">
          <cell r="C106" t="str">
            <v>管理计算机机房大楼</v>
          </cell>
          <cell r="D106">
            <v>33970</v>
          </cell>
          <cell r="E106" t="str">
            <v>钢砼</v>
          </cell>
          <cell r="F106">
            <v>3</v>
          </cell>
          <cell r="G106">
            <v>3.3</v>
          </cell>
          <cell r="H106">
            <v>2687</v>
          </cell>
          <cell r="J106">
            <v>5287365</v>
          </cell>
          <cell r="K106">
            <v>3827453.01</v>
          </cell>
          <cell r="N106">
            <v>6.6</v>
          </cell>
          <cell r="O106">
            <v>50</v>
          </cell>
          <cell r="R106">
            <v>1222</v>
          </cell>
          <cell r="S106">
            <v>1340.2896000000001</v>
          </cell>
          <cell r="T106">
            <v>3601358.1552000004</v>
          </cell>
          <cell r="U106">
            <v>87</v>
          </cell>
          <cell r="V106">
            <v>3133182</v>
          </cell>
        </row>
        <row r="107">
          <cell r="C107" t="str">
            <v>电话楼主楼</v>
          </cell>
          <cell r="D107">
            <v>33862</v>
          </cell>
          <cell r="E107" t="str">
            <v>砖混</v>
          </cell>
          <cell r="F107">
            <v>2</v>
          </cell>
          <cell r="G107">
            <v>3.3</v>
          </cell>
          <cell r="H107">
            <v>1644</v>
          </cell>
          <cell r="J107">
            <v>2537763</v>
          </cell>
          <cell r="K107">
            <v>2537763</v>
          </cell>
          <cell r="N107">
            <v>6.9</v>
          </cell>
          <cell r="O107">
            <v>40</v>
          </cell>
          <cell r="R107">
            <v>972</v>
          </cell>
          <cell r="S107">
            <v>1066.0896</v>
          </cell>
          <cell r="T107">
            <v>1752651.3023999999</v>
          </cell>
          <cell r="U107">
            <v>83</v>
          </cell>
          <cell r="V107">
            <v>1454701</v>
          </cell>
        </row>
        <row r="108">
          <cell r="C108" t="str">
            <v>电话楼付楼</v>
          </cell>
          <cell r="D108">
            <v>33862</v>
          </cell>
          <cell r="E108" t="str">
            <v>砖混</v>
          </cell>
          <cell r="F108">
            <v>2</v>
          </cell>
          <cell r="G108">
            <v>3.3</v>
          </cell>
          <cell r="H108">
            <v>500</v>
          </cell>
          <cell r="J108">
            <v>598801</v>
          </cell>
          <cell r="K108">
            <v>598801</v>
          </cell>
          <cell r="N108">
            <v>6.9</v>
          </cell>
          <cell r="O108">
            <v>40</v>
          </cell>
          <cell r="R108">
            <v>972</v>
          </cell>
          <cell r="S108">
            <v>1066.0896</v>
          </cell>
          <cell r="T108">
            <v>533044.80000000005</v>
          </cell>
          <cell r="U108">
            <v>83</v>
          </cell>
          <cell r="V108">
            <v>442427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分类"/>
      <sheetName val="期初评估"/>
      <sheetName val="上市分类-调整"/>
      <sheetName val="新增上市-调整"/>
      <sheetName val="新增上市-去0后"/>
      <sheetName val="新增剥离-调整"/>
      <sheetName val="6月"/>
      <sheetName val="上市分类"/>
      <sheetName val="新增上市"/>
      <sheetName val="新增剥离"/>
      <sheetName val="#REF!"/>
      <sheetName val="设备部房屋"/>
      <sheetName val="Validation source"/>
      <sheetName val="Contacts"/>
    </sheetNames>
    <sheetDataSet>
      <sheetData sheetId="0" refreshError="1"/>
      <sheetData sheetId="1" refreshError="1"/>
      <sheetData sheetId="2" refreshError="1"/>
      <sheetData sheetId="3" refreshError="1"/>
      <sheetData sheetId="4" refreshError="1"/>
      <sheetData sheetId="5" refreshError="1"/>
      <sheetData sheetId="6" refreshError="1">
        <row r="5">
          <cell r="A5">
            <v>1610101</v>
          </cell>
          <cell r="B5" t="str">
            <v>主机</v>
          </cell>
          <cell r="C5">
            <v>5.5599999999999997E-2</v>
          </cell>
          <cell r="D5">
            <v>1054957552.73</v>
          </cell>
          <cell r="E5">
            <v>4887969.9943156661</v>
          </cell>
          <cell r="F5">
            <v>18</v>
          </cell>
          <cell r="G5" t="str">
            <v>机器设备</v>
          </cell>
        </row>
        <row r="6">
          <cell r="A6">
            <v>1610102</v>
          </cell>
          <cell r="B6" t="str">
            <v>辅机</v>
          </cell>
          <cell r="C6">
            <v>5.5599999999999997E-2</v>
          </cell>
          <cell r="D6">
            <v>139678156.22</v>
          </cell>
          <cell r="E6">
            <v>647175.45715266664</v>
          </cell>
          <cell r="F6">
            <v>18</v>
          </cell>
          <cell r="G6" t="str">
            <v>机器设备</v>
          </cell>
        </row>
        <row r="7">
          <cell r="A7">
            <v>1610103</v>
          </cell>
          <cell r="B7" t="str">
            <v>其他发电设备</v>
          </cell>
          <cell r="C7">
            <v>5.5599999999999997E-2</v>
          </cell>
          <cell r="D7">
            <v>23641636.91</v>
          </cell>
          <cell r="E7">
            <v>109539.58434966666</v>
          </cell>
          <cell r="F7">
            <v>18</v>
          </cell>
          <cell r="G7" t="str">
            <v>机器设备</v>
          </cell>
        </row>
        <row r="8">
          <cell r="A8">
            <v>1610201</v>
          </cell>
          <cell r="B8" t="str">
            <v>变压器</v>
          </cell>
          <cell r="C8">
            <v>5.5599999999999997E-2</v>
          </cell>
          <cell r="D8">
            <v>157678068.56</v>
          </cell>
          <cell r="E8">
            <v>730575.05099466664</v>
          </cell>
          <cell r="F8">
            <v>18</v>
          </cell>
          <cell r="G8" t="str">
            <v>机器设备</v>
          </cell>
        </row>
        <row r="9">
          <cell r="A9">
            <v>1610202</v>
          </cell>
          <cell r="B9" t="str">
            <v>一般控制设备</v>
          </cell>
          <cell r="C9">
            <v>5.5599999999999997E-2</v>
          </cell>
          <cell r="D9">
            <v>73870484.650000006</v>
          </cell>
          <cell r="E9">
            <v>342266.57887833333</v>
          </cell>
          <cell r="F9">
            <v>18</v>
          </cell>
          <cell r="G9" t="str">
            <v>机器设备</v>
          </cell>
        </row>
        <row r="10">
          <cell r="A10">
            <v>1610203</v>
          </cell>
          <cell r="B10" t="str">
            <v xml:space="preserve">电气控制设备 </v>
          </cell>
          <cell r="C10">
            <v>5.5599999999999997E-2</v>
          </cell>
          <cell r="D10">
            <v>111382182.02</v>
          </cell>
          <cell r="E10">
            <v>516070.77669266658</v>
          </cell>
          <cell r="F10">
            <v>18</v>
          </cell>
          <cell r="G10" t="str">
            <v>机器设备</v>
          </cell>
        </row>
        <row r="11">
          <cell r="A11">
            <v>1610204</v>
          </cell>
          <cell r="B11" t="str">
            <v>电缆</v>
          </cell>
          <cell r="C11">
            <v>5.5599999999999997E-2</v>
          </cell>
          <cell r="D11">
            <v>16110582.460000001</v>
          </cell>
          <cell r="E11">
            <v>74645.698731333337</v>
          </cell>
          <cell r="F11">
            <v>18</v>
          </cell>
          <cell r="G11" t="str">
            <v>机器设备</v>
          </cell>
        </row>
        <row r="12">
          <cell r="A12">
            <v>1610205</v>
          </cell>
          <cell r="B12" t="str">
            <v>管理用变压器</v>
          </cell>
          <cell r="C12">
            <v>5.5599999999999997E-2</v>
          </cell>
          <cell r="D12">
            <v>1830339.26</v>
          </cell>
          <cell r="E12">
            <v>8480.5719046666654</v>
          </cell>
          <cell r="F12">
            <v>18</v>
          </cell>
          <cell r="G12" t="str">
            <v>机器设备</v>
          </cell>
        </row>
        <row r="13">
          <cell r="A13">
            <v>1610301</v>
          </cell>
          <cell r="B13" t="str">
            <v>配电线路</v>
          </cell>
          <cell r="C13">
            <v>5.5599999999999997E-2</v>
          </cell>
          <cell r="D13">
            <v>5851758.54</v>
          </cell>
          <cell r="E13">
            <v>27113.147901999997</v>
          </cell>
          <cell r="F13">
            <v>18</v>
          </cell>
          <cell r="G13" t="str">
            <v>机器设备</v>
          </cell>
        </row>
        <row r="14">
          <cell r="A14">
            <v>1610302</v>
          </cell>
          <cell r="B14" t="str">
            <v>配电控制设备</v>
          </cell>
          <cell r="C14">
            <v>5.5599999999999997E-2</v>
          </cell>
          <cell r="D14">
            <v>15922371.439999999</v>
          </cell>
          <cell r="E14">
            <v>73773.65433866666</v>
          </cell>
          <cell r="F14">
            <v>18</v>
          </cell>
          <cell r="G14" t="str">
            <v>机器设备</v>
          </cell>
        </row>
        <row r="15">
          <cell r="A15">
            <v>1610303</v>
          </cell>
          <cell r="B15" t="str">
            <v>一般配电设备</v>
          </cell>
          <cell r="C15">
            <v>5.5599999999999997E-2</v>
          </cell>
          <cell r="D15">
            <v>18934315.640000001</v>
          </cell>
          <cell r="E15">
            <v>87728.99579866667</v>
          </cell>
          <cell r="F15">
            <v>18</v>
          </cell>
          <cell r="G15" t="str">
            <v>机器设备</v>
          </cell>
        </row>
        <row r="16">
          <cell r="A16">
            <v>1610304</v>
          </cell>
          <cell r="B16" t="str">
            <v>管理用配电设备</v>
          </cell>
          <cell r="C16">
            <v>5.5599999999999997E-2</v>
          </cell>
          <cell r="D16">
            <v>2170331.79</v>
          </cell>
          <cell r="E16">
            <v>10055.870626999998</v>
          </cell>
          <cell r="F16">
            <v>18</v>
          </cell>
          <cell r="G16" t="str">
            <v>机器设备</v>
          </cell>
        </row>
        <row r="17">
          <cell r="A17">
            <v>1610401</v>
          </cell>
          <cell r="B17" t="str">
            <v>通讯线路</v>
          </cell>
          <cell r="C17">
            <v>0.1</v>
          </cell>
          <cell r="D17">
            <v>7567063.9400000004</v>
          </cell>
          <cell r="E17">
            <v>63058.866166666674</v>
          </cell>
          <cell r="F17">
            <v>10</v>
          </cell>
          <cell r="G17" t="str">
            <v>机器设备</v>
          </cell>
        </row>
        <row r="18">
          <cell r="A18">
            <v>1610402</v>
          </cell>
          <cell r="B18" t="str">
            <v>通讯设备</v>
          </cell>
          <cell r="C18">
            <v>0.125</v>
          </cell>
          <cell r="D18">
            <v>33541184.670000002</v>
          </cell>
          <cell r="E18">
            <v>349387.34031250002</v>
          </cell>
          <cell r="F18">
            <v>8</v>
          </cell>
          <cell r="G18" t="str">
            <v>机器设备</v>
          </cell>
        </row>
        <row r="19">
          <cell r="A19">
            <v>1610501</v>
          </cell>
          <cell r="B19" t="str">
            <v>自动化控制设备</v>
          </cell>
          <cell r="C19">
            <v>0.125</v>
          </cell>
          <cell r="D19">
            <v>84277116.530000001</v>
          </cell>
          <cell r="E19">
            <v>877886.63052083331</v>
          </cell>
          <cell r="F19">
            <v>8</v>
          </cell>
          <cell r="G19" t="str">
            <v>机器设备</v>
          </cell>
        </row>
        <row r="20">
          <cell r="A20">
            <v>1610502</v>
          </cell>
          <cell r="B20" t="str">
            <v>电子计算机</v>
          </cell>
          <cell r="C20">
            <v>0.2</v>
          </cell>
          <cell r="D20">
            <v>35104042.130000003</v>
          </cell>
          <cell r="E20">
            <v>585067.36883333337</v>
          </cell>
          <cell r="F20">
            <v>5</v>
          </cell>
          <cell r="G20" t="str">
            <v>电子</v>
          </cell>
        </row>
        <row r="21">
          <cell r="A21">
            <v>1610503</v>
          </cell>
          <cell r="B21" t="str">
            <v>仪器仪表设备及测试设备</v>
          </cell>
          <cell r="C21">
            <v>0.1429</v>
          </cell>
          <cell r="D21">
            <v>25196940.48</v>
          </cell>
          <cell r="E21">
            <v>300053.56621600001</v>
          </cell>
          <cell r="F21">
            <v>7</v>
          </cell>
          <cell r="G21" t="str">
            <v>机器设备</v>
          </cell>
        </row>
        <row r="22">
          <cell r="A22">
            <v>16106</v>
          </cell>
          <cell r="F22">
            <v>14</v>
          </cell>
          <cell r="G22" t="str">
            <v>机器设备</v>
          </cell>
        </row>
        <row r="23">
          <cell r="A23">
            <v>1610601</v>
          </cell>
          <cell r="B23" t="str">
            <v>水工机械设备</v>
          </cell>
          <cell r="C23">
            <v>7.1400000000000005E-2</v>
          </cell>
          <cell r="D23">
            <v>360586190.25999999</v>
          </cell>
          <cell r="E23">
            <v>2145487.8320470001</v>
          </cell>
          <cell r="F23">
            <v>14</v>
          </cell>
          <cell r="G23" t="str">
            <v>机器设备</v>
          </cell>
        </row>
        <row r="24">
          <cell r="A24">
            <v>1610602</v>
          </cell>
          <cell r="C24">
            <v>7.1400000000000005E-2</v>
          </cell>
          <cell r="F24">
            <v>14</v>
          </cell>
          <cell r="G24" t="str">
            <v>机器设备</v>
          </cell>
        </row>
        <row r="25">
          <cell r="A25">
            <v>1610603</v>
          </cell>
          <cell r="C25">
            <v>7.1400000000000005E-2</v>
          </cell>
          <cell r="F25">
            <v>14</v>
          </cell>
          <cell r="G25" t="str">
            <v>机器设备</v>
          </cell>
        </row>
        <row r="26">
          <cell r="A26">
            <v>1610604</v>
          </cell>
          <cell r="C26">
            <v>7.1400000000000005E-2</v>
          </cell>
          <cell r="F26">
            <v>14</v>
          </cell>
          <cell r="G26" t="str">
            <v>机器设备</v>
          </cell>
        </row>
        <row r="27">
          <cell r="A27">
            <v>1610605</v>
          </cell>
          <cell r="C27">
            <v>7.1400000000000005E-2</v>
          </cell>
          <cell r="F27">
            <v>14</v>
          </cell>
          <cell r="G27" t="str">
            <v>机器设备</v>
          </cell>
        </row>
        <row r="28">
          <cell r="A28">
            <v>1610606</v>
          </cell>
          <cell r="C28">
            <v>7.1400000000000005E-2</v>
          </cell>
          <cell r="F28">
            <v>14</v>
          </cell>
          <cell r="G28" t="str">
            <v>机器设备</v>
          </cell>
        </row>
        <row r="29">
          <cell r="A29">
            <v>1610607</v>
          </cell>
          <cell r="C29">
            <v>7.1400000000000005E-2</v>
          </cell>
          <cell r="F29">
            <v>14</v>
          </cell>
          <cell r="G29" t="str">
            <v>机器设备</v>
          </cell>
        </row>
        <row r="30">
          <cell r="A30">
            <v>1610608</v>
          </cell>
          <cell r="C30">
            <v>7.1400000000000005E-2</v>
          </cell>
          <cell r="F30">
            <v>14</v>
          </cell>
          <cell r="G30" t="str">
            <v>机器设备</v>
          </cell>
        </row>
        <row r="31">
          <cell r="A31">
            <v>1610609</v>
          </cell>
          <cell r="C31">
            <v>7.1400000000000005E-2</v>
          </cell>
          <cell r="F31">
            <v>14</v>
          </cell>
          <cell r="G31" t="str">
            <v>机器设备</v>
          </cell>
        </row>
        <row r="32">
          <cell r="A32">
            <v>1610610</v>
          </cell>
          <cell r="C32">
            <v>7.1400000000000005E-2</v>
          </cell>
          <cell r="F32">
            <v>14</v>
          </cell>
          <cell r="G32" t="str">
            <v>机器设备</v>
          </cell>
        </row>
        <row r="33">
          <cell r="A33">
            <v>16107</v>
          </cell>
          <cell r="F33">
            <v>14</v>
          </cell>
          <cell r="G33" t="str">
            <v>机器设备</v>
          </cell>
        </row>
        <row r="34">
          <cell r="A34">
            <v>1610701</v>
          </cell>
          <cell r="B34" t="str">
            <v>生产用检修维护设备</v>
          </cell>
          <cell r="C34">
            <v>7.1400000000000005E-2</v>
          </cell>
          <cell r="D34">
            <v>34992264.140000001</v>
          </cell>
          <cell r="E34">
            <v>208203.97163300004</v>
          </cell>
          <cell r="F34">
            <v>14</v>
          </cell>
          <cell r="G34" t="str">
            <v>机器设备</v>
          </cell>
        </row>
        <row r="35">
          <cell r="A35">
            <v>1610702</v>
          </cell>
          <cell r="C35">
            <v>7.1400000000000005E-2</v>
          </cell>
          <cell r="F35">
            <v>14</v>
          </cell>
          <cell r="G35" t="str">
            <v>机器设备</v>
          </cell>
        </row>
        <row r="36">
          <cell r="A36">
            <v>1610703</v>
          </cell>
          <cell r="C36">
            <v>7.1400000000000005E-2</v>
          </cell>
          <cell r="F36">
            <v>14</v>
          </cell>
          <cell r="G36" t="str">
            <v>机器设备</v>
          </cell>
        </row>
        <row r="37">
          <cell r="A37">
            <v>1610704</v>
          </cell>
          <cell r="C37">
            <v>7.1400000000000005E-2</v>
          </cell>
          <cell r="F37">
            <v>14</v>
          </cell>
          <cell r="G37" t="str">
            <v>机器设备</v>
          </cell>
        </row>
        <row r="38">
          <cell r="A38">
            <v>1610705</v>
          </cell>
          <cell r="C38">
            <v>7.1400000000000005E-2</v>
          </cell>
          <cell r="F38">
            <v>14</v>
          </cell>
          <cell r="G38" t="str">
            <v>机器设备</v>
          </cell>
        </row>
        <row r="39">
          <cell r="A39">
            <v>1610706</v>
          </cell>
          <cell r="C39">
            <v>7.1400000000000005E-2</v>
          </cell>
          <cell r="F39">
            <v>14</v>
          </cell>
          <cell r="G39" t="str">
            <v>机器设备</v>
          </cell>
        </row>
        <row r="40">
          <cell r="A40">
            <v>1610707</v>
          </cell>
          <cell r="C40">
            <v>7.1400000000000005E-2</v>
          </cell>
          <cell r="F40">
            <v>14</v>
          </cell>
          <cell r="G40" t="str">
            <v>机器设备</v>
          </cell>
        </row>
        <row r="41">
          <cell r="A41">
            <v>1610708</v>
          </cell>
          <cell r="C41">
            <v>7.1400000000000005E-2</v>
          </cell>
          <cell r="F41">
            <v>14</v>
          </cell>
          <cell r="G41" t="str">
            <v>机器设备</v>
          </cell>
        </row>
        <row r="42">
          <cell r="A42">
            <v>1610709</v>
          </cell>
          <cell r="C42">
            <v>7.1400000000000005E-2</v>
          </cell>
          <cell r="F42">
            <v>14</v>
          </cell>
          <cell r="G42" t="str">
            <v>机器设备</v>
          </cell>
        </row>
        <row r="43">
          <cell r="A43">
            <v>1610710</v>
          </cell>
          <cell r="C43">
            <v>7.1400000000000005E-2</v>
          </cell>
          <cell r="F43">
            <v>14</v>
          </cell>
          <cell r="G43" t="str">
            <v>机器设备</v>
          </cell>
        </row>
        <row r="44">
          <cell r="A44">
            <v>1610801</v>
          </cell>
          <cell r="B44" t="str">
            <v>生产管理部门机械设备</v>
          </cell>
          <cell r="C44">
            <v>7.1400000000000005E-2</v>
          </cell>
          <cell r="D44">
            <v>44385491.240000002</v>
          </cell>
          <cell r="E44">
            <v>264093.67287800001</v>
          </cell>
          <cell r="F44">
            <v>14</v>
          </cell>
          <cell r="G44" t="str">
            <v>机器设备</v>
          </cell>
        </row>
        <row r="45">
          <cell r="A45">
            <v>1610802</v>
          </cell>
          <cell r="B45" t="str">
            <v>生产管理部门电子设备</v>
          </cell>
          <cell r="C45">
            <v>0.2</v>
          </cell>
          <cell r="D45">
            <v>24526171.57</v>
          </cell>
          <cell r="E45">
            <v>408769.52616666671</v>
          </cell>
          <cell r="F45">
            <v>5</v>
          </cell>
          <cell r="G45" t="str">
            <v>电子</v>
          </cell>
        </row>
        <row r="46">
          <cell r="A46">
            <v>1610803</v>
          </cell>
          <cell r="B46" t="str">
            <v>电视复印打印机</v>
          </cell>
          <cell r="C46">
            <v>0.2</v>
          </cell>
          <cell r="D46">
            <v>3730018.05</v>
          </cell>
          <cell r="E46">
            <v>62166.967499999999</v>
          </cell>
          <cell r="F46">
            <v>5</v>
          </cell>
          <cell r="G46" t="str">
            <v>电子</v>
          </cell>
        </row>
        <row r="47">
          <cell r="A47">
            <v>1610901</v>
          </cell>
          <cell r="B47" t="str">
            <v>水上运输设备</v>
          </cell>
          <cell r="C47">
            <v>0.1</v>
          </cell>
          <cell r="D47">
            <v>7497539.9500000002</v>
          </cell>
          <cell r="E47">
            <v>62479.499583333345</v>
          </cell>
          <cell r="F47">
            <v>10</v>
          </cell>
          <cell r="G47" t="str">
            <v>运输</v>
          </cell>
        </row>
        <row r="48">
          <cell r="A48">
            <v>1610902</v>
          </cell>
          <cell r="B48" t="str">
            <v>汽车运输设备</v>
          </cell>
          <cell r="C48">
            <v>0.1</v>
          </cell>
          <cell r="D48">
            <v>70540875.469999999</v>
          </cell>
          <cell r="E48">
            <v>587840.62891666673</v>
          </cell>
          <cell r="F48">
            <v>10</v>
          </cell>
          <cell r="G48" t="str">
            <v>运输</v>
          </cell>
        </row>
        <row r="49">
          <cell r="A49">
            <v>1610903</v>
          </cell>
          <cell r="B49" t="str">
            <v>其他运输设备</v>
          </cell>
          <cell r="C49">
            <v>0.1</v>
          </cell>
          <cell r="D49">
            <v>2215050.59</v>
          </cell>
          <cell r="E49">
            <v>18458.754916666669</v>
          </cell>
          <cell r="F49">
            <v>10</v>
          </cell>
          <cell r="G49" t="str">
            <v>运输</v>
          </cell>
        </row>
        <row r="50">
          <cell r="A50" t="str">
            <v>1610A01</v>
          </cell>
          <cell r="B50" t="str">
            <v>坝外水电厂用房</v>
          </cell>
          <cell r="C50">
            <v>2.86E-2</v>
          </cell>
          <cell r="D50">
            <v>57278985.960000001</v>
          </cell>
          <cell r="E50">
            <v>136514.91653800002</v>
          </cell>
          <cell r="F50">
            <v>35</v>
          </cell>
          <cell r="G50" t="str">
            <v>房屋</v>
          </cell>
        </row>
        <row r="51">
          <cell r="A51" t="str">
            <v>1610A02</v>
          </cell>
          <cell r="B51" t="str">
            <v>生产管理用房</v>
          </cell>
          <cell r="C51">
            <v>2.86E-2</v>
          </cell>
          <cell r="D51">
            <v>139640460.61000001</v>
          </cell>
          <cell r="E51">
            <v>332809.7644538334</v>
          </cell>
          <cell r="F51">
            <v>35</v>
          </cell>
          <cell r="G51" t="str">
            <v>房屋</v>
          </cell>
        </row>
        <row r="52">
          <cell r="A52" t="str">
            <v>1610A03</v>
          </cell>
          <cell r="B52" t="str">
            <v>生产用简易房</v>
          </cell>
          <cell r="C52">
            <v>0.1</v>
          </cell>
          <cell r="D52">
            <v>363526</v>
          </cell>
          <cell r="E52">
            <v>3029.3833333333332</v>
          </cell>
          <cell r="F52">
            <v>10</v>
          </cell>
          <cell r="G52" t="str">
            <v>房屋</v>
          </cell>
        </row>
        <row r="53">
          <cell r="A53" t="str">
            <v>1610B01</v>
          </cell>
          <cell r="B53" t="str">
            <v>水电站大坝</v>
          </cell>
          <cell r="C53">
            <v>1.8200000000000001E-2</v>
          </cell>
          <cell r="D53">
            <v>4440091909.71</v>
          </cell>
          <cell r="E53">
            <v>6734139.3963935003</v>
          </cell>
          <cell r="F53">
            <v>55</v>
          </cell>
          <cell r="G53" t="str">
            <v>大坝</v>
          </cell>
        </row>
        <row r="54">
          <cell r="A54" t="str">
            <v>1610B02</v>
          </cell>
          <cell r="B54" t="str">
            <v>生产用道路码头围墙</v>
          </cell>
          <cell r="C54">
            <v>6.6699999999999995E-2</v>
          </cell>
          <cell r="D54">
            <v>39859462.299999997</v>
          </cell>
          <cell r="E54">
            <v>221552.17795083331</v>
          </cell>
          <cell r="F54">
            <v>15</v>
          </cell>
          <cell r="G54" t="str">
            <v>房屋</v>
          </cell>
        </row>
        <row r="55">
          <cell r="A55" t="str">
            <v>1610B03</v>
          </cell>
          <cell r="B55" t="str">
            <v>其他生产用建筑物</v>
          </cell>
          <cell r="C55">
            <v>6.6699999999999995E-2</v>
          </cell>
          <cell r="D55">
            <v>26177102.859999999</v>
          </cell>
          <cell r="E55">
            <v>145501.06339683331</v>
          </cell>
          <cell r="F55">
            <v>15</v>
          </cell>
          <cell r="G55" t="str">
            <v>房屋</v>
          </cell>
        </row>
        <row r="56">
          <cell r="A56" t="str">
            <v>1610C01</v>
          </cell>
          <cell r="B56" t="str">
            <v>医院用设备</v>
          </cell>
          <cell r="C56">
            <v>0.125</v>
          </cell>
          <cell r="D56">
            <v>6633176.5599999996</v>
          </cell>
          <cell r="E56">
            <v>69095.589166666658</v>
          </cell>
          <cell r="F56">
            <v>8</v>
          </cell>
          <cell r="G56" t="str">
            <v>机器设备</v>
          </cell>
        </row>
        <row r="57">
          <cell r="A57" t="str">
            <v>1610C02</v>
          </cell>
          <cell r="B57" t="str">
            <v>宣教部门用机械设备</v>
          </cell>
          <cell r="C57">
            <v>7.1400000000000005E-2</v>
          </cell>
          <cell r="D57">
            <v>1063775.05</v>
          </cell>
          <cell r="E57">
            <v>6329.4615475000001</v>
          </cell>
          <cell r="F57">
            <v>14</v>
          </cell>
          <cell r="G57" t="str">
            <v>机器设备</v>
          </cell>
        </row>
        <row r="58">
          <cell r="A58" t="str">
            <v>1610C03</v>
          </cell>
          <cell r="B58" t="str">
            <v>宣教部门用电子设备</v>
          </cell>
          <cell r="C58">
            <v>0.2</v>
          </cell>
          <cell r="D58">
            <v>6157885.8799999999</v>
          </cell>
          <cell r="E58">
            <v>102631.43133333333</v>
          </cell>
          <cell r="F58">
            <v>5</v>
          </cell>
          <cell r="G58" t="str">
            <v>电子</v>
          </cell>
        </row>
        <row r="59">
          <cell r="A59" t="str">
            <v>1610C04</v>
          </cell>
          <cell r="B59" t="str">
            <v>生活福利部门用机械</v>
          </cell>
          <cell r="C59">
            <v>7.1400000000000005E-2</v>
          </cell>
          <cell r="D59">
            <v>6574080.8099999996</v>
          </cell>
          <cell r="E59">
            <v>39115.780819500003</v>
          </cell>
          <cell r="F59">
            <v>14</v>
          </cell>
          <cell r="G59" t="str">
            <v>机器设备</v>
          </cell>
        </row>
        <row r="60">
          <cell r="A60" t="str">
            <v>1610C05</v>
          </cell>
          <cell r="B60" t="str">
            <v>生活福利部门用电视</v>
          </cell>
          <cell r="C60">
            <v>0.2</v>
          </cell>
          <cell r="D60">
            <v>243486.1</v>
          </cell>
          <cell r="E60">
            <v>4058.1016666666669</v>
          </cell>
          <cell r="F60">
            <v>5</v>
          </cell>
          <cell r="G60" t="str">
            <v>电子</v>
          </cell>
        </row>
        <row r="61">
          <cell r="A61" t="str">
            <v>1610C06</v>
          </cell>
          <cell r="B61" t="str">
            <v>职工宿舍</v>
          </cell>
          <cell r="C61">
            <v>2.86E-2</v>
          </cell>
          <cell r="D61">
            <v>15868782.35</v>
          </cell>
          <cell r="E61">
            <v>37820.597934166668</v>
          </cell>
          <cell r="F61">
            <v>35</v>
          </cell>
          <cell r="G61" t="str">
            <v>房屋</v>
          </cell>
        </row>
        <row r="62">
          <cell r="A62" t="str">
            <v>1610C07</v>
          </cell>
          <cell r="B62" t="str">
            <v>其他非生产用房</v>
          </cell>
          <cell r="C62">
            <v>2.86E-2</v>
          </cell>
          <cell r="D62">
            <v>32178054.23</v>
          </cell>
          <cell r="E62">
            <v>76691.029248166669</v>
          </cell>
          <cell r="F62">
            <v>35</v>
          </cell>
          <cell r="G62" t="str">
            <v>房屋</v>
          </cell>
        </row>
        <row r="63">
          <cell r="A63" t="str">
            <v>1610C08</v>
          </cell>
          <cell r="B63" t="str">
            <v>非生产用简易房</v>
          </cell>
          <cell r="C63">
            <v>6.6699999999999995E-2</v>
          </cell>
          <cell r="D63">
            <v>1076310.97</v>
          </cell>
          <cell r="E63">
            <v>5982.495141583332</v>
          </cell>
          <cell r="F63">
            <v>15</v>
          </cell>
          <cell r="G63" t="str">
            <v>房屋</v>
          </cell>
        </row>
        <row r="64">
          <cell r="A64" t="str">
            <v>1610C09</v>
          </cell>
          <cell r="B64" t="str">
            <v>非生产用建筑物</v>
          </cell>
          <cell r="C64">
            <v>6.6699999999999995E-2</v>
          </cell>
          <cell r="D64">
            <v>15639435.789999999</v>
          </cell>
          <cell r="E64">
            <v>86929.197266083327</v>
          </cell>
          <cell r="F64">
            <v>15</v>
          </cell>
          <cell r="G64" t="str">
            <v>房屋</v>
          </cell>
        </row>
        <row r="65">
          <cell r="A65" t="str">
            <v>1610D03</v>
          </cell>
          <cell r="B65" t="str">
            <v>出租汽车运输设备</v>
          </cell>
          <cell r="C65">
            <v>0.1</v>
          </cell>
          <cell r="D65">
            <v>164637</v>
          </cell>
          <cell r="E65">
            <v>1371.9750000000001</v>
          </cell>
          <cell r="F65">
            <v>10</v>
          </cell>
          <cell r="G65" t="str">
            <v>运输</v>
          </cell>
        </row>
        <row r="66">
          <cell r="A66" t="str">
            <v>1610D04</v>
          </cell>
          <cell r="B66" t="str">
            <v>出租其他发电设备</v>
          </cell>
          <cell r="C66">
            <v>7.1400000000000005E-2</v>
          </cell>
          <cell r="D66">
            <v>0</v>
          </cell>
          <cell r="E66">
            <v>0</v>
          </cell>
          <cell r="F66">
            <v>14</v>
          </cell>
        </row>
        <row r="67">
          <cell r="A67" t="str">
            <v>1610D07</v>
          </cell>
          <cell r="B67" t="str">
            <v>出租普通金属切削机床</v>
          </cell>
          <cell r="C67">
            <v>7.1400000000000005E-2</v>
          </cell>
          <cell r="D67">
            <v>0</v>
          </cell>
          <cell r="E67">
            <v>0</v>
          </cell>
          <cell r="F67">
            <v>14</v>
          </cell>
        </row>
        <row r="68">
          <cell r="A68" t="str">
            <v>1610D09</v>
          </cell>
          <cell r="B68" t="str">
            <v>出租焊接设备</v>
          </cell>
          <cell r="C68">
            <v>7.1400000000000005E-2</v>
          </cell>
          <cell r="D68">
            <v>0</v>
          </cell>
          <cell r="E68">
            <v>0</v>
          </cell>
          <cell r="F68">
            <v>14</v>
          </cell>
        </row>
        <row r="69">
          <cell r="A69" t="str">
            <v>1610D0A</v>
          </cell>
          <cell r="B69" t="str">
            <v>出租其他检修维护设备</v>
          </cell>
          <cell r="C69">
            <v>7.1400000000000005E-2</v>
          </cell>
          <cell r="D69">
            <v>0</v>
          </cell>
          <cell r="E69">
            <v>0</v>
          </cell>
          <cell r="F69">
            <v>14</v>
          </cell>
        </row>
        <row r="70">
          <cell r="A70" t="str">
            <v>1610D0B</v>
          </cell>
          <cell r="B70" t="str">
            <v>出租机械设备</v>
          </cell>
          <cell r="C70">
            <v>7.1400000000000005E-2</v>
          </cell>
          <cell r="D70">
            <v>0</v>
          </cell>
          <cell r="E70">
            <v>0</v>
          </cell>
          <cell r="F70">
            <v>14</v>
          </cell>
        </row>
        <row r="71">
          <cell r="A71" t="str">
            <v>1610D0C</v>
          </cell>
          <cell r="B71" t="str">
            <v>出租其他运输设备</v>
          </cell>
          <cell r="C71">
            <v>0.1</v>
          </cell>
          <cell r="D71">
            <v>234518</v>
          </cell>
          <cell r="E71">
            <v>1954.3166666666668</v>
          </cell>
          <cell r="F71">
            <v>10</v>
          </cell>
          <cell r="G71" t="str">
            <v>运输</v>
          </cell>
        </row>
        <row r="72">
          <cell r="A72" t="str">
            <v>1610D0E</v>
          </cell>
          <cell r="B72" t="str">
            <v>出租生活福利部门用机械</v>
          </cell>
          <cell r="C72">
            <v>7.1400000000000005E-2</v>
          </cell>
          <cell r="D72">
            <v>0</v>
          </cell>
          <cell r="E72">
            <v>0</v>
          </cell>
          <cell r="F72">
            <v>14</v>
          </cell>
        </row>
        <row r="73">
          <cell r="A73" t="str">
            <v>1610D0H</v>
          </cell>
          <cell r="B73" t="str">
            <v>出租管理用房</v>
          </cell>
          <cell r="C73">
            <v>2.86E-2</v>
          </cell>
          <cell r="D73">
            <v>0</v>
          </cell>
          <cell r="E73">
            <v>0</v>
          </cell>
          <cell r="F73">
            <v>35</v>
          </cell>
        </row>
        <row r="74">
          <cell r="A74" t="str">
            <v>合计</v>
          </cell>
          <cell r="D74">
            <v>7145433319.420002</v>
          </cell>
          <cell r="E74">
            <v>21453876.68523334</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历年资产负债表 "/>
      <sheetName val="历年损益表 "/>
      <sheetName val="历年现金流量表"/>
      <sheetName val="主要财务数据"/>
      <sheetName val="历年财务指标 "/>
      <sheetName val="申报表封面"/>
      <sheetName val="主营业务收入"/>
      <sheetName val="其他业务利润"/>
      <sheetName val="12补贴收入"/>
      <sheetName val="14折旧及摊销"/>
      <sheetName val="五年预测期折旧摊销资本性支出计算详表"/>
      <sheetName val="17历史营运资金"/>
      <sheetName val="15资本性支出"/>
      <sheetName val="18营运资金预测"/>
      <sheetName val="基准日净债务"/>
    </sheetNames>
    <sheetDataSet>
      <sheetData sheetId="0"/>
      <sheetData sheetId="1">
        <row r="6">
          <cell r="C6">
            <v>64340141.229999997</v>
          </cell>
          <cell r="D6">
            <v>113908631.48</v>
          </cell>
          <cell r="E6">
            <v>115727485.09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比较法-住宅 (2)"/>
      <sheetName val="Sheet2"/>
      <sheetName val="Sheet3"/>
      <sheetName val="土地使用证 2200亩"/>
      <sheetName val="存贷款利率"/>
      <sheetName val="Sheet7"/>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K13">
            <v>1</v>
          </cell>
        </row>
        <row r="19">
          <cell r="K19">
            <v>2</v>
          </cell>
        </row>
        <row r="23">
          <cell r="K23">
            <v>2.5</v>
          </cell>
        </row>
        <row r="25">
          <cell r="K25">
            <v>1.5</v>
          </cell>
        </row>
        <row r="27">
          <cell r="K27">
            <v>1.5</v>
          </cell>
        </row>
        <row r="29">
          <cell r="K29">
            <v>2</v>
          </cell>
        </row>
        <row r="31">
          <cell r="K31">
            <v>1</v>
          </cell>
        </row>
        <row r="33">
          <cell r="K33">
            <v>1</v>
          </cell>
        </row>
        <row r="34">
          <cell r="K34">
            <v>1</v>
          </cell>
        </row>
        <row r="41">
          <cell r="K41">
            <v>1</v>
          </cell>
        </row>
        <row r="42">
          <cell r="K42">
            <v>0</v>
          </cell>
        </row>
        <row r="43">
          <cell r="K43">
            <v>1</v>
          </cell>
        </row>
        <row r="44">
          <cell r="K44">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集团公司合并过程表（曹）"/>
      <sheetName val="#REF"/>
      <sheetName val="03存货盘点表"/>
      <sheetName val="_REF"/>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企业表一"/>
      <sheetName val="M-5A"/>
      <sheetName val="POWER ASSUMPTIONS"/>
      <sheetName val="2002Äê3ÔÂ·Ý"/>
      <sheetName val="2004Äê4ÔÂ·Ý"/>
      <sheetName val="²Ö´¢"/>
      <sheetName val="ÆóÒµ±íÒ»"/>
      <sheetName val="2002_¨º3__¡¤Y"/>
      <sheetName val="2004_¨º4__¡¤Y"/>
      <sheetName val="2_¡ä¡é"/>
      <sheetName val="_¨®¨°¦Ì¡À¨ª¨°_"/>
      <sheetName val="B"/>
      <sheetName val="#REF!"/>
      <sheetName val="GP_AT"/>
      <sheetName val="Breakdown-Intrim"/>
      <sheetName val="关联方及集团内清单"/>
      <sheetName val="调整分录汇总"/>
      <sheetName val="预付清单"/>
      <sheetName val="在建工程设备"/>
      <sheetName val="核算项目余额表"/>
      <sheetName val="财务费用"/>
      <sheetName val="资产负债表及损益表"/>
      <sheetName val="制造费用"/>
      <sheetName val="重要内部交易"/>
      <sheetName val="管理费用"/>
      <sheetName val="目录"/>
      <sheetName val="营业费用"/>
      <sheetName val="包增减变动"/>
      <sheetName val="新产品贡献率"/>
      <sheetName val="Financ__Overview"/>
      <sheetName val="Financ__Overview1"/>
      <sheetName val="POWER_ASSUMPTIONS"/>
      <sheetName val="list"/>
      <sheetName val="64151支付情况"/>
      <sheetName val=""/>
      <sheetName val="3-10存货汇总"/>
      <sheetName val="3-1-1现金"/>
      <sheetName val="KKKKKKKK"/>
      <sheetName val="设定"/>
      <sheetName val="明细分类账"/>
      <sheetName val="22号"/>
      <sheetName val="________"/>
      <sheetName val="Main"/>
      <sheetName val="2002_ê3__·Y"/>
      <sheetName val="2004_ê4__·Y"/>
      <sheetName val="2_′￠"/>
      <sheetName val="_óòμ±íò_"/>
      <sheetName val="会计科目"/>
      <sheetName val="资产负债表"/>
      <sheetName val="共機J"/>
      <sheetName val="M-5C"/>
      <sheetName val="盈余公积 （合并)"/>
      <sheetName val="说明"/>
      <sheetName val="收入"/>
      <sheetName val="_x005f_x0000__x005f_x0000__x005f_x0000__x005f_x0000__x0"/>
      <sheetName val="_x005f_x005f_x005f_x0000__x005f_x005f_x005f_x0000__x005"/>
      <sheetName val="YS02-02"/>
      <sheetName val="固定资产预测"/>
      <sheetName val="SW-TEO"/>
      <sheetName val="江苏苏州本部（中央）"/>
      <sheetName val="索引"/>
      <sheetName val="102收到的税费返还"/>
      <sheetName val="154经营活动支付其他"/>
      <sheetName val="_x005f_x005f_x005f_x005f_x005f_x005f_x005f_x0000__x005f"/>
      <sheetName val="#REF"/>
      <sheetName val="input data"/>
      <sheetName val="*REF!"/>
      <sheetName val="2002?¨º3??¡¤Y"/>
      <sheetName val="2004?¨º4??¡¤Y"/>
      <sheetName val="2?¡ä¡é"/>
      <sheetName val="?¨®¨°¦Ì¡À¨ª¨°?"/>
      <sheetName val="????????"/>
      <sheetName val="2002?ê3??·Y"/>
      <sheetName val="2004?ê4??·Y"/>
      <sheetName val="2?′￠"/>
      <sheetName val="?óòμ±í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Financ. Overview"/>
      <sheetName val="Toolbox"/>
      <sheetName val="KKKKKKKK"/>
      <sheetName val="YS02-02"/>
      <sheetName val="项目目录"/>
      <sheetName val="房地产统计表"/>
      <sheetName val="房屋建筑物"/>
      <sheetName val="房屋建筑物2"/>
      <sheetName val="土地使用权"/>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对表"/>
      <sheetName val="1"/>
      <sheetName val="2"/>
      <sheetName val="Z15-1"/>
      <sheetName val="Z15-2"/>
      <sheetName val="Z15-3-1"/>
      <sheetName val="Z15-3-2"/>
      <sheetName val="Z15-4"/>
      <sheetName val="Z4-1"/>
      <sheetName val="Z4-2"/>
      <sheetName val="Z4-3-1"/>
      <sheetName val="Z4-3-2"/>
      <sheetName val="Z4-4"/>
      <sheetName val="Z11-1"/>
      <sheetName val="Z11-2"/>
      <sheetName val="Z11-3"/>
      <sheetName val="Z11-4"/>
      <sheetName val="Z11-5"/>
      <sheetName val="Z11-6"/>
      <sheetName val="Z11-7"/>
      <sheetName val="Z11-8"/>
      <sheetName val="Z12"/>
      <sheetName val="Z13"/>
      <sheetName val="Z20-1"/>
      <sheetName val="Z20-2"/>
      <sheetName val="Z20-3"/>
      <sheetName val="Z20-4"/>
      <sheetName val="Z20-5"/>
      <sheetName val="A1-1"/>
      <sheetName val="A1-1-1"/>
      <sheetName val="A2-1"/>
      <sheetName val="A2-1-1"/>
      <sheetName val="A3-1"/>
      <sheetName val="A3-1-1"/>
      <sheetName val="A4-1"/>
      <sheetName val="A4-1-1"/>
      <sheetName val="A5-1"/>
      <sheetName val="A5-1-1"/>
      <sheetName val="A6-1"/>
      <sheetName val="A6-1-1"/>
      <sheetName val="A7-1"/>
      <sheetName val="A7-1-1"/>
      <sheetName val="A8-1"/>
      <sheetName val="A8-1-1"/>
      <sheetName val="A9-1"/>
      <sheetName val="A9-1-1"/>
      <sheetName val="A10-1"/>
      <sheetName val="A10-1-1"/>
      <sheetName val="A11-1"/>
      <sheetName val="A11-1-1"/>
      <sheetName val="A14-1"/>
      <sheetName val="A14-1-1"/>
      <sheetName val="A21-1"/>
      <sheetName val="A21-1-1"/>
      <sheetName val="A22-1"/>
      <sheetName val="A22-1-1"/>
      <sheetName val="A31-1"/>
      <sheetName val="A31-1-1"/>
      <sheetName val="A32-1"/>
      <sheetName val="A32-1-1"/>
      <sheetName val="A33-1"/>
      <sheetName val="A33-1-1"/>
      <sheetName val="A34-1"/>
      <sheetName val="A34-1-1"/>
      <sheetName val="A35-1"/>
      <sheetName val="A35-1-1"/>
      <sheetName val="A36-1"/>
      <sheetName val="A36-1-1"/>
      <sheetName val="A41-1"/>
      <sheetName val="A41-1-1"/>
      <sheetName val="A42-1"/>
      <sheetName val="A42-1-1"/>
      <sheetName val="A43-1"/>
      <sheetName val="A43-1-1"/>
      <sheetName val="A51-1"/>
      <sheetName val="A51-1-1"/>
      <sheetName val="B1-1"/>
      <sheetName val="B1-1-1"/>
      <sheetName val="B2-1"/>
      <sheetName val="B2-1-1"/>
      <sheetName val="B3-1"/>
      <sheetName val="B3-1-1"/>
      <sheetName val="B4-1"/>
      <sheetName val="B4-1-1"/>
      <sheetName val="B6-1"/>
      <sheetName val="B6-1-1"/>
      <sheetName val="B7-1"/>
      <sheetName val="B7-1-1"/>
      <sheetName val="B8-1"/>
      <sheetName val="B8-1-1"/>
      <sheetName val="B9-1"/>
      <sheetName val="B9-1-1"/>
      <sheetName val="B10-1"/>
      <sheetName val="B10-1-1"/>
      <sheetName val="B11-1"/>
      <sheetName val="B11-1-1"/>
      <sheetName val="B12-1"/>
      <sheetName val="B12-1-1"/>
      <sheetName val="B13-1"/>
      <sheetName val="B13-1-1"/>
      <sheetName val="B15-1"/>
      <sheetName val="B15-1-1"/>
      <sheetName val="B21-1"/>
      <sheetName val="B21-1-1"/>
      <sheetName val="B22-1"/>
      <sheetName val="B22-1-1"/>
      <sheetName val="B23-1"/>
      <sheetName val="B23-1-1"/>
      <sheetName val="B24-1"/>
      <sheetName val="B24-1-1"/>
      <sheetName val="B25-1"/>
      <sheetName val="B25-1-1"/>
      <sheetName val="B31-1"/>
      <sheetName val="B31-1-1"/>
      <sheetName val="C1-1"/>
      <sheetName val="C1-1-1"/>
      <sheetName val="C2-1"/>
      <sheetName val="C2-1-1"/>
      <sheetName val="C3-1"/>
      <sheetName val="C3-1-1"/>
      <sheetName val="C4-1"/>
      <sheetName val="C4-1-1"/>
      <sheetName val="C5-1"/>
      <sheetName val="C5-1-1"/>
      <sheetName val="D1-1"/>
      <sheetName val="D1-1-1"/>
      <sheetName val="D2-1"/>
      <sheetName val="D2-1-1"/>
      <sheetName val="D3-1"/>
      <sheetName val="D3-1-1"/>
      <sheetName val="D4-1"/>
      <sheetName val="D4-1-1"/>
      <sheetName val="D5-1"/>
      <sheetName val="D5-1-1"/>
      <sheetName val="D6-1"/>
      <sheetName val="D6-1-1"/>
      <sheetName val="D7-1"/>
      <sheetName val="D7-1-1"/>
      <sheetName val="D8-1"/>
      <sheetName val="D8-1-1"/>
      <sheetName val="D9-1"/>
      <sheetName val="D9-1-1"/>
      <sheetName val="D10-1"/>
      <sheetName val="D10-1-1"/>
      <sheetName val="D11-1"/>
      <sheetName val="D11-1-1"/>
      <sheetName val="D12-1"/>
      <sheetName val="D12-1-1"/>
      <sheetName val="D13-1"/>
      <sheetName val="D13-1-1"/>
      <sheetName val="W"/>
      <sheetName val="End"/>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assumptions"/>
      <sheetName val="Control Pannel"/>
      <sheetName val="SENSITIVITY"/>
      <sheetName val="Key Assumptions output"/>
      <sheetName val="Market"/>
      <sheetName val="Price"/>
      <sheetName val="Share"/>
      <sheetName val="Subscribers"/>
      <sheetName val="Revenue"/>
      <sheetName val="CM sales"/>
      <sheetName val="Split"/>
      <sheetName val="Equip. Sales"/>
      <sheetName val="Monthly fee to Giga"/>
      <sheetName val="Expenses"/>
      <sheetName val="Expenses-assumptions"/>
      <sheetName val="Staffing"/>
      <sheetName val="Dep'n"/>
      <sheetName val="Network capex"/>
      <sheetName val="Adjusted capex"/>
      <sheetName val="Valuation"/>
      <sheetName val="Cable CSC"/>
      <sheetName val="WACC"/>
      <sheetName val="@Home Valuation"/>
      <sheetName val="Income statement"/>
      <sheetName val="Cashflow statement"/>
      <sheetName val="Balance sheet"/>
      <sheetName val="- SHEETS AFTER THIS NOT USED -"/>
      <sheetName val="CoGS-CM"/>
      <sheetName val="CoGS-Equip"/>
      <sheetName val="CoGS-Servers"/>
      <sheetName val="CoGS-CR"/>
      <sheetName val="CoGS-RAS"/>
      <sheetName val="CoGS-Switch"/>
      <sheetName val="CoGS-Router"/>
      <sheetName val="Interface"/>
      <sheetName val="Parameters"/>
      <sheetName val="Servers"/>
      <sheetName val="CR"/>
      <sheetName val="RAS"/>
      <sheetName val="PSTN"/>
      <sheetName val="Switch"/>
      <sheetName val="Router"/>
      <sheetName val="Backbone"/>
      <sheetName val="麗冠"/>
      <sheetName val="長德"/>
      <sheetName val="萬象"/>
      <sheetName val="寶福"/>
      <sheetName val="新和"/>
      <sheetName val="大豐"/>
      <sheetName val="北新"/>
      <sheetName val="家和"/>
      <sheetName val="雙星"/>
      <sheetName val="吉隆"/>
      <sheetName val="北健"/>
      <sheetName val="竹和"/>
      <sheetName val="群健"/>
      <sheetName val="雙子星"/>
      <sheetName val="三冠王"/>
      <sheetName val="慶聯"/>
      <sheetName val="港都"/>
      <sheetName val="澎湖"/>
      <sheetName val="Subscribers (2)"/>
      <sheetName val="Web"/>
      <sheetName val="Proxy"/>
      <sheetName val="Domestic"/>
      <sheetName val="Intl"/>
      <sheetName val="AV"/>
      <sheetName val="RAW"/>
      <sheetName val="Summary"/>
      <sheetName val="System"/>
      <sheetName val="Output"/>
      <sheetName val="Chart3"/>
      <sheetName val="New MSOs"/>
      <sheetName val="Split to M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3208</v>
      </c>
      <c r="B1" s="3076" t="s">
        <v>3299</v>
      </c>
    </row>
    <row r="2" spans="1:2" s="3081" customFormat="1" ht="15" thickTop="1">
      <c r="A2" s="3079" t="s">
        <v>3209</v>
      </c>
      <c r="B2" s="3080" t="str">
        <f>'预评函-封皮'!B37:I37</f>
        <v>香河香河开发区第一城城内房地产抵押价值预评估</v>
      </c>
    </row>
    <row r="3" spans="1:2" s="3084" customFormat="1">
      <c r="A3" s="3082" t="s">
        <v>3210</v>
      </c>
      <c r="B3" s="3083" t="str">
        <f>'预评函-封皮'!B40</f>
        <v>中信国安会议展览有限公司</v>
      </c>
    </row>
    <row r="4" spans="1:2" s="3084" customFormat="1">
      <c r="A4" s="3082" t="s">
        <v>3211</v>
      </c>
      <c r="B4" s="3083" t="str">
        <f ca="1">'预评函-封皮'!B46</f>
        <v>梁津（注册号：1119970066)、欧红伟（注册号：1120000080)</v>
      </c>
    </row>
    <row r="5" spans="1:2" s="3078" customFormat="1" ht="15" thickBot="1">
      <c r="A5" s="3085" t="s">
        <v>3212</v>
      </c>
      <c r="B5" s="3086" t="str">
        <f>'预评函-封皮'!B49</f>
        <v>康正预评字号</v>
      </c>
    </row>
    <row r="6" spans="1:2" s="3081" customFormat="1" ht="15" thickTop="1">
      <c r="A6" s="3079" t="s">
        <v>3213</v>
      </c>
      <c r="B6" s="3080" t="str">
        <f>'预评函-1'!A4</f>
        <v>受贵公司委托，我公司对香河香河开发区第一城城内房地产抵押价值进行了预评估。</v>
      </c>
    </row>
    <row r="7" spans="1:2" s="3084" customFormat="1">
      <c r="A7" s="3082" t="s">
        <v>3253</v>
      </c>
      <c r="B7" s="3083" t="str">
        <f>'预评函-1'!A7</f>
        <v>估价对象为香河香河开发区第一城城内房地产，为BB公司所有。根据《国有土地使用证》[]，估价对象（分摊）出让国有建设用地使用权面积为619634平方米，建筑面积为494831.87平方米。</v>
      </c>
    </row>
    <row r="8" spans="1:2" s="3084" customFormat="1">
      <c r="A8" s="3082" t="s">
        <v>3254</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3255</v>
      </c>
      <c r="B9" s="3083" t="str">
        <f>'预评函-1'!A10</f>
        <v>估价对象为香河香河开发区第一城城内房地产,为BB公司开发建设的商业项目，该项目尚在开发建设中。根据《国有土地使用证》[]，估价对象（分摊）出让国有建设用地使用权面积为619634平方米，规划建筑面积为494831.87平方米。</v>
      </c>
    </row>
    <row r="10" spans="1:2" s="3084" customFormat="1">
      <c r="A10" s="3082" t="s">
        <v>3256</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3214</v>
      </c>
      <c r="B11" s="3083" t="str">
        <f>'预评函-1'!A13</f>
        <v>为估价委托人在向xx银行办理贷款手续过程中，确定房地产抵押贷款额度提供参考依据而评估房地产抵押价值。</v>
      </c>
    </row>
    <row r="12" spans="1:2" s="3084" customFormat="1">
      <c r="A12" s="3082" t="s">
        <v>3215</v>
      </c>
      <c r="B12" s="3083" t="str">
        <f>'预评函-1'!A15</f>
        <v>2017年6月20日评估专业人员实地查勘之日</v>
      </c>
    </row>
    <row r="13" spans="1:2" s="3084" customFormat="1">
      <c r="A13" s="3082" t="s">
        <v>3216</v>
      </c>
      <c r="B13" s="3083" t="str">
        <f>'预评函-1'!A18</f>
        <v>本次估价的“房地产价值”是指在正常市场情况下，在价值时点2017年6月20日，估价对象规划用途为商业，土地取得方式为出让，出让国有建设用地使用权剩余土地使用年限为商业40年，假定未设立法定优先受偿款下的房地产市场价值。</v>
      </c>
    </row>
    <row r="14" spans="1:2" s="3084" customFormat="1">
      <c r="A14" s="3082" t="s">
        <v>3217</v>
      </c>
      <c r="B14" s="3083" t="str">
        <f>'预评函-1'!A19</f>
        <v>其中，“出让国有建设用地使用权价值”是指估价对象用途为商业，实际开发程度为宗地红线外“六通”（即通路、通电、通上水、通下水、通讯、燃气）、红线内场地平整条件下，剩余土地使用年限为商业40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84" customFormat="1">
      <c r="A15" s="3082" t="s">
        <v>3218</v>
      </c>
      <c r="B15" s="3083" t="str">
        <f>'预评函-1'!A20</f>
        <v>本次估价的“房地产抵押价值”是指估价对象在价值时点的“房地产价值”扣减估价师于价值时点所知悉的法定优先受偿款后的余额。</v>
      </c>
    </row>
    <row r="16" spans="1:2" s="3084" customFormat="1">
      <c r="A16" s="3082" t="s">
        <v>3219</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3220</v>
      </c>
      <c r="B17" s="3083" t="str">
        <f>'预评函-1'!A22</f>
        <v/>
      </c>
    </row>
    <row r="18" spans="1:2" s="3078" customFormat="1" ht="15" thickBot="1">
      <c r="A18" s="3085" t="s">
        <v>3221</v>
      </c>
      <c r="B18" s="3086" t="str">
        <f>'预评函-1'!A24</f>
        <v>本次评估采用的主估价方法为成本法和收益法。</v>
      </c>
    </row>
    <row r="19" spans="1:2" s="3081" customFormat="1" ht="15" thickTop="1">
      <c r="A19" s="3079" t="s">
        <v>3222</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3223</v>
      </c>
      <c r="B20" s="3083">
        <f ca="1">'预评函-2'!D5</f>
        <v>544105</v>
      </c>
    </row>
    <row r="21" spans="1:2" s="3084" customFormat="1">
      <c r="A21" s="3082" t="s">
        <v>3224</v>
      </c>
      <c r="B21" s="3083">
        <f ca="1">'预评函-2'!D7</f>
        <v>10996</v>
      </c>
    </row>
    <row r="22" spans="1:2" s="3084" customFormat="1">
      <c r="A22" s="3082" t="s">
        <v>3225</v>
      </c>
      <c r="B22" s="3083" t="str">
        <f ca="1">'预评函-2'!D6</f>
        <v>伍拾肆亿肆仟壹佰零伍万元整</v>
      </c>
    </row>
    <row r="23" spans="1:2" s="3084" customFormat="1">
      <c r="A23" s="3082" t="s">
        <v>3287</v>
      </c>
      <c r="B23" s="3083" t="str">
        <f>'预评函-2'!B8</f>
        <v>2.估价师知悉的除抵押担保权以外的法定优先受偿款</v>
      </c>
    </row>
    <row r="24" spans="1:2" s="3084" customFormat="1">
      <c r="A24" s="3082" t="s">
        <v>3293</v>
      </c>
      <c r="B24" s="3083">
        <f>'预评函-2'!D8</f>
        <v>21899</v>
      </c>
    </row>
    <row r="25" spans="1:2" s="3084" customFormat="1">
      <c r="A25" s="3082" t="s">
        <v>3226</v>
      </c>
      <c r="B25" s="3083" t="str">
        <f>'预评函-2'!D9</f>
        <v>贰亿壹仟捌佰玖拾玖万元整</v>
      </c>
    </row>
    <row r="26" spans="1:2" s="3084" customFormat="1">
      <c r="A26" s="3082" t="s">
        <v>3227</v>
      </c>
      <c r="B26" s="3083">
        <f>'预评函-2'!D10</f>
        <v>0</v>
      </c>
    </row>
    <row r="27" spans="1:2" s="3084" customFormat="1">
      <c r="A27" s="3082" t="s">
        <v>3228</v>
      </c>
      <c r="B27" s="3083">
        <f>'预评函-2'!D11</f>
        <v>0</v>
      </c>
    </row>
    <row r="28" spans="1:2" s="3084" customFormat="1">
      <c r="A28" s="3082" t="s">
        <v>3229</v>
      </c>
      <c r="B28" s="3083">
        <f>'预评函-2'!D12</f>
        <v>21899</v>
      </c>
    </row>
    <row r="29" spans="1:2" s="3084" customFormat="1">
      <c r="A29" s="3082" t="s">
        <v>3291</v>
      </c>
      <c r="B29" s="3083" t="str">
        <f>'预评函-2'!B13</f>
        <v>3.房地产抵押价值</v>
      </c>
    </row>
    <row r="30" spans="1:2" s="3084" customFormat="1">
      <c r="A30" s="3082" t="s">
        <v>3292</v>
      </c>
      <c r="B30" s="3083">
        <f ca="1">'预评函-2'!D13</f>
        <v>522206</v>
      </c>
    </row>
    <row r="31" spans="1:2" s="3084" customFormat="1">
      <c r="A31" s="3082" t="s">
        <v>3264</v>
      </c>
      <c r="B31" s="3083">
        <f ca="1">'预评函-2'!D15</f>
        <v>10553</v>
      </c>
    </row>
    <row r="32" spans="1:2" s="3084" customFormat="1">
      <c r="A32" s="3082" t="s">
        <v>3230</v>
      </c>
      <c r="B32" s="3083" t="str">
        <f ca="1">'预评函-2'!D14</f>
        <v>伍拾贰亿贰仟贰佰零陆万元整</v>
      </c>
    </row>
    <row r="33" spans="1:2" s="3084" customFormat="1">
      <c r="A33" s="3082" t="s">
        <v>3266</v>
      </c>
      <c r="B33" s="3083" t="str">
        <f>'预评函-2'!B16</f>
        <v>——</v>
      </c>
    </row>
    <row r="34" spans="1:2" s="3084" customFormat="1">
      <c r="A34" s="3082" t="s">
        <v>3294</v>
      </c>
      <c r="B34" s="3083" t="str">
        <f>'预评函-2'!D16</f>
        <v>——</v>
      </c>
    </row>
    <row r="35" spans="1:2" s="3084" customFormat="1">
      <c r="A35" s="3082" t="s">
        <v>3265</v>
      </c>
      <c r="B35" s="3083" t="str">
        <f>'预评函-2'!D18</f>
        <v>——</v>
      </c>
    </row>
    <row r="36" spans="1:2" s="3084" customFormat="1">
      <c r="A36" s="3082" t="s">
        <v>3231</v>
      </c>
      <c r="B36" s="3083" t="e">
        <f>'预评函-2'!D17</f>
        <v>#VALUE!</v>
      </c>
    </row>
    <row r="37" spans="1:2" s="3084" customFormat="1">
      <c r="A37" s="3082" t="s">
        <v>3267</v>
      </c>
      <c r="B37" s="3083" t="str">
        <f>'预评函-2'!B19</f>
        <v>——</v>
      </c>
    </row>
    <row r="38" spans="1:2" s="3084" customFormat="1">
      <c r="A38" s="3082" t="s">
        <v>3295</v>
      </c>
      <c r="B38" s="3083" t="str">
        <f>'预评函-2'!D19</f>
        <v>——</v>
      </c>
    </row>
    <row r="39" spans="1:2" s="3084" customFormat="1">
      <c r="A39" s="3082" t="s">
        <v>3232</v>
      </c>
      <c r="B39" s="3083" t="str">
        <f>'预评函-2'!D21</f>
        <v>——</v>
      </c>
    </row>
    <row r="40" spans="1:2" s="3084" customFormat="1">
      <c r="A40" s="3082" t="s">
        <v>3233</v>
      </c>
      <c r="B40" s="3083" t="e">
        <f>'预评函-2'!D20</f>
        <v>#VALUE!</v>
      </c>
    </row>
    <row r="41" spans="1:2" s="3084" customFormat="1">
      <c r="A41" s="3082" t="s">
        <v>3290</v>
      </c>
      <c r="B41" s="3083" t="str">
        <f>'预评函-3'!A4</f>
        <v>香河香河开发区第一城城内房地产</v>
      </c>
    </row>
    <row r="42" spans="1:2" s="3084" customFormat="1">
      <c r="A42" s="3082" t="s">
        <v>3288</v>
      </c>
      <c r="B42" s="3083" t="str">
        <f>'预评函-3'!B2</f>
        <v>建筑面积</v>
      </c>
    </row>
    <row r="43" spans="1:2" s="3084" customFormat="1">
      <c r="A43" s="3082" t="s">
        <v>3289</v>
      </c>
      <c r="B43" s="3083">
        <f>'预评函-3'!B4</f>
        <v>494831.87</v>
      </c>
    </row>
    <row r="44" spans="1:2" s="3084" customFormat="1">
      <c r="A44" s="3082" t="s">
        <v>3263</v>
      </c>
      <c r="B44" s="3083" t="str">
        <f>'预评函-3'!C2</f>
        <v>(分摊)土地面积</v>
      </c>
    </row>
    <row r="45" spans="1:2" s="3084" customFormat="1">
      <c r="A45" s="3082" t="s">
        <v>3234</v>
      </c>
      <c r="B45" s="3083">
        <f>'预评函-3'!C4</f>
        <v>619634</v>
      </c>
    </row>
    <row r="46" spans="1:2" s="3084" customFormat="1">
      <c r="A46" s="3082" t="s">
        <v>3261</v>
      </c>
      <c r="B46" s="3083" t="str">
        <f>'预评函-3'!D2</f>
        <v>出让国有建设用地使用权价值</v>
      </c>
    </row>
    <row r="47" spans="1:2" s="3084" customFormat="1">
      <c r="A47" s="3082" t="s">
        <v>3235</v>
      </c>
      <c r="B47" s="3083">
        <f ca="1">'预评函-3'!D4</f>
        <v>294905</v>
      </c>
    </row>
    <row r="48" spans="1:2" s="3084" customFormat="1">
      <c r="A48" s="3082" t="s">
        <v>3236</v>
      </c>
      <c r="B48" s="3083">
        <f ca="1">'预评函-3'!E4</f>
        <v>5960</v>
      </c>
    </row>
    <row r="49" spans="1:2" s="3084" customFormat="1">
      <c r="A49" s="3082" t="s">
        <v>3237</v>
      </c>
      <c r="B49" s="3083" t="str">
        <f ca="1">'预评函-3'!D5</f>
        <v>贰拾玖亿肆仟玖佰零伍万元整</v>
      </c>
    </row>
    <row r="50" spans="1:2" s="3084" customFormat="1">
      <c r="A50" s="3082" t="s">
        <v>3262</v>
      </c>
      <c r="B50" s="3083" t="str">
        <f>'预评函-3'!F2</f>
        <v>建筑物价值</v>
      </c>
    </row>
    <row r="51" spans="1:2" s="3084" customFormat="1">
      <c r="A51" s="3082" t="s">
        <v>3238</v>
      </c>
      <c r="B51" s="3083">
        <f ca="1">'预评函-3'!F4</f>
        <v>249200</v>
      </c>
    </row>
    <row r="52" spans="1:2" s="3084" customFormat="1">
      <c r="A52" s="3082" t="s">
        <v>3239</v>
      </c>
      <c r="B52" s="3083">
        <f ca="1">'预评函-3'!G4</f>
        <v>5036</v>
      </c>
    </row>
    <row r="53" spans="1:2" s="3084" customFormat="1">
      <c r="A53" s="3082" t="s">
        <v>3268</v>
      </c>
      <c r="B53" s="3083" t="str">
        <f ca="1">'预评函-3'!F5</f>
        <v>贰拾肆亿玖仟贰佰万元整</v>
      </c>
    </row>
    <row r="54" spans="1:2" s="3084" customFormat="1">
      <c r="A54" s="3082" t="s">
        <v>3297</v>
      </c>
      <c r="B54" s="3083" t="str">
        <f>'预评函-3'!A8</f>
        <v>房地产抵押价值</v>
      </c>
    </row>
    <row r="55" spans="1:2" s="3084" customFormat="1">
      <c r="A55" s="3082" t="s">
        <v>3269</v>
      </c>
      <c r="B55" s="3083" t="str">
        <f>'预评函-3'!A10</f>
        <v/>
      </c>
    </row>
    <row r="56" spans="1:2" s="3084" customFormat="1">
      <c r="A56" s="3082" t="s">
        <v>3270</v>
      </c>
      <c r="B56" s="3083" t="str">
        <f>'预评函-3'!A12</f>
        <v/>
      </c>
    </row>
    <row r="57" spans="1:2" s="3078" customFormat="1" ht="15" thickBot="1">
      <c r="A57" s="3085" t="s">
        <v>3298</v>
      </c>
      <c r="B57" s="3086" t="str">
        <f>'预评函-3'!A6</f>
        <v>估价师知悉的除抵押担保权以外的法定优先受偿款</v>
      </c>
    </row>
    <row r="58" spans="1:2" s="3081" customFormat="1" ht="15" thickTop="1">
      <c r="A58" s="3079" t="s">
        <v>3240</v>
      </c>
      <c r="B58" s="3080" t="str">
        <f>'预评函-4'!A12</f>
        <v>2.本《评估意见函》仅供金融机构进行内部审核使用，不做其他目的之用。</v>
      </c>
    </row>
    <row r="59" spans="1:2" s="3084" customFormat="1">
      <c r="A59" s="3082" t="s">
        <v>3241</v>
      </c>
      <c r="B59" s="3083" t="str">
        <f>'预评函-4'!A13</f>
        <v>3.抵押双方在办理抵押登记手续时，应使用本公司出具的正式《房地产评估报告》，特提醒报告使用者注意。</v>
      </c>
    </row>
    <row r="60" spans="1:2" s="3084" customFormat="1">
      <c r="A60" s="3082" t="s">
        <v>3242</v>
      </c>
      <c r="B60" s="3083" t="str">
        <f>'预评函-4'!A14</f>
        <v>4.本次评估估价师所知悉的法定优先受偿款情况说明如下：</v>
      </c>
    </row>
    <row r="61" spans="1:2" s="3084" customFormat="1">
      <c r="A61" s="3082" t="s">
        <v>3243</v>
      </c>
      <c r="B61" s="3083" t="str">
        <f>'预评函-4'!A15</f>
        <v>（1）根据估价对象《房屋所有权证》复印件、《国有土地使用权》复印件，截至价值时点，估价对象已设定抵押。上述抵押权设定日期为，权利人为，权利范围为，权利价值为。</v>
      </c>
    </row>
    <row r="62" spans="1:2" s="3084" customFormat="1">
      <c r="A62" s="3082" t="s">
        <v>3244</v>
      </c>
      <c r="B62" s="3083" t="str">
        <f>'预评函-4'!A16</f>
        <v>（2）根据《工程款支付情况说明》，截至价值时点，估价对象不存在应付未付工程款项。（只要没有施工方盖章的，均“设定”进行表述）</v>
      </c>
    </row>
    <row r="63" spans="1:2" s="3084" customFormat="1">
      <c r="A63" s="3082" t="s">
        <v>3245</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3257</v>
      </c>
      <c r="B64" s="3083" t="str">
        <f>'预评函-4'!A18</f>
        <v>故，本次评估估价师知悉的除抵押担保权以外的法定优先受偿款为人民币21899万元整。</v>
      </c>
    </row>
    <row r="65" spans="1:2" s="3084" customFormat="1">
      <c r="A65" s="3082" t="s">
        <v>3246</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3247</v>
      </c>
      <c r="B66" s="3083" t="str">
        <f>'预评函-4'!A20</f>
        <v/>
      </c>
    </row>
    <row r="67" spans="1:2" s="3084" customFormat="1">
      <c r="A67" s="3082" t="s">
        <v>3258</v>
      </c>
      <c r="B67" s="3083" t="str">
        <f>'预评函-4'!A21</f>
        <v/>
      </c>
    </row>
    <row r="68" spans="1:2" s="3084" customFormat="1">
      <c r="A68" s="3082" t="s">
        <v>3259</v>
      </c>
      <c r="B68" s="3083" t="str">
        <f>'预评函-4'!A22</f>
        <v>8.其他需特殊说明事项：无（注意调整序号）</v>
      </c>
    </row>
    <row r="69" spans="1:2" s="3078" customFormat="1" ht="15" thickBot="1">
      <c r="A69" s="3085" t="s">
        <v>3248</v>
      </c>
      <c r="B69" s="3087">
        <f>'预评函-4'!C31</f>
        <v>42551</v>
      </c>
    </row>
    <row r="70" spans="1:2" ht="15" thickTop="1">
      <c r="A70" s="3088" t="s">
        <v>3249</v>
      </c>
      <c r="B70" s="3089" t="str">
        <f>'预评函-4'!A4</f>
        <v>梁津</v>
      </c>
    </row>
    <row r="71" spans="1:2">
      <c r="A71" s="3082" t="s">
        <v>3250</v>
      </c>
      <c r="B71" s="3083">
        <f ca="1">'预评函-4'!B4</f>
        <v>1119970066</v>
      </c>
    </row>
    <row r="72" spans="1:2">
      <c r="A72" s="3082" t="s">
        <v>3251</v>
      </c>
      <c r="B72" s="3091" t="str">
        <f>'预评函-4'!A5</f>
        <v>欧红伟</v>
      </c>
    </row>
    <row r="73" spans="1:2" s="3078" customFormat="1" ht="15" thickBot="1">
      <c r="A73" s="3085" t="s">
        <v>3252</v>
      </c>
      <c r="B73" s="3086">
        <f ca="1">'预评函-4'!B5</f>
        <v>1120000080</v>
      </c>
    </row>
    <row r="74" spans="1:2" ht="15" thickTop="1">
      <c r="A74" s="3075" t="s">
        <v>3315</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2" customWidth="1"/>
    <col min="2" max="2" width="23.25" style="1161"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1" customWidth="1"/>
    <col min="25" max="16384" width="9" style="1161"/>
  </cols>
  <sheetData>
    <row r="1" spans="1:23" s="1160" customFormat="1" ht="27">
      <c r="A1" s="1136" t="s">
        <v>754</v>
      </c>
      <c r="B1" s="295" t="s">
        <v>420</v>
      </c>
      <c r="C1" s="1773" t="s">
        <v>2233</v>
      </c>
      <c r="D1" s="296" t="s">
        <v>421</v>
      </c>
      <c r="E1" s="296" t="s">
        <v>422</v>
      </c>
      <c r="F1" s="296" t="s">
        <v>423</v>
      </c>
      <c r="G1" s="296" t="s">
        <v>424</v>
      </c>
      <c r="H1" s="296" t="s">
        <v>425</v>
      </c>
      <c r="I1" s="296" t="s">
        <v>426</v>
      </c>
      <c r="J1" s="296" t="s">
        <v>427</v>
      </c>
      <c r="K1" s="296" t="s">
        <v>428</v>
      </c>
      <c r="L1" s="296" t="s">
        <v>429</v>
      </c>
      <c r="M1" s="296" t="s">
        <v>430</v>
      </c>
      <c r="N1" s="296" t="s">
        <v>431</v>
      </c>
      <c r="O1" s="296" t="s">
        <v>432</v>
      </c>
      <c r="P1" s="11" t="s">
        <v>2201</v>
      </c>
      <c r="Q1" s="11" t="s">
        <v>3047</v>
      </c>
      <c r="R1" s="1490" t="s">
        <v>3037</v>
      </c>
      <c r="S1" s="296" t="s">
        <v>433</v>
      </c>
      <c r="T1" s="297" t="s">
        <v>434</v>
      </c>
      <c r="U1" s="296" t="s">
        <v>435</v>
      </c>
      <c r="V1" s="296" t="s">
        <v>436</v>
      </c>
      <c r="W1" s="1490" t="s">
        <v>2204</v>
      </c>
    </row>
    <row r="2" spans="1:23">
      <c r="A2" s="2817" t="s">
        <v>164</v>
      </c>
      <c r="B2" s="2817" t="s">
        <v>802</v>
      </c>
      <c r="C2" s="1774" t="s">
        <v>2234</v>
      </c>
      <c r="D2" s="298" t="s">
        <v>394</v>
      </c>
      <c r="E2" s="298" t="s">
        <v>437</v>
      </c>
      <c r="F2" s="298" t="s">
        <v>438</v>
      </c>
      <c r="G2" s="298">
        <v>40</v>
      </c>
      <c r="H2" s="298" t="s">
        <v>439</v>
      </c>
      <c r="I2" s="298" t="s">
        <v>440</v>
      </c>
      <c r="J2" s="298" t="s">
        <v>441</v>
      </c>
      <c r="K2" s="298" t="s">
        <v>395</v>
      </c>
      <c r="L2" s="298" t="s">
        <v>395</v>
      </c>
      <c r="M2" s="298" t="s">
        <v>395</v>
      </c>
      <c r="N2" s="298" t="s">
        <v>395</v>
      </c>
      <c r="O2" s="298" t="s">
        <v>395</v>
      </c>
      <c r="P2" s="298" t="s">
        <v>395</v>
      </c>
      <c r="Q2" s="298" t="s">
        <v>395</v>
      </c>
      <c r="R2" s="2780" t="s">
        <v>3041</v>
      </c>
      <c r="S2" s="298" t="s">
        <v>395</v>
      </c>
      <c r="T2" s="298" t="s">
        <v>396</v>
      </c>
      <c r="U2" s="298" t="s">
        <v>395</v>
      </c>
      <c r="V2" s="298" t="s">
        <v>397</v>
      </c>
      <c r="W2" s="298" t="s">
        <v>395</v>
      </c>
    </row>
    <row r="3" spans="1:23">
      <c r="A3" s="2817" t="s">
        <v>801</v>
      </c>
      <c r="B3" s="2818" t="s">
        <v>3084</v>
      </c>
      <c r="C3" s="1775" t="s">
        <v>2235</v>
      </c>
      <c r="D3" s="298" t="s">
        <v>398</v>
      </c>
      <c r="E3" s="298" t="s">
        <v>54</v>
      </c>
      <c r="F3" s="298" t="s">
        <v>399</v>
      </c>
      <c r="G3" s="298">
        <v>50</v>
      </c>
      <c r="H3" s="298" t="s">
        <v>400</v>
      </c>
      <c r="I3" s="298" t="s">
        <v>401</v>
      </c>
      <c r="J3" s="298" t="s">
        <v>402</v>
      </c>
      <c r="K3" s="298" t="s">
        <v>403</v>
      </c>
      <c r="L3" s="298" t="s">
        <v>403</v>
      </c>
      <c r="M3" s="298" t="s">
        <v>403</v>
      </c>
      <c r="N3" s="298" t="s">
        <v>403</v>
      </c>
      <c r="O3" s="298" t="s">
        <v>403</v>
      </c>
      <c r="P3" s="298" t="s">
        <v>403</v>
      </c>
      <c r="Q3" s="298" t="s">
        <v>403</v>
      </c>
      <c r="R3" s="2780" t="s">
        <v>3039</v>
      </c>
      <c r="S3" s="298" t="s">
        <v>403</v>
      </c>
      <c r="T3" s="298" t="s">
        <v>404</v>
      </c>
      <c r="U3" s="298" t="s">
        <v>403</v>
      </c>
      <c r="V3" s="298" t="s">
        <v>405</v>
      </c>
      <c r="W3" s="298" t="s">
        <v>403</v>
      </c>
    </row>
    <row r="4" spans="1:23">
      <c r="A4" s="2817" t="s">
        <v>803</v>
      </c>
      <c r="B4" s="2817" t="s">
        <v>804</v>
      </c>
      <c r="C4" s="1774" t="s">
        <v>2236</v>
      </c>
      <c r="D4" s="298" t="s">
        <v>2414</v>
      </c>
      <c r="E4" s="298" t="s">
        <v>442</v>
      </c>
      <c r="F4" s="298" t="s">
        <v>443</v>
      </c>
      <c r="G4" s="298">
        <v>70</v>
      </c>
      <c r="H4" s="298" t="s">
        <v>444</v>
      </c>
      <c r="I4" s="298" t="s">
        <v>445</v>
      </c>
      <c r="K4" s="298" t="s">
        <v>406</v>
      </c>
      <c r="L4" s="298" t="s">
        <v>406</v>
      </c>
      <c r="M4" s="298" t="s">
        <v>406</v>
      </c>
      <c r="N4" s="298" t="s">
        <v>406</v>
      </c>
      <c r="O4" s="298" t="s">
        <v>406</v>
      </c>
      <c r="P4" s="298" t="s">
        <v>406</v>
      </c>
      <c r="Q4" s="298" t="s">
        <v>406</v>
      </c>
      <c r="R4" s="2780" t="s">
        <v>3042</v>
      </c>
      <c r="S4" s="298" t="s">
        <v>406</v>
      </c>
      <c r="T4" s="298" t="s">
        <v>407</v>
      </c>
      <c r="U4" s="298" t="s">
        <v>406</v>
      </c>
      <c r="W4" s="298" t="s">
        <v>406</v>
      </c>
    </row>
    <row r="5" spans="1:23">
      <c r="A5" s="2817" t="s">
        <v>805</v>
      </c>
      <c r="B5" s="2817" t="s">
        <v>806</v>
      </c>
      <c r="C5" s="1774" t="s">
        <v>2237</v>
      </c>
      <c r="F5" s="298" t="s">
        <v>408</v>
      </c>
      <c r="H5" s="298" t="s">
        <v>409</v>
      </c>
      <c r="I5" s="298" t="s">
        <v>410</v>
      </c>
      <c r="K5" s="298" t="s">
        <v>411</v>
      </c>
      <c r="L5" s="298" t="s">
        <v>411</v>
      </c>
      <c r="M5" s="298" t="s">
        <v>411</v>
      </c>
      <c r="N5" s="298" t="s">
        <v>411</v>
      </c>
      <c r="O5" s="298" t="s">
        <v>411</v>
      </c>
      <c r="P5" s="298" t="s">
        <v>411</v>
      </c>
      <c r="Q5" s="298" t="s">
        <v>411</v>
      </c>
      <c r="R5" s="2780" t="s">
        <v>3043</v>
      </c>
      <c r="S5" s="298" t="s">
        <v>411</v>
      </c>
      <c r="T5" s="298" t="s">
        <v>412</v>
      </c>
      <c r="U5" s="298" t="s">
        <v>411</v>
      </c>
      <c r="W5" s="298" t="s">
        <v>411</v>
      </c>
    </row>
    <row r="6" spans="1:23">
      <c r="A6" s="2817" t="s">
        <v>807</v>
      </c>
      <c r="B6" s="2818" t="s">
        <v>3085</v>
      </c>
      <c r="C6" s="1776" t="s">
        <v>325</v>
      </c>
      <c r="F6" s="298" t="s">
        <v>413</v>
      </c>
      <c r="H6" s="298" t="s">
        <v>414</v>
      </c>
      <c r="I6" s="298" t="s">
        <v>415</v>
      </c>
      <c r="K6" s="298" t="s">
        <v>416</v>
      </c>
      <c r="L6" s="298" t="s">
        <v>416</v>
      </c>
      <c r="M6" s="298" t="s">
        <v>416</v>
      </c>
      <c r="N6" s="298" t="s">
        <v>416</v>
      </c>
      <c r="O6" s="298" t="s">
        <v>416</v>
      </c>
      <c r="P6" s="298" t="s">
        <v>416</v>
      </c>
      <c r="Q6" s="298" t="s">
        <v>416</v>
      </c>
      <c r="R6" s="2780" t="s">
        <v>3044</v>
      </c>
      <c r="S6" s="298" t="s">
        <v>416</v>
      </c>
      <c r="T6" s="298"/>
      <c r="U6" s="298" t="s">
        <v>416</v>
      </c>
      <c r="W6" s="298" t="s">
        <v>416</v>
      </c>
    </row>
    <row r="7" spans="1:23">
      <c r="A7" s="2817" t="s">
        <v>809</v>
      </c>
      <c r="B7" s="2818" t="s">
        <v>3086</v>
      </c>
      <c r="C7" s="1774" t="s">
        <v>326</v>
      </c>
      <c r="F7" s="298" t="s">
        <v>417</v>
      </c>
      <c r="H7" s="298" t="s">
        <v>418</v>
      </c>
      <c r="I7" s="298" t="s">
        <v>419</v>
      </c>
    </row>
    <row r="8" spans="1:23">
      <c r="A8" s="2817" t="s">
        <v>811</v>
      </c>
      <c r="B8" s="2817" t="s">
        <v>808</v>
      </c>
      <c r="C8" s="1774" t="s">
        <v>2238</v>
      </c>
      <c r="F8" s="298" t="s">
        <v>446</v>
      </c>
      <c r="H8" s="298"/>
      <c r="I8" s="298" t="s">
        <v>447</v>
      </c>
    </row>
    <row r="9" spans="1:23">
      <c r="A9" s="2817" t="s">
        <v>813</v>
      </c>
      <c r="B9" s="2817" t="s">
        <v>810</v>
      </c>
      <c r="C9" s="1774" t="s">
        <v>2239</v>
      </c>
      <c r="F9" s="298" t="s">
        <v>448</v>
      </c>
      <c r="H9" s="298"/>
    </row>
    <row r="10" spans="1:23">
      <c r="A10" s="2817" t="s">
        <v>815</v>
      </c>
      <c r="B10" s="2817" t="s">
        <v>812</v>
      </c>
      <c r="C10" s="1774" t="s">
        <v>2240</v>
      </c>
      <c r="F10" s="298" t="s">
        <v>54</v>
      </c>
    </row>
    <row r="11" spans="1:23">
      <c r="A11" s="2817" t="s">
        <v>817</v>
      </c>
      <c r="B11" s="2817" t="s">
        <v>814</v>
      </c>
      <c r="C11" s="1774" t="s">
        <v>2241</v>
      </c>
    </row>
    <row r="12" spans="1:23">
      <c r="A12" s="2817" t="s">
        <v>819</v>
      </c>
      <c r="B12" s="2817" t="s">
        <v>816</v>
      </c>
      <c r="C12" s="1774" t="s">
        <v>2242</v>
      </c>
    </row>
    <row r="13" spans="1:23">
      <c r="A13" s="2817" t="s">
        <v>821</v>
      </c>
      <c r="B13" s="2817" t="s">
        <v>818</v>
      </c>
      <c r="C13" s="1774" t="s">
        <v>2243</v>
      </c>
    </row>
    <row r="14" spans="1:23">
      <c r="A14" s="2817" t="s">
        <v>823</v>
      </c>
      <c r="B14" s="2817" t="s">
        <v>820</v>
      </c>
      <c r="C14" s="298" t="s">
        <v>54</v>
      </c>
    </row>
    <row r="15" spans="1:23">
      <c r="A15" s="2817" t="s">
        <v>824</v>
      </c>
      <c r="B15" s="2817" t="s">
        <v>822</v>
      </c>
      <c r="C15" s="1777"/>
    </row>
    <row r="16" spans="1:23">
      <c r="A16" s="2817" t="s">
        <v>825</v>
      </c>
      <c r="B16" s="2817" t="s">
        <v>2220</v>
      </c>
      <c r="C16" s="1777"/>
    </row>
    <row r="17" spans="1:3">
      <c r="A17" s="2817" t="s">
        <v>826</v>
      </c>
      <c r="B17" s="2817" t="s">
        <v>2222</v>
      </c>
      <c r="C17" s="1777"/>
    </row>
    <row r="18" spans="1:3">
      <c r="A18" s="2817" t="s">
        <v>827</v>
      </c>
      <c r="B18" s="2817" t="s">
        <v>2222</v>
      </c>
      <c r="C18" s="1777"/>
    </row>
    <row r="19" spans="1:3">
      <c r="A19" s="2817" t="s">
        <v>828</v>
      </c>
      <c r="B19" s="2817" t="s">
        <v>2222</v>
      </c>
      <c r="C19" s="1777"/>
    </row>
    <row r="20" spans="1:3">
      <c r="A20" s="2817" t="s">
        <v>829</v>
      </c>
      <c r="B20" s="2817" t="s">
        <v>2222</v>
      </c>
      <c r="C20" s="1777"/>
    </row>
    <row r="21" spans="1:3">
      <c r="A21" s="2817" t="s">
        <v>830</v>
      </c>
      <c r="B21" s="2817" t="s">
        <v>2222</v>
      </c>
      <c r="C21" s="1777"/>
    </row>
    <row r="22" spans="1:3">
      <c r="A22" s="2817" t="s">
        <v>831</v>
      </c>
      <c r="B22" s="2817" t="s">
        <v>2222</v>
      </c>
      <c r="C22" s="1777"/>
    </row>
    <row r="23" spans="1:3">
      <c r="A23" s="2817" t="s">
        <v>832</v>
      </c>
      <c r="B23" s="2817" t="s">
        <v>2222</v>
      </c>
      <c r="C23" s="1777"/>
    </row>
    <row r="24" spans="1:3">
      <c r="A24" s="2817" t="s">
        <v>833</v>
      </c>
      <c r="B24" s="2817" t="s">
        <v>2222</v>
      </c>
      <c r="C24" s="1777"/>
    </row>
    <row r="25" spans="1:3">
      <c r="A25" s="2817" t="s">
        <v>834</v>
      </c>
      <c r="B25" s="2817" t="s">
        <v>2222</v>
      </c>
      <c r="C25" s="1777"/>
    </row>
    <row r="26" spans="1:3">
      <c r="A26" s="2817" t="s">
        <v>835</v>
      </c>
      <c r="B26" s="2817" t="s">
        <v>2222</v>
      </c>
      <c r="C26" s="1777"/>
    </row>
    <row r="27" spans="1:3">
      <c r="A27" s="2817" t="s">
        <v>2222</v>
      </c>
      <c r="B27" s="2817" t="s">
        <v>2222</v>
      </c>
      <c r="C27" s="1777"/>
    </row>
    <row r="28" spans="1:3">
      <c r="A28" s="2817" t="s">
        <v>2222</v>
      </c>
      <c r="B28" s="2817" t="s">
        <v>2222</v>
      </c>
      <c r="C28" s="1777"/>
    </row>
    <row r="29" spans="1:3">
      <c r="A29" s="2817" t="s">
        <v>2222</v>
      </c>
      <c r="B29" s="2817" t="s">
        <v>2222</v>
      </c>
      <c r="C29" s="1777"/>
    </row>
    <row r="30" spans="1:3">
      <c r="A30" s="2817" t="s">
        <v>2222</v>
      </c>
      <c r="B30" s="2817" t="s">
        <v>2222</v>
      </c>
      <c r="C30" s="1777"/>
    </row>
    <row r="31" spans="1:3">
      <c r="A31" s="2817" t="s">
        <v>2222</v>
      </c>
      <c r="B31" s="2817" t="s">
        <v>2222</v>
      </c>
      <c r="C31" s="1777"/>
    </row>
    <row r="32" spans="1:3">
      <c r="A32" s="2817" t="s">
        <v>2222</v>
      </c>
      <c r="B32" s="2817" t="s">
        <v>2222</v>
      </c>
      <c r="C32" s="1777"/>
    </row>
    <row r="33" spans="1:3">
      <c r="A33" s="2817" t="s">
        <v>2222</v>
      </c>
      <c r="B33" s="2817" t="s">
        <v>2222</v>
      </c>
      <c r="C33" s="1777"/>
    </row>
    <row r="34" spans="1:3">
      <c r="A34" s="2817" t="s">
        <v>2222</v>
      </c>
      <c r="B34" s="2817" t="s">
        <v>2222</v>
      </c>
      <c r="C34" s="1777"/>
    </row>
    <row r="35" spans="1:3">
      <c r="A35" s="2817" t="s">
        <v>2222</v>
      </c>
      <c r="B35" s="2817" t="s">
        <v>2222</v>
      </c>
      <c r="C35" s="1777"/>
    </row>
    <row r="36" spans="1:3">
      <c r="A36" s="2817" t="s">
        <v>2222</v>
      </c>
      <c r="B36" s="2817" t="s">
        <v>2222</v>
      </c>
      <c r="C36" s="1777"/>
    </row>
    <row r="37" spans="1:3">
      <c r="A37" s="2817" t="s">
        <v>2222</v>
      </c>
      <c r="B37" s="2817" t="s">
        <v>2222</v>
      </c>
      <c r="C37" s="1777"/>
    </row>
    <row r="38" spans="1:3">
      <c r="A38" s="2817" t="s">
        <v>2222</v>
      </c>
      <c r="B38" s="2817" t="s">
        <v>2222</v>
      </c>
      <c r="C38" s="1777"/>
    </row>
    <row r="39" spans="1:3">
      <c r="A39" s="2817" t="s">
        <v>2222</v>
      </c>
      <c r="B39" s="2817" t="s">
        <v>2222</v>
      </c>
      <c r="C39" s="1777"/>
    </row>
    <row r="40" spans="1:3">
      <c r="A40" s="2817" t="s">
        <v>2222</v>
      </c>
      <c r="B40" s="2817" t="s">
        <v>2222</v>
      </c>
      <c r="C40" s="1777"/>
    </row>
    <row r="41" spans="1:3">
      <c r="A41" s="2817" t="s">
        <v>2222</v>
      </c>
      <c r="B41" s="2817" t="s">
        <v>2222</v>
      </c>
      <c r="C41" s="1777"/>
    </row>
    <row r="42" spans="1:3">
      <c r="A42" s="2817" t="s">
        <v>2222</v>
      </c>
      <c r="B42" s="2817" t="s">
        <v>2222</v>
      </c>
      <c r="C42" s="1777"/>
    </row>
    <row r="43" spans="1:3">
      <c r="A43" s="2817" t="s">
        <v>2222</v>
      </c>
      <c r="B43" s="2817" t="s">
        <v>2222</v>
      </c>
      <c r="C43" s="1777"/>
    </row>
    <row r="44" spans="1:3">
      <c r="A44" s="2817" t="s">
        <v>2222</v>
      </c>
      <c r="B44" s="2817" t="s">
        <v>2222</v>
      </c>
      <c r="C44" s="1777"/>
    </row>
    <row r="45" spans="1:3">
      <c r="A45" s="2817" t="s">
        <v>2222</v>
      </c>
      <c r="B45" s="2817" t="s">
        <v>2222</v>
      </c>
      <c r="C45" s="1777"/>
    </row>
    <row r="46" spans="1:3">
      <c r="A46" s="2817" t="s">
        <v>2222</v>
      </c>
      <c r="B46" s="2817" t="s">
        <v>2222</v>
      </c>
      <c r="C46" s="1777"/>
    </row>
    <row r="47" spans="1:3">
      <c r="A47" s="2817" t="s">
        <v>2222</v>
      </c>
      <c r="B47" s="2817" t="s">
        <v>2222</v>
      </c>
      <c r="C47" s="1777"/>
    </row>
    <row r="48" spans="1:3">
      <c r="A48" s="2817" t="s">
        <v>2222</v>
      </c>
      <c r="B48" s="2817" t="s">
        <v>2222</v>
      </c>
      <c r="C48" s="1777"/>
    </row>
    <row r="49" spans="1:4">
      <c r="A49" s="2817" t="s">
        <v>2222</v>
      </c>
      <c r="B49" s="2817" t="s">
        <v>2222</v>
      </c>
      <c r="C49" s="1777"/>
    </row>
    <row r="50" spans="1:4">
      <c r="A50" s="2817" t="s">
        <v>2222</v>
      </c>
      <c r="B50" s="2817" t="s">
        <v>2222</v>
      </c>
      <c r="C50" s="1777"/>
    </row>
    <row r="51" spans="1:4">
      <c r="A51" s="1958" t="s">
        <v>2371</v>
      </c>
      <c r="B51" s="2101"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香河香河开发区第一城城内房地产作为抵押担保物，向xx银行办理贷款手续。xx银行特委托北京康正宏基房地产评估有限公司对上述抵押物进行评估。本次评估为确定房地产抵押贷款额度提供参考依据而评估房地产抵押价值。</v>
      </c>
      <c r="D51" s="2101" t="s">
        <v>3277</v>
      </c>
    </row>
    <row r="52" spans="1:4">
      <c r="A52" s="1958" t="s">
        <v>2376</v>
      </c>
      <c r="B52" s="1958" t="s">
        <v>2377</v>
      </c>
      <c r="C52" s="1165" t="s">
        <v>2378</v>
      </c>
      <c r="D52" s="1165" t="s">
        <v>2379</v>
      </c>
    </row>
    <row r="53" spans="1:4">
      <c r="A53" s="3587" t="s">
        <v>2380</v>
      </c>
      <c r="B53" s="2101" t="s">
        <v>2381</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87"/>
      <c r="B54" s="2101" t="s">
        <v>2382</v>
      </c>
      <c r="C54" s="1165" t="s">
        <v>3274</v>
      </c>
    </row>
    <row r="55" spans="1:4">
      <c r="A55" s="3587"/>
      <c r="B55" s="2101" t="s">
        <v>2383</v>
      </c>
      <c r="C55" s="1165" t="s">
        <v>3275</v>
      </c>
    </row>
    <row r="56" spans="1:4">
      <c r="A56" s="3587"/>
      <c r="B56" s="2101" t="s">
        <v>2384</v>
      </c>
      <c r="C56" s="1165" t="s">
        <v>3285</v>
      </c>
    </row>
    <row r="57" spans="1:4">
      <c r="A57" s="3587"/>
      <c r="B57" s="2101" t="s">
        <v>2385</v>
      </c>
      <c r="C57" s="1165" t="s">
        <v>3276</v>
      </c>
    </row>
    <row r="58" spans="1:4">
      <c r="A58" s="1164"/>
      <c r="B58" s="1165"/>
      <c r="C58" s="1165"/>
    </row>
    <row r="59" spans="1:4">
      <c r="A59" s="1164"/>
      <c r="B59" s="1165"/>
      <c r="C59" s="1165"/>
    </row>
    <row r="60" spans="1:4">
      <c r="A60" s="1164"/>
      <c r="B60" s="1165"/>
      <c r="C60" s="1165"/>
    </row>
    <row r="61" spans="1:4">
      <c r="A61" s="1164"/>
      <c r="B61" s="1165"/>
      <c r="C61" s="1165"/>
    </row>
    <row r="62" spans="1:4">
      <c r="A62" s="1164"/>
      <c r="B62" s="1165"/>
      <c r="C62" s="1165"/>
    </row>
    <row r="63" spans="1:4">
      <c r="A63" s="1164"/>
      <c r="B63" s="1165"/>
      <c r="C63" s="1165"/>
    </row>
    <row r="64" spans="1:4">
      <c r="A64" s="1164"/>
      <c r="B64" s="1165"/>
      <c r="C64" s="1165"/>
    </row>
    <row r="65" spans="1:3">
      <c r="A65" s="1164"/>
      <c r="B65" s="1165"/>
      <c r="C65" s="1165"/>
    </row>
    <row r="66" spans="1:3">
      <c r="A66" s="1164"/>
      <c r="B66" s="1165"/>
      <c r="C66" s="1165"/>
    </row>
    <row r="67" spans="1:3">
      <c r="A67" s="1164"/>
      <c r="B67" s="1165"/>
      <c r="C67" s="1165"/>
    </row>
    <row r="68" spans="1:3">
      <c r="A68" s="1164"/>
      <c r="B68" s="1165"/>
      <c r="C68" s="1165"/>
    </row>
    <row r="69" spans="1:3">
      <c r="A69" s="1164"/>
      <c r="B69" s="1165"/>
      <c r="C69" s="1165"/>
    </row>
    <row r="70" spans="1:3">
      <c r="A70" s="1164"/>
      <c r="B70" s="1165"/>
      <c r="C70" s="1165"/>
    </row>
    <row r="71" spans="1:3">
      <c r="A71" s="1164"/>
      <c r="B71" s="1165"/>
      <c r="C71" s="1165"/>
    </row>
    <row r="72" spans="1:3">
      <c r="A72" s="1164"/>
      <c r="B72" s="1165"/>
      <c r="C72" s="1165"/>
    </row>
    <row r="73" spans="1:3">
      <c r="A73" s="1164"/>
      <c r="B73" s="1165"/>
      <c r="C73" s="1165"/>
    </row>
    <row r="74" spans="1:3">
      <c r="A74" s="1164"/>
      <c r="B74" s="1165"/>
      <c r="C74" s="1165"/>
    </row>
    <row r="75" spans="1:3">
      <c r="A75" s="1164"/>
      <c r="B75" s="1165"/>
      <c r="C75" s="1165"/>
    </row>
    <row r="76" spans="1:3">
      <c r="A76" s="1164"/>
      <c r="B76" s="1165"/>
      <c r="C76" s="1165"/>
    </row>
    <row r="77" spans="1:3">
      <c r="A77" s="1164"/>
      <c r="B77" s="1165"/>
      <c r="C77" s="1165"/>
    </row>
    <row r="78" spans="1:3">
      <c r="A78" s="1164"/>
      <c r="B78" s="1165"/>
      <c r="C78" s="1165"/>
    </row>
    <row r="79" spans="1:3">
      <c r="A79" s="1164"/>
      <c r="B79" s="1165"/>
      <c r="C79" s="1165"/>
    </row>
    <row r="80" spans="1:3">
      <c r="A80" s="1164"/>
      <c r="B80" s="1165"/>
      <c r="C80" s="1165"/>
    </row>
    <row r="81" spans="1:3">
      <c r="A81" s="1164"/>
      <c r="B81" s="1165"/>
      <c r="C81" s="1165"/>
    </row>
    <row r="82" spans="1:3">
      <c r="A82" s="1164"/>
      <c r="B82" s="1165"/>
      <c r="C82" s="1165"/>
    </row>
    <row r="83" spans="1:3">
      <c r="A83" s="1164"/>
      <c r="B83" s="1165"/>
      <c r="C83" s="1165"/>
    </row>
    <row r="84" spans="1:3">
      <c r="A84" s="1164"/>
      <c r="B84" s="1165"/>
      <c r="C84" s="1165"/>
    </row>
    <row r="85" spans="1:3">
      <c r="A85" s="1164"/>
      <c r="B85" s="1165"/>
      <c r="C85" s="1165"/>
    </row>
    <row r="86" spans="1:3">
      <c r="A86" s="1164"/>
      <c r="B86" s="1165"/>
      <c r="C86" s="1165"/>
    </row>
    <row r="87" spans="1:3">
      <c r="A87" s="1164"/>
      <c r="B87" s="1165"/>
      <c r="C87" s="1165"/>
    </row>
    <row r="88" spans="1:3">
      <c r="A88" s="1164"/>
      <c r="B88" s="1165"/>
      <c r="C88" s="1165"/>
    </row>
    <row r="89" spans="1:3">
      <c r="A89" s="1164"/>
      <c r="B89" s="1165"/>
      <c r="C89" s="1165"/>
    </row>
    <row r="90" spans="1:3">
      <c r="A90" s="1164"/>
      <c r="B90" s="1165"/>
      <c r="C90" s="1165"/>
    </row>
    <row r="91" spans="1:3">
      <c r="A91" s="1164"/>
      <c r="B91" s="1165"/>
      <c r="C91" s="1165"/>
    </row>
    <row r="92" spans="1:3">
      <c r="A92" s="1164"/>
      <c r="B92" s="1165"/>
      <c r="C92" s="1165"/>
    </row>
    <row r="93" spans="1:3">
      <c r="A93" s="1164"/>
      <c r="B93" s="1165"/>
      <c r="C93" s="1165"/>
    </row>
    <row r="94" spans="1:3">
      <c r="A94" s="1164"/>
      <c r="B94" s="1165"/>
      <c r="C94" s="1165"/>
    </row>
    <row r="95" spans="1:3">
      <c r="A95" s="1164"/>
      <c r="B95" s="1165"/>
      <c r="C95" s="1165"/>
    </row>
    <row r="96" spans="1:3">
      <c r="A96" s="1164"/>
      <c r="B96" s="1165"/>
      <c r="C96" s="1165"/>
    </row>
    <row r="97" spans="1:3">
      <c r="A97" s="1164"/>
      <c r="B97" s="1165"/>
      <c r="C97" s="1165"/>
    </row>
    <row r="98" spans="1:3">
      <c r="A98" s="1164"/>
      <c r="B98" s="1165"/>
      <c r="C98" s="1165"/>
    </row>
    <row r="99" spans="1:3">
      <c r="A99" s="1164"/>
      <c r="B99" s="1165"/>
      <c r="C99" s="1165"/>
    </row>
    <row r="100" spans="1:3">
      <c r="A100" s="1164"/>
      <c r="B100" s="1165"/>
      <c r="C100" s="1165"/>
    </row>
    <row r="101" spans="1:3">
      <c r="A101" s="1164"/>
      <c r="B101" s="1165"/>
      <c r="C101" s="1165"/>
    </row>
    <row r="102" spans="1:3">
      <c r="A102" s="1164"/>
      <c r="B102" s="1165"/>
      <c r="C102" s="1165"/>
    </row>
    <row r="103" spans="1:3">
      <c r="A103" s="1164"/>
      <c r="B103" s="1165"/>
      <c r="C103" s="1165"/>
    </row>
    <row r="104" spans="1:3">
      <c r="A104" s="1164"/>
      <c r="B104" s="1165"/>
      <c r="C104" s="1165"/>
    </row>
    <row r="105" spans="1:3">
      <c r="A105" s="1164"/>
      <c r="B105" s="1165"/>
      <c r="C105" s="1165"/>
    </row>
    <row r="106" spans="1:3">
      <c r="A106" s="1164"/>
      <c r="B106" s="1165"/>
      <c r="C106" s="1165"/>
    </row>
    <row r="107" spans="1:3">
      <c r="A107" s="1164"/>
      <c r="B107" s="1165"/>
      <c r="C107" s="1165"/>
    </row>
    <row r="108" spans="1:3">
      <c r="A108" s="1164"/>
      <c r="B108" s="1165"/>
      <c r="C108" s="1165"/>
    </row>
    <row r="109" spans="1:3">
      <c r="A109" s="1164"/>
      <c r="B109" s="1165"/>
      <c r="C109" s="1165"/>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20" sqref="K20:K22"/>
    </sheetView>
  </sheetViews>
  <sheetFormatPr defaultColWidth="10" defaultRowHeight="18" customHeight="1"/>
  <cols>
    <col min="1" max="1" width="14.875" style="1206" customWidth="1"/>
    <col min="2" max="2" width="10" style="1206" customWidth="1"/>
    <col min="3" max="3" width="11.5" style="1206" customWidth="1"/>
    <col min="4" max="6" width="10" style="1206" customWidth="1"/>
    <col min="7" max="7" width="10.75" style="1206" customWidth="1"/>
    <col min="8" max="8" width="10" style="1206" customWidth="1"/>
    <col min="9" max="9" width="11.125" style="1166" customWidth="1"/>
    <col min="10" max="10" width="10" style="1206" customWidth="1"/>
    <col min="11" max="11" width="10" style="2113" customWidth="1"/>
    <col min="12" max="13" width="10" style="2013" customWidth="1"/>
    <col min="14" max="14" width="10" style="1206" customWidth="1"/>
    <col min="15" max="15" width="10" style="1166" customWidth="1"/>
    <col min="16" max="17" width="10" style="1206"/>
    <col min="18" max="18" width="10" style="1206" customWidth="1"/>
    <col min="19" max="16384" width="10" style="1206"/>
  </cols>
  <sheetData>
    <row r="1" spans="1:19" ht="38.25" customHeight="1" thickBot="1">
      <c r="A1" s="1950" t="s">
        <v>2495</v>
      </c>
      <c r="B1" s="3588" t="str">
        <f>IF(B10="北京市","北京市",C10)&amp;F10&amp;IF(结果表!G1="在建","出让国有建设用地使用权及在建建筑物",IF(结果表!G1="土地","出让国有建设用地使用权",))&amp;B9&amp;"预评估"</f>
        <v>香河香河开发区第一城城内房地产抵押价值预评估</v>
      </c>
      <c r="C1" s="3589"/>
      <c r="D1" s="3589"/>
      <c r="E1" s="3589"/>
      <c r="F1" s="3589"/>
      <c r="G1" s="3589"/>
      <c r="H1" s="3589"/>
      <c r="I1" s="3590"/>
      <c r="J1" s="2002"/>
      <c r="K1" s="2108"/>
      <c r="L1" s="2003"/>
      <c r="M1" s="2003"/>
      <c r="N1" s="1200"/>
      <c r="O1" s="11"/>
      <c r="P1" s="1200"/>
      <c r="Q1" s="1200"/>
      <c r="R1" s="1200"/>
      <c r="S1" s="1199" t="str">
        <f>IF(B10="北京市","北京市",C10)&amp;F10&amp;IF(结果表!G1="在建","出让国有建设用地使用权及在建建筑物房地产抵押价值",IF(结果表!G1="土地","出让国有建设用地使用权抵押价值",B9))</f>
        <v>香河香河开发区第一城城内房地产抵押价值</v>
      </c>
    </row>
    <row r="2" spans="1:19" ht="18" customHeight="1">
      <c r="A2" s="2002" t="s">
        <v>2496</v>
      </c>
      <c r="B2" s="1949"/>
      <c r="C2" s="2004"/>
      <c r="D2" s="2002"/>
      <c r="E2" s="2005"/>
      <c r="F2" s="2005"/>
      <c r="G2" s="2002"/>
      <c r="H2" s="2002"/>
      <c r="I2" s="2002"/>
      <c r="J2" s="2002"/>
      <c r="K2" s="2108"/>
      <c r="L2" s="2003"/>
      <c r="M2" s="2003"/>
      <c r="N2" s="1200"/>
      <c r="O2" s="11"/>
      <c r="P2" s="1200"/>
      <c r="Q2" s="1200"/>
      <c r="R2" s="1200"/>
      <c r="S2" s="1199" t="str">
        <f>IF(B10="北京市","北京市",C10)&amp;F10&amp;IF(结果表!G1="在建","出让国有建设用地使用权及在建建筑物房地产",IF(结果表!G1="土地","出让国有建设用地使用权","房地产"))</f>
        <v>香河香河开发区第一城城内房地产</v>
      </c>
    </row>
    <row r="3" spans="1:19" ht="18" customHeight="1">
      <c r="A3" s="1947" t="s">
        <v>2364</v>
      </c>
      <c r="B3" s="3256">
        <v>42906</v>
      </c>
      <c r="C3" s="1929" t="s">
        <v>2365</v>
      </c>
      <c r="D3" s="3256">
        <f>B3</f>
        <v>42906</v>
      </c>
      <c r="E3" s="2002"/>
      <c r="F3" s="2002"/>
      <c r="G3" s="2002"/>
      <c r="H3" s="2002"/>
      <c r="I3" s="2002"/>
      <c r="J3" s="2002"/>
      <c r="K3" s="2108"/>
      <c r="L3" s="2003"/>
      <c r="M3" s="2003"/>
      <c r="N3" s="1200"/>
      <c r="O3" s="11"/>
      <c r="P3" s="1200"/>
      <c r="Q3" s="1200"/>
      <c r="R3" s="1200"/>
      <c r="S3" s="1199"/>
    </row>
    <row r="4" spans="1:19" ht="18" customHeight="1" thickBot="1">
      <c r="A4" s="1930" t="s">
        <v>2366</v>
      </c>
      <c r="B4" s="1931" t="s">
        <v>3109</v>
      </c>
      <c r="C4" s="1932">
        <f ca="1">SUMIF(注册房地产估价师,B4,估价师及机构信息!B3:B24)</f>
        <v>1119970066</v>
      </c>
      <c r="D4" s="1931" t="s">
        <v>3415</v>
      </c>
      <c r="E4" s="1933">
        <f ca="1">SUMIF(注册房地产估价师,D4,估价师及机构信息!B3:B24)</f>
        <v>1120000080</v>
      </c>
      <c r="F4" s="1931" t="s">
        <v>752</v>
      </c>
      <c r="G4" s="1961">
        <f>SUMIF(注册房地产估价师,F4,估价师及机构信息!B3:B24)</f>
        <v>0</v>
      </c>
      <c r="H4" s="1931" t="s">
        <v>752</v>
      </c>
      <c r="I4" s="2906">
        <f>SUMIF(注册房地产估价师,H4,估价师及机构信息!B3:B24)</f>
        <v>0</v>
      </c>
      <c r="J4" s="2007"/>
      <c r="K4" s="2109" t="str">
        <f ca="1">CONCATENATE(B4,"（注册号：",C4,")、",D4,"（注册号：",E4,")")</f>
        <v>梁津（注册号：1119970066)、欧红伟（注册号：1120000080)</v>
      </c>
      <c r="L4" s="2003"/>
      <c r="M4" s="2003"/>
      <c r="N4" s="1200"/>
      <c r="O4" s="11"/>
      <c r="P4" s="1200"/>
      <c r="Q4" s="1200"/>
      <c r="R4" s="1200"/>
      <c r="S4" s="1199"/>
    </row>
    <row r="5" spans="1:19" ht="18" customHeight="1" thickTop="1">
      <c r="A5" s="1934" t="s">
        <v>2459</v>
      </c>
      <c r="B5" s="2045" t="s">
        <v>3694</v>
      </c>
      <c r="C5" s="2046"/>
      <c r="D5" s="2008"/>
      <c r="E5" s="2007"/>
      <c r="F5" s="2007"/>
      <c r="G5" s="2007"/>
      <c r="H5" s="2007"/>
      <c r="I5" s="2007"/>
      <c r="J5" s="2007"/>
      <c r="K5" s="2109" t="str">
        <f>IF(F4="——","",IF(H4="——",F4&amp;"（注册号："&amp;G4&amp;")",CONCATENATE(F4,"（注册号：",G4,")、",H4,"（注册号：",I4,")")))</f>
        <v/>
      </c>
      <c r="L5" s="2003"/>
      <c r="M5" s="2003"/>
      <c r="N5" s="1200"/>
      <c r="O5" s="11"/>
      <c r="P5" s="1200"/>
      <c r="Q5" s="1200"/>
      <c r="R5" s="1200"/>
    </row>
    <row r="6" spans="1:19" ht="18" customHeight="1">
      <c r="A6" s="1935" t="s">
        <v>2460</v>
      </c>
      <c r="B6" s="2047" t="s">
        <v>3414</v>
      </c>
      <c r="C6" s="2048"/>
      <c r="D6" s="2009"/>
      <c r="E6" s="2005"/>
      <c r="F6" s="2007"/>
      <c r="G6" s="2007"/>
      <c r="H6" s="2007"/>
      <c r="I6" s="2007"/>
      <c r="J6" s="2007"/>
      <c r="K6" s="2114" t="str">
        <f>IF(COUNTIF(B6,"*上海银行*"),"上海银行","")</f>
        <v/>
      </c>
      <c r="L6" s="2003"/>
      <c r="M6" s="2003"/>
      <c r="N6" s="1200"/>
      <c r="O6" s="11"/>
      <c r="P6" s="1200"/>
      <c r="Q6" s="1200"/>
      <c r="R6" s="1200"/>
    </row>
    <row r="7" spans="1:19" ht="18" customHeight="1">
      <c r="A7" s="1936" t="s">
        <v>3280</v>
      </c>
      <c r="B7" s="2045" t="s">
        <v>2497</v>
      </c>
      <c r="C7" s="2048"/>
      <c r="D7" s="2009"/>
      <c r="E7" s="2005"/>
      <c r="F7" s="2007"/>
      <c r="G7" s="2007"/>
      <c r="H7" s="2007"/>
      <c r="I7" s="2007"/>
      <c r="J7" s="2007"/>
      <c r="K7" s="2110"/>
      <c r="L7" s="2003"/>
      <c r="M7" s="2003"/>
      <c r="N7" s="1200"/>
      <c r="O7" s="11"/>
      <c r="P7" s="1200"/>
      <c r="Q7" s="1200"/>
      <c r="R7" s="1200"/>
    </row>
    <row r="8" spans="1:19" ht="18" customHeight="1">
      <c r="A8" s="1936" t="s">
        <v>2312</v>
      </c>
      <c r="B8" s="2041" t="s">
        <v>2461</v>
      </c>
      <c r="C8" s="2010"/>
      <c r="D8" s="3591" t="s">
        <v>2375</v>
      </c>
      <c r="E8" s="2042" t="s">
        <v>3416</v>
      </c>
      <c r="F8" s="2043"/>
      <c r="G8" s="2002"/>
      <c r="H8" s="2002"/>
      <c r="I8" s="2002"/>
      <c r="J8" s="2007"/>
      <c r="K8" s="2109"/>
      <c r="L8" s="2003"/>
      <c r="M8" s="2003"/>
      <c r="N8" s="1200"/>
      <c r="O8" s="11"/>
      <c r="P8" s="1200"/>
      <c r="Q8" s="1200"/>
      <c r="R8" s="1200"/>
    </row>
    <row r="9" spans="1:19" ht="18" customHeight="1" thickBot="1">
      <c r="A9" s="1961" t="s">
        <v>2313</v>
      </c>
      <c r="B9" s="1962" t="s">
        <v>3416</v>
      </c>
      <c r="C9" s="2011"/>
      <c r="D9" s="3592"/>
      <c r="E9" s="1962" t="s">
        <v>752</v>
      </c>
      <c r="F9" s="2909"/>
      <c r="G9" s="2006"/>
      <c r="H9" s="2006"/>
      <c r="I9" s="2006"/>
      <c r="J9" s="2007"/>
      <c r="K9" s="2110"/>
      <c r="L9" s="2003"/>
      <c r="M9" s="2003"/>
      <c r="N9" s="1200"/>
      <c r="O9" s="11"/>
      <c r="P9" s="1200"/>
      <c r="Q9" s="1200"/>
      <c r="R9" s="1200"/>
    </row>
    <row r="10" spans="1:19" ht="18" customHeight="1" thickTop="1">
      <c r="A10" s="2016" t="s">
        <v>2431</v>
      </c>
      <c r="B10" s="2062" t="s">
        <v>3417</v>
      </c>
      <c r="C10" s="2044" t="s">
        <v>3418</v>
      </c>
      <c r="D10" s="2008"/>
      <c r="E10" s="1946" t="s">
        <v>2314</v>
      </c>
      <c r="F10" s="1959" t="s">
        <v>3419</v>
      </c>
      <c r="G10" s="2907"/>
      <c r="H10" s="2908"/>
      <c r="I10" s="2008"/>
      <c r="J10" s="2007"/>
      <c r="K10" s="2110"/>
      <c r="L10" s="2003"/>
      <c r="M10" s="2003"/>
      <c r="N10" s="1200"/>
      <c r="O10" s="11"/>
      <c r="P10" s="1200"/>
      <c r="Q10" s="1200"/>
      <c r="R10" s="1200"/>
    </row>
    <row r="11" spans="1:19" ht="18" customHeight="1">
      <c r="A11" s="1965" t="s">
        <v>2432</v>
      </c>
      <c r="B11" s="2061" t="s">
        <v>1485</v>
      </c>
      <c r="C11" s="2045" t="s">
        <v>2497</v>
      </c>
      <c r="D11" s="2012"/>
      <c r="E11" s="2007"/>
      <c r="F11" s="2007"/>
      <c r="G11" s="2007"/>
      <c r="H11" s="2007"/>
      <c r="I11" s="2007"/>
      <c r="J11" s="2007"/>
      <c r="K11" s="2110"/>
      <c r="L11" s="2003"/>
      <c r="M11" s="2003"/>
      <c r="N11" s="1200"/>
      <c r="O11" s="11"/>
      <c r="P11" s="1200"/>
      <c r="Q11" s="1200"/>
      <c r="R11" s="1200"/>
    </row>
    <row r="12" spans="1:19" ht="18" customHeight="1">
      <c r="A12" s="2060" t="s">
        <v>2458</v>
      </c>
      <c r="B12" s="2061" t="s">
        <v>2386</v>
      </c>
      <c r="C12" s="2019" t="s">
        <v>2463</v>
      </c>
      <c r="D12" s="2031" t="s">
        <v>2306</v>
      </c>
      <c r="E12" s="2031" t="s">
        <v>3114</v>
      </c>
      <c r="F12" s="2031" t="s">
        <v>3115</v>
      </c>
      <c r="G12" s="2031" t="s">
        <v>3116</v>
      </c>
      <c r="H12" s="2031" t="s">
        <v>3117</v>
      </c>
      <c r="I12" s="2031" t="s">
        <v>3118</v>
      </c>
      <c r="J12" s="2007"/>
      <c r="K12" s="2110"/>
      <c r="L12" s="2003"/>
      <c r="M12" s="2003"/>
      <c r="N12" s="1200"/>
      <c r="O12" s="11"/>
      <c r="P12" s="1200"/>
      <c r="Q12" s="1200"/>
      <c r="R12" s="1200"/>
    </row>
    <row r="13" spans="1:19" ht="18" customHeight="1">
      <c r="A13" s="2015"/>
      <c r="B13" s="2090"/>
      <c r="C13" s="2091" t="s">
        <v>2462</v>
      </c>
      <c r="D13" s="3255"/>
      <c r="E13" s="3311">
        <v>57506</v>
      </c>
      <c r="F13" s="3255"/>
      <c r="G13" s="3255"/>
      <c r="H13" s="3255"/>
      <c r="I13" s="2056"/>
      <c r="J13" s="2007"/>
      <c r="K13" s="2110"/>
      <c r="L13" s="2003"/>
      <c r="M13" s="2003"/>
      <c r="N13" s="1200"/>
      <c r="O13" s="11"/>
      <c r="P13" s="1200"/>
      <c r="Q13" s="1200"/>
      <c r="R13" s="1200"/>
    </row>
    <row r="14" spans="1:19" ht="18" customHeight="1">
      <c r="A14" s="2015"/>
      <c r="B14" s="2090"/>
      <c r="C14" s="2091" t="s">
        <v>2464</v>
      </c>
      <c r="D14" s="2059">
        <v>70</v>
      </c>
      <c r="E14" s="2059">
        <v>40</v>
      </c>
      <c r="F14" s="2059">
        <v>50</v>
      </c>
      <c r="G14" s="2059">
        <v>50</v>
      </c>
      <c r="H14" s="2059">
        <v>50</v>
      </c>
      <c r="I14" s="2059">
        <v>50</v>
      </c>
      <c r="J14" s="2007"/>
      <c r="K14" s="2111"/>
      <c r="L14" s="2003"/>
      <c r="M14" s="2003"/>
      <c r="N14" s="1200"/>
      <c r="O14" s="11"/>
      <c r="P14" s="1200"/>
      <c r="Q14" s="1200"/>
      <c r="R14" s="1200"/>
    </row>
    <row r="15" spans="1:19" ht="18" customHeight="1">
      <c r="A15" s="2016"/>
      <c r="B15" s="2092"/>
      <c r="C15" s="2091" t="s">
        <v>2465</v>
      </c>
      <c r="D15" s="2058" t="str">
        <f>IF(B12="出让",IF(D13="","",ROUNDDOWN(MIN((D13-$D$3)/365,D14),2)),D14)</f>
        <v/>
      </c>
      <c r="E15" s="2058">
        <f>IF(B12="出让",IF(E13="","",ROUNDDOWN(MIN((E13-$D$3)/365,E14),2)),E14)</f>
        <v>40</v>
      </c>
      <c r="F15" s="2058" t="str">
        <f>IF(B12="出让",IF(F13="","",ROUNDDOWN(MIN((F13-$D$3)/365,F14),2)),F14)</f>
        <v/>
      </c>
      <c r="G15" s="2058" t="str">
        <f>IF(B12="出让",IF(G13="","",ROUNDDOWN(MIN((G13-$D$3)/365,G14),2)),G14)</f>
        <v/>
      </c>
      <c r="H15" s="2058" t="str">
        <f>IF(B12="出让",IF(H13="","",ROUNDDOWN(MIN((H13-$D$3)/365,H14),2)),H14)</f>
        <v/>
      </c>
      <c r="I15" s="2058" t="str">
        <f>IF(B12="出让",IF(I13="","",ROUNDDOWN(MIN((I13-$D$3)/365,I14),2)),I14)</f>
        <v/>
      </c>
      <c r="J15" s="2007"/>
      <c r="K15" s="2112"/>
      <c r="L15" s="1234"/>
      <c r="M15" s="1234"/>
      <c r="N15" s="2027"/>
      <c r="O15" s="1234"/>
      <c r="P15" s="2027"/>
      <c r="Q15" s="1200"/>
      <c r="R15" s="1200"/>
    </row>
    <row r="16" spans="1:19" ht="30.75" customHeight="1">
      <c r="A16" s="1946" t="s">
        <v>2466</v>
      </c>
      <c r="B16" s="3598" t="s">
        <v>3420</v>
      </c>
      <c r="C16" s="3599"/>
      <c r="D16" s="3600"/>
      <c r="E16" s="1963" t="s">
        <v>2387</v>
      </c>
      <c r="F16" s="3601" t="s">
        <v>4074</v>
      </c>
      <c r="G16" s="3602"/>
      <c r="H16" s="3602"/>
      <c r="I16" s="3603"/>
      <c r="J16" s="1200"/>
      <c r="K16" s="2112"/>
      <c r="L16" s="1234"/>
      <c r="M16" s="1234"/>
      <c r="N16" s="2027"/>
      <c r="O16" s="1234"/>
      <c r="P16" s="2027"/>
      <c r="Q16" s="1200"/>
      <c r="R16" s="1200"/>
    </row>
    <row r="17" spans="1:22" ht="18" customHeight="1">
      <c r="A17" s="2014" t="s">
        <v>2315</v>
      </c>
      <c r="B17" s="1947" t="s">
        <v>2316</v>
      </c>
      <c r="C17" s="2093">
        <f>'数据-汇总表'!E3</f>
        <v>494831.87</v>
      </c>
      <c r="D17" s="1948" t="s">
        <v>2317</v>
      </c>
      <c r="E17" s="3604" t="s">
        <v>3421</v>
      </c>
      <c r="F17" s="3605"/>
      <c r="G17" s="3605"/>
      <c r="H17" s="3605"/>
      <c r="I17" s="3606"/>
      <c r="J17" s="1200"/>
      <c r="K17" s="2713"/>
      <c r="L17" s="1234"/>
      <c r="M17" s="1234"/>
      <c r="N17" s="2027"/>
      <c r="O17" s="1234"/>
      <c r="P17" s="2027"/>
      <c r="Q17" s="1200"/>
      <c r="R17" s="1200"/>
      <c r="S17" s="1200"/>
      <c r="T17" s="1200"/>
      <c r="U17" s="1200"/>
      <c r="V17" s="1200"/>
    </row>
    <row r="18" spans="1:22" ht="36" customHeight="1" thickBot="1">
      <c r="A18" s="2915" t="s">
        <v>3110</v>
      </c>
      <c r="B18" s="1930" t="s">
        <v>2318</v>
      </c>
      <c r="C18" s="2916">
        <f>'数据-汇总表'!D3</f>
        <v>619634</v>
      </c>
      <c r="D18" s="2917" t="s">
        <v>2317</v>
      </c>
      <c r="E18" s="3607" t="s">
        <v>3422</v>
      </c>
      <c r="F18" s="3608"/>
      <c r="G18" s="3608"/>
      <c r="H18" s="3608"/>
      <c r="I18" s="3609"/>
      <c r="J18" s="1200"/>
      <c r="K18" s="2713"/>
      <c r="L18" s="1234"/>
      <c r="M18" s="1234"/>
      <c r="N18" s="2027"/>
      <c r="O18" s="1234"/>
      <c r="P18" s="2027"/>
      <c r="Q18" s="1200"/>
      <c r="R18" s="1200"/>
      <c r="S18" s="1200"/>
      <c r="T18" s="1200"/>
      <c r="U18" s="1200"/>
      <c r="V18" s="1200"/>
    </row>
    <row r="19" spans="1:22" ht="18" customHeight="1" thickTop="1" thickBot="1">
      <c r="A19" s="2914" t="s">
        <v>2412</v>
      </c>
      <c r="B19" s="2067" t="s">
        <v>2413</v>
      </c>
      <c r="C19" s="2068" t="s">
        <v>39</v>
      </c>
      <c r="D19" s="2050" t="s">
        <v>2416</v>
      </c>
      <c r="E19" s="2049" t="s">
        <v>39</v>
      </c>
      <c r="F19" s="2051" t="str">
        <f>IF(AND(C19="是",E19="否"),"是否提供他项权证或相关说明","")</f>
        <v/>
      </c>
      <c r="G19" s="2052" t="s">
        <v>39</v>
      </c>
      <c r="H19" s="2007"/>
      <c r="I19" s="2007"/>
      <c r="J19" s="2007"/>
      <c r="K19" s="2110"/>
      <c r="L19" s="2003"/>
      <c r="M19" s="2003"/>
      <c r="N19" s="2027"/>
      <c r="O19" s="1234"/>
      <c r="P19" s="2027"/>
      <c r="Q19" s="1200"/>
      <c r="R19" s="1200"/>
      <c r="S19" s="1200"/>
      <c r="T19" s="1200"/>
      <c r="U19" s="1200"/>
      <c r="V19" s="1200"/>
    </row>
    <row r="20" spans="1:22" ht="18" customHeight="1">
      <c r="A20" s="2069" t="s">
        <v>2417</v>
      </c>
      <c r="B20" s="3594" t="s">
        <v>2418</v>
      </c>
      <c r="C20" s="3595"/>
      <c r="D20" s="3596" t="s">
        <v>2419</v>
      </c>
      <c r="E20" s="3597"/>
      <c r="F20" s="2075" t="s">
        <v>2420</v>
      </c>
      <c r="G20" s="2007"/>
      <c r="H20" s="2007"/>
      <c r="I20" s="2007"/>
      <c r="J20" s="2007"/>
      <c r="K20" s="3593" t="s">
        <v>2415</v>
      </c>
      <c r="L20" s="262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03"/>
      <c r="N20" s="2027"/>
      <c r="O20" s="1234"/>
      <c r="P20" s="2027"/>
      <c r="Q20" s="1200"/>
      <c r="R20" s="1200"/>
      <c r="S20" s="1200"/>
      <c r="T20" s="1200"/>
      <c r="U20" s="1200"/>
      <c r="V20" s="1200"/>
    </row>
    <row r="21" spans="1:22" ht="18" customHeight="1">
      <c r="A21" s="2069"/>
      <c r="B21" s="2070" t="s">
        <v>2421</v>
      </c>
      <c r="C21" s="2039" t="s">
        <v>2423</v>
      </c>
      <c r="D21" s="1996"/>
      <c r="E21" s="2040"/>
      <c r="F21" s="1985"/>
      <c r="G21" s="2007"/>
      <c r="H21" s="2007"/>
      <c r="I21" s="2007"/>
      <c r="J21" s="2007"/>
      <c r="K21" s="3593"/>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3"/>
      <c r="N21" s="2027"/>
      <c r="O21" s="1234"/>
      <c r="P21" s="2027"/>
      <c r="Q21" s="1200"/>
      <c r="R21" s="1200"/>
      <c r="S21" s="1200"/>
      <c r="T21" s="1200"/>
      <c r="U21" s="1200"/>
      <c r="V21" s="1200"/>
    </row>
    <row r="22" spans="1:22" ht="18" customHeight="1" thickBot="1">
      <c r="A22" s="2069"/>
      <c r="B22" s="2071" t="s">
        <v>2422</v>
      </c>
      <c r="C22" s="2039" t="s">
        <v>2423</v>
      </c>
      <c r="D22" s="2002"/>
      <c r="E22" s="2002"/>
      <c r="F22" s="2076"/>
      <c r="G22" s="2007"/>
      <c r="H22" s="2007"/>
      <c r="I22" s="2007"/>
      <c r="J22" s="2007"/>
      <c r="K22" s="3593"/>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3"/>
      <c r="N22" s="2027"/>
      <c r="O22" s="1234"/>
      <c r="P22" s="2027"/>
      <c r="Q22" s="1200"/>
      <c r="R22" s="1200"/>
      <c r="S22" s="1200"/>
      <c r="T22" s="1200"/>
      <c r="U22" s="1200"/>
      <c r="V22" s="1200"/>
    </row>
    <row r="23" spans="1:22" ht="18" customHeight="1">
      <c r="A23" s="1984" t="s">
        <v>2424</v>
      </c>
      <c r="B23" s="2072" t="s">
        <v>2425</v>
      </c>
      <c r="C23" s="2073"/>
      <c r="D23" s="1986" t="s">
        <v>2425</v>
      </c>
      <c r="E23" s="1994"/>
      <c r="F23" s="2076"/>
      <c r="G23" s="2007"/>
      <c r="H23" s="2007"/>
      <c r="I23" s="2007"/>
      <c r="J23" s="2007"/>
      <c r="K23" s="226"/>
      <c r="L23" s="2626"/>
      <c r="M23" s="2003"/>
      <c r="N23" s="2027"/>
      <c r="O23" s="1234"/>
      <c r="P23" s="2027"/>
      <c r="Q23" s="1200"/>
      <c r="R23" s="1200"/>
      <c r="S23" s="1200"/>
      <c r="T23" s="1200"/>
      <c r="U23" s="1200"/>
      <c r="V23" s="1200"/>
    </row>
    <row r="24" spans="1:22" ht="18" customHeight="1">
      <c r="A24" s="1987"/>
      <c r="B24" s="2072" t="s">
        <v>2426</v>
      </c>
      <c r="C24" s="2074"/>
      <c r="D24" s="1984" t="s">
        <v>2426</v>
      </c>
      <c r="E24" s="1995"/>
      <c r="F24" s="2076"/>
      <c r="G24" s="2007"/>
      <c r="H24" s="2007"/>
      <c r="I24" s="2007"/>
      <c r="J24" s="2007"/>
      <c r="K24" s="226"/>
      <c r="L24" s="2626"/>
      <c r="M24" s="2003"/>
      <c r="N24" s="2027"/>
      <c r="O24" s="1234"/>
      <c r="P24" s="2027"/>
      <c r="Q24" s="1200"/>
      <c r="R24" s="1200"/>
      <c r="S24" s="1200"/>
      <c r="T24" s="1200"/>
      <c r="U24" s="1200"/>
      <c r="V24" s="1200"/>
    </row>
    <row r="25" spans="1:22" ht="18" customHeight="1">
      <c r="A25" s="1987"/>
      <c r="B25" s="2072" t="s">
        <v>2427</v>
      </c>
      <c r="C25" s="2074"/>
      <c r="D25" s="1984" t="s">
        <v>2427</v>
      </c>
      <c r="E25" s="1995"/>
      <c r="F25" s="2076"/>
      <c r="G25" s="2007"/>
      <c r="H25" s="2007"/>
      <c r="I25" s="2007"/>
      <c r="J25" s="2007"/>
      <c r="K25" s="2110"/>
      <c r="L25" s="2003"/>
      <c r="M25" s="2003"/>
      <c r="N25" s="2027"/>
      <c r="O25" s="1234"/>
      <c r="P25" s="2027"/>
      <c r="Q25" s="1200"/>
      <c r="R25" s="1200"/>
      <c r="S25" s="1200"/>
      <c r="T25" s="1200"/>
      <c r="U25" s="1200"/>
      <c r="V25" s="1200"/>
    </row>
    <row r="26" spans="1:22" ht="18" customHeight="1" thickBot="1">
      <c r="A26" s="2064"/>
      <c r="B26" s="2077" t="s">
        <v>2428</v>
      </c>
      <c r="C26" s="2078"/>
      <c r="D26" s="2066" t="s">
        <v>2428</v>
      </c>
      <c r="E26" s="2065"/>
      <c r="F26" s="2079"/>
      <c r="G26" s="2006"/>
      <c r="H26" s="2006"/>
      <c r="I26" s="2006"/>
      <c r="J26" s="2007"/>
      <c r="K26" s="2110"/>
      <c r="L26" s="2003"/>
      <c r="M26" s="2003"/>
      <c r="N26" s="2027"/>
      <c r="O26" s="1234"/>
      <c r="P26" s="2027"/>
      <c r="Q26" s="1200"/>
      <c r="R26" s="1200"/>
      <c r="S26" s="1200"/>
      <c r="T26" s="1200"/>
      <c r="U26" s="1200"/>
      <c r="V26" s="1200"/>
    </row>
    <row r="27" spans="1:22" ht="18" customHeight="1" thickTop="1">
      <c r="A27" s="3611" t="s">
        <v>2433</v>
      </c>
      <c r="B27" s="2016" t="s">
        <v>2434</v>
      </c>
      <c r="C27" s="1937" t="s">
        <v>3423</v>
      </c>
      <c r="D27" s="1938"/>
      <c r="E27" s="2007"/>
      <c r="F27" s="2007"/>
      <c r="G27" s="2007"/>
      <c r="H27" s="2007"/>
      <c r="I27" s="2007"/>
      <c r="J27" s="1200"/>
      <c r="K27" s="2112"/>
      <c r="L27" s="1234"/>
      <c r="M27" s="1234"/>
      <c r="N27" s="2027"/>
      <c r="O27" s="1234"/>
      <c r="P27" s="2027"/>
      <c r="Q27" s="1200"/>
      <c r="R27" s="1200"/>
      <c r="S27" s="1200"/>
      <c r="T27" s="1200"/>
      <c r="U27" s="1200"/>
      <c r="V27" s="1200"/>
    </row>
    <row r="28" spans="1:22" ht="18" customHeight="1">
      <c r="A28" s="3611"/>
      <c r="B28" s="1947" t="s">
        <v>2435</v>
      </c>
      <c r="C28" s="1939" t="s">
        <v>240</v>
      </c>
      <c r="D28" s="1940"/>
      <c r="E28" s="2007"/>
      <c r="F28" s="2007"/>
      <c r="G28" s="2007"/>
      <c r="H28" s="2007"/>
      <c r="I28" s="2007"/>
      <c r="J28" s="1200"/>
      <c r="K28" s="2116"/>
      <c r="L28" s="2003"/>
      <c r="M28" s="2003"/>
      <c r="N28" s="1200"/>
      <c r="O28" s="11"/>
      <c r="P28" s="1200"/>
      <c r="Q28" s="1200"/>
      <c r="R28" s="1200"/>
      <c r="S28" s="1200"/>
      <c r="T28" s="1200"/>
      <c r="U28" s="1200"/>
      <c r="V28" s="1200"/>
    </row>
    <row r="29" spans="1:22" ht="18" customHeight="1">
      <c r="A29" s="3611"/>
      <c r="B29" s="1947" t="s">
        <v>2436</v>
      </c>
      <c r="C29" s="1941" t="s">
        <v>44</v>
      </c>
      <c r="D29" s="1942"/>
      <c r="E29" s="2007"/>
      <c r="F29" s="2007"/>
      <c r="G29" s="2007"/>
      <c r="H29" s="2007"/>
      <c r="I29" s="2007"/>
      <c r="J29" s="1200"/>
      <c r="K29" s="2116"/>
      <c r="L29" s="2003"/>
      <c r="M29" s="2003"/>
      <c r="N29" s="1200"/>
      <c r="O29" s="11"/>
      <c r="P29" s="1200"/>
      <c r="Q29" s="1200"/>
      <c r="R29" s="1200"/>
      <c r="S29" s="1200"/>
      <c r="T29" s="1200"/>
      <c r="U29" s="1200"/>
      <c r="V29" s="1200"/>
    </row>
    <row r="30" spans="1:22" ht="18" customHeight="1">
      <c r="A30" s="3612"/>
      <c r="B30" s="1947" t="s">
        <v>2437</v>
      </c>
      <c r="C30" s="3613"/>
      <c r="D30" s="3614"/>
      <c r="E30" s="2007"/>
      <c r="F30" s="2007"/>
      <c r="G30" s="2007"/>
      <c r="H30" s="2007"/>
      <c r="I30" s="2007"/>
      <c r="J30" s="1200"/>
      <c r="K30" s="2116"/>
      <c r="L30" s="2003"/>
      <c r="M30" s="2003"/>
      <c r="N30" s="1200"/>
      <c r="O30" s="11"/>
      <c r="P30" s="1200"/>
      <c r="Q30" s="1200"/>
      <c r="R30" s="1200"/>
      <c r="S30" s="1200"/>
      <c r="T30" s="1200"/>
      <c r="U30" s="1200"/>
      <c r="V30" s="1200"/>
    </row>
    <row r="31" spans="1:22" ht="18" customHeight="1">
      <c r="A31" s="3615" t="s">
        <v>2438</v>
      </c>
      <c r="B31" s="1943" t="s">
        <v>2221</v>
      </c>
      <c r="C31" s="1944" t="str">
        <f>IF(B31="现房","成新及维护状况正常否",IF(B31="在建","工程状态是否正常",IF(B31="土地","是否闲置","-")))</f>
        <v>成新及维护状况正常否</v>
      </c>
      <c r="D31" s="2017"/>
      <c r="E31" s="1945" t="s">
        <v>1478</v>
      </c>
      <c r="F31" s="2007"/>
      <c r="G31" s="2007"/>
      <c r="H31" s="2007"/>
      <c r="I31" s="2007"/>
      <c r="J31" s="2007"/>
      <c r="K31" s="2114"/>
      <c r="L31" s="2003"/>
      <c r="M31" s="2003"/>
      <c r="N31" s="1200"/>
      <c r="O31" s="11"/>
      <c r="P31" s="1200"/>
      <c r="Q31" s="1200"/>
      <c r="R31" s="1200"/>
      <c r="S31" s="1200"/>
      <c r="T31" s="1200"/>
      <c r="U31" s="1200"/>
      <c r="V31" s="1200"/>
    </row>
    <row r="32" spans="1:22" ht="18" customHeight="1">
      <c r="A32" s="3616"/>
      <c r="B32" s="1943" t="s">
        <v>2221</v>
      </c>
      <c r="C32" s="1944" t="str">
        <f>IF(B32="现房","成新及维护状况是否正常",IF(B32="在建","工程状态是否正常",IF(B32="土地","是否闲置","-")))</f>
        <v>成新及维护状况是否正常</v>
      </c>
      <c r="D32" s="2017"/>
      <c r="E32" s="1945"/>
      <c r="F32" s="2007"/>
      <c r="G32" s="2007"/>
      <c r="H32" s="2007"/>
      <c r="I32" s="2007"/>
      <c r="J32" s="2007"/>
      <c r="K32" s="2110"/>
      <c r="L32" s="2003"/>
      <c r="M32" s="2003"/>
      <c r="N32" s="1200"/>
      <c r="O32" s="11"/>
      <c r="P32" s="1200"/>
      <c r="Q32" s="1200"/>
      <c r="R32" s="1200"/>
      <c r="S32" s="1200"/>
      <c r="T32" s="1200"/>
      <c r="U32" s="1200"/>
      <c r="V32" s="1200"/>
    </row>
    <row r="33" spans="1:22" ht="18" customHeight="1">
      <c r="A33" s="3616"/>
      <c r="B33" s="1964"/>
      <c r="C33" s="1965" t="str">
        <f>IF(B33="现房","成新及维护状况是否正常",IF(B33="在建","工程状态是否正常",IF(B33="土地","是否闲置","-")))</f>
        <v>-</v>
      </c>
      <c r="D33" s="2018"/>
      <c r="E33" s="1966"/>
      <c r="F33" s="2007"/>
      <c r="G33" s="2007"/>
      <c r="H33" s="2007"/>
      <c r="I33" s="2007"/>
      <c r="J33" s="2007"/>
      <c r="K33" s="2110"/>
      <c r="L33" s="2003"/>
      <c r="M33" s="2003"/>
      <c r="N33" s="1200"/>
      <c r="O33" s="11"/>
      <c r="P33" s="1200"/>
      <c r="Q33" s="1200"/>
      <c r="R33" s="1200"/>
      <c r="S33" s="1200"/>
      <c r="T33" s="1200"/>
      <c r="U33" s="1200"/>
      <c r="V33" s="1200"/>
    </row>
    <row r="34" spans="1:22" ht="18" customHeight="1">
      <c r="A34" s="1947" t="s">
        <v>2388</v>
      </c>
      <c r="B34" s="1967" t="s">
        <v>2389</v>
      </c>
      <c r="C34" s="1967" t="s">
        <v>2390</v>
      </c>
      <c r="D34" s="1967" t="s">
        <v>2391</v>
      </c>
      <c r="E34" s="1967" t="s">
        <v>2392</v>
      </c>
      <c r="F34" s="1967" t="s">
        <v>2393</v>
      </c>
      <c r="G34" s="1967" t="s">
        <v>3424</v>
      </c>
      <c r="H34" s="1967" t="s">
        <v>752</v>
      </c>
      <c r="I34" s="2007"/>
      <c r="J34" s="2007"/>
      <c r="K34" s="2904">
        <f>COUNTIF(B34:H34,"——")</f>
        <v>1</v>
      </c>
      <c r="L34" s="2019" t="s">
        <v>2468</v>
      </c>
      <c r="M34" s="2019" t="s">
        <v>2469</v>
      </c>
      <c r="N34" s="2019" t="s">
        <v>2470</v>
      </c>
      <c r="O34" s="2019" t="s">
        <v>2471</v>
      </c>
      <c r="P34" s="2019" t="s">
        <v>2472</v>
      </c>
      <c r="Q34" s="2019" t="s">
        <v>2473</v>
      </c>
      <c r="R34" s="2019" t="s">
        <v>2474</v>
      </c>
      <c r="S34" s="3610" t="s">
        <v>2475</v>
      </c>
      <c r="T34" s="2020" t="str">
        <f>NUMBERSTRING(7-K34,1)&amp;"通"</f>
        <v>六通</v>
      </c>
      <c r="U34" s="1200"/>
      <c r="V34" s="1200"/>
    </row>
    <row r="35" spans="1:22" ht="18" customHeight="1">
      <c r="A35" s="2021"/>
      <c r="B35" s="3617" t="s">
        <v>2231</v>
      </c>
      <c r="C35" s="3617"/>
      <c r="D35" s="3617"/>
      <c r="E35" s="3617"/>
      <c r="F35" s="2022" t="str">
        <f>C10</f>
        <v>香河</v>
      </c>
      <c r="G35" s="2007"/>
      <c r="H35" s="2007"/>
      <c r="I35" s="2007"/>
      <c r="J35" s="2007"/>
      <c r="K35" s="2019"/>
      <c r="L35" s="201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610"/>
      <c r="T35" s="23" t="str">
        <f>IF(T34="一通",L35,IF(T34="二通",M35,IF(T34="三通",N35,IF(T34="四通",O35,IF(T34="五通",P35,IF(T34="六通",Q35,R35))))))</f>
        <v>通路、通电、通上水、通下水、通讯、燃气</v>
      </c>
      <c r="U35" s="1200"/>
      <c r="V35" s="1200"/>
    </row>
    <row r="36" spans="1:22" ht="18" customHeight="1">
      <c r="A36" s="2023"/>
      <c r="B36" s="2022" t="s">
        <v>2311</v>
      </c>
      <c r="C36" s="2022" t="s">
        <v>2307</v>
      </c>
      <c r="D36" s="2022" t="s">
        <v>2306</v>
      </c>
      <c r="E36" s="2022" t="s">
        <v>2308</v>
      </c>
      <c r="F36" s="2024"/>
      <c r="G36" s="2007"/>
      <c r="H36" s="2007"/>
      <c r="I36" s="2007"/>
      <c r="J36" s="2007"/>
      <c r="K36" s="2110"/>
      <c r="L36" s="2003"/>
      <c r="M36" s="2003"/>
      <c r="N36" s="1200"/>
      <c r="O36" s="11"/>
      <c r="P36" s="1200"/>
      <c r="Q36" s="1200"/>
      <c r="R36" s="1200"/>
      <c r="S36" s="1200"/>
      <c r="T36" s="1200"/>
      <c r="U36" s="1200"/>
      <c r="V36" s="1200"/>
    </row>
    <row r="37" spans="1:22" ht="18" customHeight="1">
      <c r="A37" s="2025" t="s">
        <v>2230</v>
      </c>
      <c r="B37" s="2026"/>
      <c r="C37" s="2026"/>
      <c r="D37" s="2026"/>
      <c r="E37" s="2026"/>
      <c r="F37" s="2024"/>
      <c r="G37" s="2007"/>
      <c r="H37" s="2007"/>
      <c r="I37" s="2007"/>
      <c r="J37" s="2007"/>
      <c r="K37" s="2110"/>
      <c r="L37" s="2003"/>
      <c r="M37" s="2003"/>
      <c r="N37" s="1200"/>
      <c r="O37" s="11"/>
      <c r="P37" s="1200"/>
      <c r="Q37" s="1200"/>
      <c r="R37" s="1200"/>
      <c r="S37" s="1200"/>
      <c r="T37" s="1200"/>
      <c r="U37" s="1200"/>
      <c r="V37" s="1200"/>
    </row>
    <row r="38" spans="1:22" ht="18" customHeight="1" thickBot="1">
      <c r="A38" s="2053" t="s">
        <v>2232</v>
      </c>
      <c r="B38" s="2054"/>
      <c r="C38" s="2054"/>
      <c r="D38" s="2054"/>
      <c r="E38" s="2054"/>
      <c r="F38" s="2055"/>
      <c r="G38" s="2006"/>
      <c r="H38" s="2006"/>
      <c r="I38" s="2006"/>
      <c r="J38" s="2007"/>
      <c r="K38" s="2110"/>
      <c r="L38" s="2003"/>
      <c r="M38" s="2003"/>
      <c r="N38" s="1200"/>
      <c r="O38" s="11"/>
      <c r="P38" s="1200"/>
      <c r="Q38" s="1200"/>
      <c r="R38" s="1200"/>
      <c r="S38" s="1200"/>
      <c r="T38" s="1200"/>
      <c r="U38" s="1200"/>
      <c r="V38" s="1200"/>
    </row>
    <row r="39" spans="1:22" ht="18" customHeight="1" thickTop="1">
      <c r="A39" s="1200"/>
      <c r="B39" s="1200"/>
      <c r="C39" s="1200"/>
      <c r="D39" s="1200"/>
      <c r="E39" s="1200"/>
      <c r="F39" s="1200"/>
      <c r="G39" s="1200"/>
      <c r="H39" s="1200"/>
      <c r="I39" s="1200"/>
      <c r="J39" s="1200"/>
      <c r="K39" s="2918"/>
      <c r="L39" s="1200"/>
      <c r="M39" s="1200"/>
      <c r="N39" s="1200"/>
      <c r="O39" s="11"/>
      <c r="P39" s="1200"/>
      <c r="Q39" s="1200"/>
      <c r="R39" s="1200"/>
      <c r="S39" s="1200"/>
      <c r="T39" s="1200"/>
      <c r="U39" s="1200"/>
      <c r="V39" s="1200"/>
    </row>
    <row r="40" spans="1:22" ht="18" customHeight="1">
      <c r="A40" s="1200"/>
      <c r="B40" s="1200"/>
      <c r="C40" s="1200"/>
      <c r="D40" s="1200"/>
      <c r="E40" s="1200"/>
      <c r="F40" s="1200"/>
      <c r="G40" s="1200"/>
      <c r="H40" s="1200"/>
      <c r="I40" s="1221"/>
      <c r="J40" s="2027"/>
      <c r="K40" s="2115"/>
      <c r="L40" s="1234"/>
      <c r="M40" s="1234"/>
      <c r="N40" s="2027"/>
      <c r="O40" s="1234"/>
      <c r="P40" s="1200"/>
      <c r="Q40" s="1200"/>
      <c r="R40" s="1200"/>
      <c r="S40" s="1200"/>
      <c r="T40" s="1200"/>
      <c r="U40" s="1200"/>
      <c r="V40" s="1200"/>
    </row>
    <row r="41" spans="1:22" ht="18" customHeight="1">
      <c r="A41" s="2028" t="s">
        <v>2439</v>
      </c>
      <c r="B41" s="2029"/>
      <c r="C41" s="2030"/>
      <c r="D41" s="1200"/>
      <c r="E41" s="1200"/>
      <c r="F41" s="1200"/>
      <c r="G41" s="1200"/>
      <c r="H41" s="1200"/>
      <c r="I41" s="11"/>
      <c r="J41" s="1200"/>
      <c r="K41" s="2116"/>
      <c r="L41" s="2003"/>
      <c r="M41" s="2003"/>
      <c r="N41" s="1200"/>
      <c r="O41" s="11"/>
      <c r="P41" s="1200"/>
      <c r="Q41" s="1200"/>
      <c r="R41" s="1200"/>
      <c r="S41" s="1200"/>
      <c r="T41" s="1200"/>
      <c r="U41" s="1200"/>
      <c r="V41" s="1200"/>
    </row>
    <row r="42" spans="1:22" ht="18" customHeight="1">
      <c r="A42" s="2019" t="s">
        <v>2440</v>
      </c>
      <c r="B42" s="1993" t="s">
        <v>2441</v>
      </c>
      <c r="C42" s="1993" t="s">
        <v>2442</v>
      </c>
      <c r="D42" s="1993" t="s">
        <v>2443</v>
      </c>
      <c r="E42" s="1993" t="s">
        <v>2444</v>
      </c>
      <c r="F42" s="1993" t="s">
        <v>2445</v>
      </c>
      <c r="G42" s="1993" t="s">
        <v>2446</v>
      </c>
      <c r="H42" s="1993" t="s">
        <v>2447</v>
      </c>
      <c r="I42" s="1993" t="s">
        <v>2448</v>
      </c>
      <c r="J42" s="2106" t="s">
        <v>2449</v>
      </c>
      <c r="K42" s="2031" t="s">
        <v>2450</v>
      </c>
      <c r="L42" s="2031" t="s">
        <v>2451</v>
      </c>
      <c r="M42" s="2031" t="s">
        <v>2452</v>
      </c>
      <c r="N42" s="1993" t="s">
        <v>2453</v>
      </c>
      <c r="O42" s="1993" t="s">
        <v>2454</v>
      </c>
      <c r="P42" s="1993" t="s">
        <v>2455</v>
      </c>
      <c r="Q42" s="2019" t="s">
        <v>2456</v>
      </c>
      <c r="R42" s="2019" t="s">
        <v>2457</v>
      </c>
      <c r="S42" s="1200"/>
      <c r="T42" s="1200"/>
      <c r="U42" s="1200"/>
      <c r="V42" s="1200"/>
    </row>
    <row r="43" spans="1:22" s="2248" customFormat="1" ht="18" customHeight="1">
      <c r="A43" s="1420" t="s">
        <v>1469</v>
      </c>
      <c r="B43" s="216" t="s">
        <v>1470</v>
      </c>
      <c r="C43" s="216" t="s">
        <v>1471</v>
      </c>
      <c r="D43" s="216" t="s">
        <v>1472</v>
      </c>
      <c r="E43" s="216" t="s">
        <v>1473</v>
      </c>
      <c r="F43" s="216" t="s">
        <v>2374</v>
      </c>
      <c r="G43" s="216" t="s">
        <v>1474</v>
      </c>
      <c r="H43" s="2" t="s">
        <v>1475</v>
      </c>
      <c r="I43" s="2" t="s">
        <v>1475</v>
      </c>
      <c r="J43" s="9" t="s">
        <v>1475</v>
      </c>
      <c r="K43" s="4" t="s">
        <v>1476</v>
      </c>
      <c r="L43" s="4"/>
      <c r="M43" s="2" t="s">
        <v>1475</v>
      </c>
      <c r="N43" s="216" t="s">
        <v>2373</v>
      </c>
      <c r="O43" s="2" t="s">
        <v>1475</v>
      </c>
      <c r="P43" s="216" t="s">
        <v>1477</v>
      </c>
      <c r="Q43" s="216" t="s">
        <v>1477</v>
      </c>
      <c r="R43" s="216" t="s">
        <v>1477</v>
      </c>
      <c r="S43" s="3265"/>
      <c r="T43" s="3265"/>
      <c r="U43" s="3265"/>
      <c r="V43" s="3265"/>
    </row>
    <row r="44" spans="1:22" s="2248" customFormat="1" ht="18" customHeight="1">
      <c r="A44" s="1420"/>
      <c r="B44" s="1420"/>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0"/>
      <c r="B45" s="1420"/>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0"/>
      <c r="B46" s="1420"/>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0"/>
      <c r="B47" s="1420"/>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0"/>
      <c r="B48" s="1420"/>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0"/>
      <c r="B49" s="1420"/>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0"/>
      <c r="B50" s="1420"/>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0"/>
      <c r="B51" s="1420"/>
      <c r="C51" s="216"/>
      <c r="D51" s="216"/>
      <c r="E51" s="216"/>
      <c r="F51" s="216"/>
      <c r="G51" s="216"/>
      <c r="H51" s="2"/>
      <c r="I51" s="2"/>
      <c r="J51" s="9"/>
      <c r="K51" s="4"/>
      <c r="L51" s="4"/>
      <c r="M51" s="2"/>
      <c r="N51" s="216"/>
      <c r="O51" s="2"/>
      <c r="P51" s="216"/>
      <c r="Q51" s="216"/>
      <c r="R51" s="216"/>
    </row>
    <row r="52" spans="1:22" s="2248" customFormat="1" ht="18" customHeight="1">
      <c r="A52" s="2032"/>
      <c r="B52" s="2032"/>
      <c r="C52" s="2032"/>
      <c r="D52" s="2032"/>
      <c r="E52" s="2032"/>
      <c r="F52" s="2"/>
      <c r="G52" s="2032"/>
      <c r="H52" s="2032"/>
      <c r="I52" s="2032"/>
      <c r="J52" s="2107"/>
      <c r="K52" s="4"/>
      <c r="L52" s="4"/>
      <c r="M52" s="4"/>
      <c r="N52" s="2032"/>
      <c r="O52" s="2032"/>
      <c r="P52" s="2032"/>
      <c r="Q52" s="2032"/>
      <c r="R52" s="2032"/>
    </row>
    <row r="53" spans="1:22" s="2248" customFormat="1" ht="18" customHeight="1">
      <c r="A53" s="2032"/>
      <c r="B53" s="2032"/>
      <c r="C53" s="2032"/>
      <c r="D53" s="2032"/>
      <c r="E53" s="2032"/>
      <c r="F53" s="2"/>
      <c r="G53" s="2032"/>
      <c r="H53" s="2032"/>
      <c r="I53" s="2032"/>
      <c r="J53" s="2107"/>
      <c r="K53" s="4"/>
      <c r="L53" s="4"/>
      <c r="M53" s="4"/>
      <c r="N53" s="2032"/>
      <c r="O53" s="2032"/>
      <c r="P53" s="2032"/>
      <c r="Q53" s="2032"/>
      <c r="R53" s="2032"/>
    </row>
    <row r="54" spans="1:22" s="2248" customFormat="1" ht="18" customHeight="1">
      <c r="A54" s="2032"/>
      <c r="B54" s="2032"/>
      <c r="C54" s="2032"/>
      <c r="D54" s="2032"/>
      <c r="E54" s="2032"/>
      <c r="F54" s="2"/>
      <c r="G54" s="2032"/>
      <c r="H54" s="2032"/>
      <c r="I54" s="2032"/>
      <c r="J54" s="2107"/>
      <c r="K54" s="4"/>
      <c r="L54" s="4"/>
      <c r="M54" s="4"/>
      <c r="N54" s="2032"/>
      <c r="O54" s="2032"/>
      <c r="P54" s="2032"/>
      <c r="Q54" s="2032"/>
      <c r="R54" s="2032"/>
    </row>
    <row r="55" spans="1:22" s="2248" customFormat="1" ht="18" customHeight="1">
      <c r="A55" s="2032"/>
      <c r="B55" s="2032"/>
      <c r="C55" s="2032"/>
      <c r="D55" s="2032"/>
      <c r="E55" s="2032"/>
      <c r="F55" s="2"/>
      <c r="G55" s="2032"/>
      <c r="H55" s="2032"/>
      <c r="I55" s="2032"/>
      <c r="J55" s="2107"/>
      <c r="K55" s="4"/>
      <c r="L55" s="4"/>
      <c r="M55" s="4"/>
      <c r="N55" s="2032"/>
      <c r="O55" s="2032"/>
      <c r="P55" s="2032"/>
      <c r="Q55" s="2032"/>
      <c r="R55" s="2032"/>
    </row>
    <row r="56" spans="1:22" s="2248" customFormat="1" ht="18" customHeight="1">
      <c r="A56" s="2032"/>
      <c r="B56" s="2032"/>
      <c r="C56" s="2032"/>
      <c r="D56" s="2032"/>
      <c r="E56" s="2032"/>
      <c r="F56" s="2"/>
      <c r="G56" s="2032"/>
      <c r="H56" s="2032"/>
      <c r="I56" s="2032"/>
      <c r="J56" s="2107"/>
      <c r="K56" s="4"/>
      <c r="L56" s="4"/>
      <c r="M56" s="4"/>
      <c r="N56" s="2032"/>
      <c r="O56" s="2032"/>
      <c r="P56" s="2032"/>
      <c r="Q56" s="2032"/>
      <c r="R56" s="203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88" activePane="bottomRight" state="frozen"/>
      <selection activeCell="C50" sqref="C50"/>
      <selection pane="topRight" activeCell="C50" sqref="C50"/>
      <selection pane="bottomLeft" activeCell="C50" sqref="C50"/>
      <selection pane="bottomRight" activeCell="AH117" sqref="AH117"/>
    </sheetView>
  </sheetViews>
  <sheetFormatPr defaultColWidth="8.875" defaultRowHeight="13.5"/>
  <cols>
    <col min="1" max="1" width="10.625" style="1166" customWidth="1"/>
    <col min="2" max="2" width="11" style="1166" customWidth="1"/>
    <col min="3" max="3" width="10.375" style="1166" customWidth="1"/>
    <col min="4" max="4" width="9.125" style="1166" customWidth="1"/>
    <col min="5" max="6" width="10" style="1179" customWidth="1"/>
    <col min="7" max="8" width="10" style="1166" customWidth="1"/>
    <col min="9" max="9" width="10.625" style="1166" customWidth="1"/>
    <col min="10" max="10" width="9.5" style="1166" customWidth="1"/>
    <col min="11" max="11" width="11" style="1166" customWidth="1"/>
    <col min="12" max="14" width="9.5" style="1166" customWidth="1"/>
    <col min="15" max="15" width="9.875" style="1166" customWidth="1"/>
    <col min="16" max="16" width="9.75" style="1166" customWidth="1"/>
    <col min="17" max="17" width="9.375" style="1166" customWidth="1"/>
    <col min="18" max="18" width="9.25" style="1166" customWidth="1"/>
    <col min="19" max="19" width="10.875" style="1166" customWidth="1"/>
    <col min="20" max="21" width="10.75" style="1166" customWidth="1"/>
    <col min="22" max="22" width="10.875" style="1166" customWidth="1"/>
    <col min="23" max="27" width="10.75" style="1166" customWidth="1"/>
    <col min="28" max="28" width="10.875" style="1166" customWidth="1"/>
    <col min="29" max="29" width="11" style="1166" bestFit="1" customWidth="1"/>
    <col min="30" max="30" width="10" style="1166" bestFit="1" customWidth="1"/>
    <col min="31" max="31" width="9.75" style="1166" customWidth="1"/>
    <col min="32" max="46" width="9.5" style="1166" customWidth="1"/>
    <col min="47" max="47" width="18.125" style="1166" customWidth="1"/>
    <col min="48" max="50" width="9.75" style="1166" customWidth="1"/>
    <col min="51" max="55" width="10.5" style="1166" bestFit="1" customWidth="1"/>
    <col min="56" max="56" width="9.5" style="1166" bestFit="1" customWidth="1"/>
    <col min="57" max="63" width="9.125" style="1166" bestFit="1" customWidth="1"/>
    <col min="64" max="64" width="9.5" style="1166" bestFit="1" customWidth="1"/>
    <col min="65" max="65" width="9.125" style="1166" bestFit="1" customWidth="1"/>
    <col min="66" max="66" width="9.5" style="1166" bestFit="1" customWidth="1"/>
    <col min="67" max="69" width="9.125" style="1166" bestFit="1" customWidth="1"/>
    <col min="70" max="70" width="9.5" style="1166" bestFit="1" customWidth="1"/>
    <col min="71" max="71" width="9" style="1166" customWidth="1"/>
    <col min="72" max="72" width="9.125" style="1166" bestFit="1" customWidth="1"/>
    <col min="73" max="16384" width="8.875" style="1166"/>
  </cols>
  <sheetData>
    <row r="1" spans="1:72" ht="20.25">
      <c r="A1" s="10" t="s">
        <v>836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8" customFormat="1" ht="24">
      <c r="A2" s="82" t="s">
        <v>838</v>
      </c>
      <c r="B2" s="82" t="s">
        <v>839</v>
      </c>
      <c r="C2" s="82" t="s">
        <v>840</v>
      </c>
      <c r="D2" s="1167"/>
      <c r="E2" s="241"/>
      <c r="F2" s="229"/>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c r="AT2" s="1167"/>
      <c r="AU2" s="1167"/>
      <c r="AV2" s="1167"/>
      <c r="AW2" s="1167"/>
      <c r="AX2" s="1167"/>
      <c r="AY2" s="2528" t="s">
        <v>2783</v>
      </c>
      <c r="AZ2" s="2529" t="s">
        <v>2784</v>
      </c>
      <c r="BA2" s="2530" t="s">
        <v>2785</v>
      </c>
      <c r="BB2" s="1167"/>
      <c r="BC2" s="1167"/>
      <c r="BD2" s="1167"/>
      <c r="BE2" s="1167"/>
      <c r="BF2" s="1167"/>
      <c r="BG2" s="1167"/>
      <c r="BH2" s="1167"/>
      <c r="BI2" s="1167"/>
      <c r="BJ2" s="1167"/>
      <c r="BK2" s="1167"/>
      <c r="BL2" s="1167"/>
      <c r="BM2" s="1167"/>
      <c r="BN2" s="1167"/>
      <c r="BO2" s="1167"/>
      <c r="BP2" s="1167"/>
      <c r="BQ2" s="1167"/>
      <c r="BR2" s="1167"/>
      <c r="BS2" s="1167"/>
      <c r="BT2" s="1167"/>
    </row>
    <row r="3" spans="1:72" s="1168" customFormat="1" ht="12.75">
      <c r="A3" s="307">
        <f>土地使用证!F29</f>
        <v>619634</v>
      </c>
      <c r="B3" s="308">
        <f>IF(C3="否",G5-AT5,G5)</f>
        <v>494831.87</v>
      </c>
      <c r="C3" s="219" t="s">
        <v>39</v>
      </c>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2531"/>
      <c r="AZ3" s="2532"/>
      <c r="BA3" s="2533"/>
      <c r="BB3" s="1167"/>
      <c r="BC3" s="1167"/>
      <c r="BD3" s="1167"/>
      <c r="BE3" s="1167"/>
      <c r="BF3" s="1167"/>
      <c r="BG3" s="1167"/>
      <c r="BH3" s="1167"/>
      <c r="BI3" s="1167"/>
      <c r="BJ3" s="1167"/>
      <c r="BK3" s="1167"/>
      <c r="BL3" s="1167"/>
      <c r="BM3" s="1167"/>
      <c r="BN3" s="1167"/>
      <c r="BO3" s="1167"/>
      <c r="BP3" s="1167"/>
      <c r="BQ3" s="1167"/>
      <c r="BR3" s="1167"/>
      <c r="BS3" s="1167"/>
      <c r="BT3" s="1167"/>
    </row>
    <row r="4" spans="1:72" s="1173" customFormat="1" ht="12.75" thickBot="1">
      <c r="A4" s="1170"/>
      <c r="B4" s="1171"/>
      <c r="C4" s="1172"/>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9"/>
      <c r="BB4" s="1167"/>
      <c r="BC4" s="1167"/>
      <c r="BD4" s="1167"/>
      <c r="BE4" s="1167"/>
      <c r="BF4" s="1167"/>
      <c r="BG4" s="1167"/>
      <c r="BH4" s="1167"/>
      <c r="BI4" s="1167"/>
      <c r="BJ4" s="1167"/>
      <c r="BK4" s="1167"/>
      <c r="BL4" s="1167"/>
      <c r="BM4" s="1167"/>
      <c r="BN4" s="1167"/>
      <c r="BO4" s="1167"/>
      <c r="BP4" s="1167"/>
      <c r="BQ4" s="1167"/>
      <c r="BR4" s="1167"/>
      <c r="BS4" s="1167"/>
      <c r="BT4" s="1167"/>
    </row>
    <row r="5" spans="1:72" s="1168" customFormat="1" ht="12.75">
      <c r="A5" s="83" t="s">
        <v>841</v>
      </c>
      <c r="B5" s="220"/>
      <c r="C5" s="220"/>
      <c r="D5" s="218"/>
      <c r="E5" s="311" t="s">
        <v>23</v>
      </c>
      <c r="F5" s="311">
        <f>SUM(F13:F587)</f>
        <v>0</v>
      </c>
      <c r="G5" s="311">
        <f>SUM(G13:G587)</f>
        <v>494831.87</v>
      </c>
      <c r="H5" s="311">
        <f t="shared" ref="H5:AT5" si="0">SUM(H13:H656)</f>
        <v>483897.51999999996</v>
      </c>
      <c r="I5" s="311">
        <f t="shared" si="0"/>
        <v>483897.51999999996</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10934.35</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10934.35</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841</v>
      </c>
      <c r="AW5" s="220"/>
      <c r="AX5" s="220"/>
      <c r="AY5" s="312" t="s">
        <v>29</v>
      </c>
      <c r="AZ5" s="313">
        <f t="shared" ref="AZ5:BT5" si="1">SUM(AZ13:AZ656)</f>
        <v>494831.87</v>
      </c>
      <c r="BA5" s="313">
        <f t="shared" si="1"/>
        <v>483897.51999999996</v>
      </c>
      <c r="BB5" s="313">
        <f t="shared" si="1"/>
        <v>483897.51999999996</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10934.35</v>
      </c>
      <c r="BM5" s="313">
        <f t="shared" si="1"/>
        <v>0</v>
      </c>
      <c r="BN5" s="313">
        <f t="shared" si="1"/>
        <v>0</v>
      </c>
      <c r="BO5" s="313">
        <f t="shared" si="1"/>
        <v>0</v>
      </c>
      <c r="BP5" s="313">
        <f t="shared" si="1"/>
        <v>0</v>
      </c>
      <c r="BQ5" s="313">
        <f t="shared" si="1"/>
        <v>10934.35</v>
      </c>
      <c r="BR5" s="313">
        <f t="shared" si="1"/>
        <v>0</v>
      </c>
      <c r="BS5" s="313">
        <f t="shared" si="1"/>
        <v>0</v>
      </c>
      <c r="BT5" s="314">
        <f t="shared" si="1"/>
        <v>0</v>
      </c>
    </row>
    <row r="6" spans="1:72" s="1174" customFormat="1" ht="12.75">
      <c r="A6" s="83" t="s">
        <v>842</v>
      </c>
      <c r="B6" s="223"/>
      <c r="C6" s="223"/>
      <c r="D6" s="224"/>
      <c r="E6" s="311">
        <f>H6+AC6+AT6</f>
        <v>619634</v>
      </c>
      <c r="F6" s="311" t="s">
        <v>23</v>
      </c>
      <c r="G6" s="311" t="s">
        <v>25</v>
      </c>
      <c r="H6" s="315">
        <f>SUMIF(I$12:AB$12,"总值",I6:AB6)</f>
        <v>605941.88</v>
      </c>
      <c r="I6" s="311">
        <f t="shared" ref="I6:AB6" si="2">ROUND($A$3*I5/$B$3,2)</f>
        <v>605941.88</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13692.12</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13692.12</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842</v>
      </c>
      <c r="AW6" s="223"/>
      <c r="AX6" s="223"/>
      <c r="AY6" s="316">
        <f>IF(AY3&gt;0,AY3,ROUND($A$3*AZ5/$B$3,2))</f>
        <v>619634</v>
      </c>
      <c r="AZ6" s="311" t="s">
        <v>29</v>
      </c>
      <c r="BA6" s="311">
        <f>ROUND($AY$6*BA5/$AZ$5,2)</f>
        <v>605941.88</v>
      </c>
      <c r="BB6" s="311">
        <f>ROUND($AY$6*BB5/$AZ$5,2)</f>
        <v>605941.88</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13692.12</v>
      </c>
      <c r="BM6" s="311">
        <f t="shared" si="5"/>
        <v>0</v>
      </c>
      <c r="BN6" s="311">
        <f t="shared" si="5"/>
        <v>0</v>
      </c>
      <c r="BO6" s="311">
        <f t="shared" si="5"/>
        <v>0</v>
      </c>
      <c r="BP6" s="311">
        <f t="shared" si="5"/>
        <v>0</v>
      </c>
      <c r="BQ6" s="311">
        <f t="shared" si="5"/>
        <v>13692.12</v>
      </c>
      <c r="BR6" s="311">
        <f t="shared" si="5"/>
        <v>0</v>
      </c>
      <c r="BS6" s="311">
        <f t="shared" si="5"/>
        <v>0</v>
      </c>
      <c r="BT6" s="317">
        <f t="shared" si="5"/>
        <v>0</v>
      </c>
    </row>
    <row r="7" spans="1:72" s="1168" customFormat="1" ht="24">
      <c r="A7" s="226" t="s">
        <v>843</v>
      </c>
      <c r="B7" s="226" t="s">
        <v>844</v>
      </c>
      <c r="C7" s="226" t="s">
        <v>845</v>
      </c>
      <c r="D7" s="226" t="s">
        <v>846</v>
      </c>
      <c r="E7" s="226" t="s">
        <v>842</v>
      </c>
      <c r="F7" s="226" t="s">
        <v>847</v>
      </c>
      <c r="G7" s="227" t="s">
        <v>848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849</v>
      </c>
      <c r="AV7" s="78" t="s">
        <v>843</v>
      </c>
      <c r="AW7" s="229" t="s">
        <v>844</v>
      </c>
      <c r="AX7" s="78" t="s">
        <v>845</v>
      </c>
      <c r="AY7" s="220" t="s">
        <v>850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5" customFormat="1" ht="24">
      <c r="A8" s="232"/>
      <c r="B8" s="232"/>
      <c r="C8" s="232"/>
      <c r="D8" s="232"/>
      <c r="E8" s="232"/>
      <c r="F8" s="232"/>
      <c r="G8" s="233" t="s">
        <v>851</v>
      </c>
      <c r="H8" s="234" t="s">
        <v>852</v>
      </c>
      <c r="I8" s="235"/>
      <c r="J8" s="236"/>
      <c r="K8" s="236"/>
      <c r="L8" s="236"/>
      <c r="M8" s="236"/>
      <c r="N8" s="236"/>
      <c r="O8" s="236"/>
      <c r="P8" s="236"/>
      <c r="Q8" s="236"/>
      <c r="R8" s="236"/>
      <c r="S8" s="236"/>
      <c r="T8" s="236"/>
      <c r="U8" s="236"/>
      <c r="V8" s="237"/>
      <c r="W8" s="236"/>
      <c r="X8" s="236"/>
      <c r="Y8" s="236"/>
      <c r="Z8" s="236"/>
      <c r="AA8" s="237"/>
      <c r="AB8" s="238"/>
      <c r="AC8" s="245" t="s">
        <v>853</v>
      </c>
      <c r="AD8" s="239"/>
      <c r="AE8" s="230"/>
      <c r="AF8" s="236"/>
      <c r="AG8" s="236"/>
      <c r="AH8" s="236"/>
      <c r="AI8" s="236"/>
      <c r="AJ8" s="236"/>
      <c r="AK8" s="236"/>
      <c r="AL8" s="236"/>
      <c r="AM8" s="236"/>
      <c r="AN8" s="236"/>
      <c r="AO8" s="236"/>
      <c r="AP8" s="236"/>
      <c r="AQ8" s="236"/>
      <c r="AR8" s="236"/>
      <c r="AS8" s="236"/>
      <c r="AT8" s="240" t="s">
        <v>753</v>
      </c>
      <c r="AU8" s="232" t="s">
        <v>854</v>
      </c>
      <c r="AV8" s="240"/>
      <c r="AW8" s="241"/>
      <c r="AX8" s="240"/>
      <c r="AY8" s="229" t="s">
        <v>855</v>
      </c>
      <c r="AZ8" s="222" t="s">
        <v>856</v>
      </c>
      <c r="BA8" s="236"/>
      <c r="BB8" s="236"/>
      <c r="BC8" s="236"/>
      <c r="BD8" s="236"/>
      <c r="BE8" s="236"/>
      <c r="BF8" s="236"/>
      <c r="BG8" s="236"/>
      <c r="BH8" s="236"/>
      <c r="BI8" s="236"/>
      <c r="BJ8" s="236"/>
      <c r="BK8" s="236"/>
      <c r="BL8" s="236"/>
      <c r="BM8" s="236"/>
      <c r="BN8" s="236"/>
      <c r="BO8" s="236"/>
      <c r="BP8" s="236"/>
      <c r="BQ8" s="236"/>
      <c r="BR8" s="236"/>
      <c r="BS8" s="236"/>
      <c r="BT8" s="242"/>
    </row>
    <row r="9" spans="1:72" s="1175" customFormat="1" ht="12">
      <c r="A9" s="232"/>
      <c r="B9" s="232"/>
      <c r="C9" s="232"/>
      <c r="D9" s="232"/>
      <c r="E9" s="232"/>
      <c r="F9" s="232"/>
      <c r="G9" s="240"/>
      <c r="H9" s="243" t="s">
        <v>857</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6"/>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5"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5" customFormat="1" ht="12.75">
      <c r="A11" s="232"/>
      <c r="B11" s="232"/>
      <c r="C11" s="232"/>
      <c r="D11" s="232"/>
      <c r="E11" s="232"/>
      <c r="F11" s="232"/>
      <c r="G11" s="240"/>
      <c r="H11" s="253"/>
      <c r="I11" s="258" t="s">
        <v>182</v>
      </c>
      <c r="J11" s="259"/>
      <c r="K11" s="258"/>
      <c r="L11" s="259"/>
      <c r="M11" s="258"/>
      <c r="N11" s="259"/>
      <c r="O11" s="258"/>
      <c r="P11" s="259"/>
      <c r="Q11" s="258"/>
      <c r="R11" s="259"/>
      <c r="S11" s="258"/>
      <c r="T11" s="259"/>
      <c r="U11" s="258"/>
      <c r="V11" s="259"/>
      <c r="W11" s="258"/>
      <c r="X11" s="259"/>
      <c r="Y11" s="258"/>
      <c r="Z11" s="259"/>
      <c r="AA11" s="258"/>
      <c r="AB11" s="259"/>
      <c r="AC11" s="240"/>
      <c r="AD11" s="2521" t="s">
        <v>2772</v>
      </c>
      <c r="AE11" s="2500"/>
      <c r="AF11" s="2521" t="s">
        <v>2772</v>
      </c>
      <c r="AG11" s="2500"/>
      <c r="AH11" s="2521" t="s">
        <v>2773</v>
      </c>
      <c r="AI11" s="2522"/>
      <c r="AJ11" s="2521" t="s">
        <v>2773</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8" customFormat="1" ht="12">
      <c r="A12" s="262"/>
      <c r="B12" s="262"/>
      <c r="C12" s="262"/>
      <c r="D12" s="262"/>
      <c r="E12" s="262"/>
      <c r="F12" s="262"/>
      <c r="G12" s="81"/>
      <c r="H12" s="263"/>
      <c r="I12" s="218" t="s">
        <v>858</v>
      </c>
      <c r="J12" s="82" t="s">
        <v>859</v>
      </c>
      <c r="K12" s="82" t="s">
        <v>858</v>
      </c>
      <c r="L12" s="82" t="s">
        <v>859</v>
      </c>
      <c r="M12" s="82" t="s">
        <v>858</v>
      </c>
      <c r="N12" s="82" t="s">
        <v>859</v>
      </c>
      <c r="O12" s="82" t="s">
        <v>858</v>
      </c>
      <c r="P12" s="82" t="s">
        <v>859</v>
      </c>
      <c r="Q12" s="82" t="s">
        <v>858</v>
      </c>
      <c r="R12" s="82" t="s">
        <v>859</v>
      </c>
      <c r="S12" s="82" t="s">
        <v>858</v>
      </c>
      <c r="T12" s="82" t="s">
        <v>859</v>
      </c>
      <c r="U12" s="82" t="s">
        <v>858</v>
      </c>
      <c r="V12" s="221" t="s">
        <v>859</v>
      </c>
      <c r="W12" s="82" t="s">
        <v>858</v>
      </c>
      <c r="X12" s="82" t="s">
        <v>859</v>
      </c>
      <c r="Y12" s="82" t="s">
        <v>858</v>
      </c>
      <c r="Z12" s="82" t="s">
        <v>859</v>
      </c>
      <c r="AA12" s="82" t="s">
        <v>858</v>
      </c>
      <c r="AB12" s="82" t="s">
        <v>859</v>
      </c>
      <c r="AC12" s="264"/>
      <c r="AD12" s="218" t="s">
        <v>858</v>
      </c>
      <c r="AE12" s="82" t="s">
        <v>859</v>
      </c>
      <c r="AF12" s="82" t="s">
        <v>858</v>
      </c>
      <c r="AG12" s="82" t="s">
        <v>859</v>
      </c>
      <c r="AH12" s="82" t="s">
        <v>858</v>
      </c>
      <c r="AI12" s="82" t="s">
        <v>859</v>
      </c>
      <c r="AJ12" s="82" t="s">
        <v>858</v>
      </c>
      <c r="AK12" s="82" t="s">
        <v>859</v>
      </c>
      <c r="AL12" s="82" t="s">
        <v>858</v>
      </c>
      <c r="AM12" s="82" t="s">
        <v>859</v>
      </c>
      <c r="AN12" s="82" t="s">
        <v>858</v>
      </c>
      <c r="AO12" s="82" t="s">
        <v>859</v>
      </c>
      <c r="AP12" s="82" t="s">
        <v>858</v>
      </c>
      <c r="AQ12" s="82" t="s">
        <v>859</v>
      </c>
      <c r="AR12" s="81" t="s">
        <v>858</v>
      </c>
      <c r="AS12" s="262" t="s">
        <v>859</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8" customFormat="1" ht="48">
      <c r="A13" s="216"/>
      <c r="B13" s="216"/>
      <c r="C13" s="3312" t="s">
        <v>3425</v>
      </c>
      <c r="D13" s="217" t="s">
        <v>39</v>
      </c>
      <c r="E13" s="311">
        <f>IF($C$3="是",ROUND($A$3*G13/$B$3,2),ROUND($A$3*(G13-AT13)/$B$3,2))</f>
        <v>5541</v>
      </c>
      <c r="F13" s="327"/>
      <c r="G13" s="328">
        <f>H13+AC13+AT13</f>
        <v>4424.97</v>
      </c>
      <c r="H13" s="315">
        <f>SUMIF(I$12:AB$12,"总值",I13:AB13)</f>
        <v>0</v>
      </c>
      <c r="I13" s="1421"/>
      <c r="J13" s="1421"/>
      <c r="K13" s="1421"/>
      <c r="L13" s="1421"/>
      <c r="M13" s="1421"/>
      <c r="N13" s="1421"/>
      <c r="O13" s="1421"/>
      <c r="P13" s="1421"/>
      <c r="Q13" s="1421"/>
      <c r="R13" s="1421"/>
      <c r="S13" s="1421"/>
      <c r="T13" s="1421"/>
      <c r="U13" s="1421"/>
      <c r="V13" s="1421"/>
      <c r="W13" s="1421"/>
      <c r="X13" s="1421"/>
      <c r="Y13" s="1421"/>
      <c r="Z13" s="1421"/>
      <c r="AA13" s="1421"/>
      <c r="AB13" s="1421"/>
      <c r="AC13" s="311">
        <f>SUMIF(AD$12:AS$12,"总值",AD13:AS13)</f>
        <v>4424.97</v>
      </c>
      <c r="AD13" s="1422"/>
      <c r="AE13" s="1422"/>
      <c r="AF13" s="1422"/>
      <c r="AG13" s="1422"/>
      <c r="AH13" s="1422"/>
      <c r="AI13" s="1422"/>
      <c r="AJ13" s="1422"/>
      <c r="AK13" s="1422"/>
      <c r="AL13" s="1422">
        <v>4424.97</v>
      </c>
      <c r="AM13" s="1422"/>
      <c r="AN13" s="1422"/>
      <c r="AO13" s="1422"/>
      <c r="AP13" s="1422"/>
      <c r="AQ13" s="1422"/>
      <c r="AR13" s="1422"/>
      <c r="AS13" s="1422"/>
      <c r="AT13" s="1423"/>
      <c r="AU13" s="215" t="s">
        <v>1479</v>
      </c>
      <c r="AV13" s="82">
        <f t="shared" ref="AV13:AX17" si="6">A13</f>
        <v>0</v>
      </c>
      <c r="AW13" s="82">
        <f t="shared" si="6"/>
        <v>0</v>
      </c>
      <c r="AX13" s="82" t="str">
        <f t="shared" si="6"/>
        <v>车库消防队综合楼（公司大库、消防队）</v>
      </c>
      <c r="AY13" s="310">
        <f>ROUND($AY$6*AZ13/$AZ$5,2)</f>
        <v>5541</v>
      </c>
      <c r="AZ13" s="311">
        <f>BA13+BL13</f>
        <v>4424.97</v>
      </c>
      <c r="BA13" s="311">
        <f>SUM(BB13:BK13)</f>
        <v>0</v>
      </c>
      <c r="BB13" s="311">
        <f>IF($D13="是",I13-J13,0)</f>
        <v>0</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4424.97</v>
      </c>
      <c r="BM13" s="311">
        <f>IF($D13="是",AD13-AE13,0)</f>
        <v>0</v>
      </c>
      <c r="BN13" s="311">
        <f>IF($D13="是",AF13-AG13,0)</f>
        <v>0</v>
      </c>
      <c r="BO13" s="311">
        <f>IF($D13="是",AH13-AI13,0)</f>
        <v>0</v>
      </c>
      <c r="BP13" s="311">
        <f>IF($D13="是",AJ13-AK13,0)</f>
        <v>0</v>
      </c>
      <c r="BQ13" s="311">
        <f>IF($D13="是",AL13-AM13,0)</f>
        <v>4424.97</v>
      </c>
      <c r="BR13" s="311">
        <f>IF($D13="是",AN13-AO13,0)</f>
        <v>0</v>
      </c>
      <c r="BS13" s="311">
        <f>IF($D13="是",AP13-AQ13,0)</f>
        <v>0</v>
      </c>
      <c r="BT13" s="317">
        <f>IF($D13="是",AR13-AS13,0)</f>
        <v>0</v>
      </c>
    </row>
    <row r="14" spans="1:72" s="1168" customFormat="1" ht="36">
      <c r="A14" s="216"/>
      <c r="B14" s="216"/>
      <c r="C14" s="3312" t="s">
        <v>3426</v>
      </c>
      <c r="D14" s="217" t="s">
        <v>39</v>
      </c>
      <c r="E14" s="311">
        <f>IF($C$3="是",ROUND($A$3*G14/$B$3,2),ROUND($A$3*(G14-AT14)/$B$3,2))</f>
        <v>1474.28</v>
      </c>
      <c r="F14" s="327"/>
      <c r="G14" s="328">
        <f>H14+AC14+AT14</f>
        <v>1177.3399999999999</v>
      </c>
      <c r="H14" s="315">
        <f>SUMIF(I$12:AB$12,"总值",I14:AB14)</f>
        <v>0</v>
      </c>
      <c r="I14" s="1421"/>
      <c r="J14" s="1421"/>
      <c r="K14" s="1421"/>
      <c r="L14" s="1421"/>
      <c r="M14" s="1421"/>
      <c r="N14" s="1421"/>
      <c r="O14" s="1421"/>
      <c r="P14" s="1421"/>
      <c r="Q14" s="1421"/>
      <c r="R14" s="1421"/>
      <c r="S14" s="1421"/>
      <c r="T14" s="1421"/>
      <c r="U14" s="1421"/>
      <c r="V14" s="1421"/>
      <c r="W14" s="1421"/>
      <c r="X14" s="1421"/>
      <c r="Y14" s="1421"/>
      <c r="Z14" s="1421"/>
      <c r="AA14" s="1421"/>
      <c r="AB14" s="1421"/>
      <c r="AC14" s="311">
        <f>SUMIF(AD$12:AS$12,"总值",AD14:AS14)</f>
        <v>1177.3399999999999</v>
      </c>
      <c r="AD14" s="1422"/>
      <c r="AE14" s="1422"/>
      <c r="AF14" s="1422"/>
      <c r="AG14" s="1422"/>
      <c r="AH14" s="1422"/>
      <c r="AI14" s="1422"/>
      <c r="AJ14" s="1422"/>
      <c r="AK14" s="1422"/>
      <c r="AL14" s="1422">
        <v>1177.3399999999999</v>
      </c>
      <c r="AM14" s="1422"/>
      <c r="AN14" s="1422"/>
      <c r="AO14" s="1422"/>
      <c r="AP14" s="1422"/>
      <c r="AQ14" s="1422"/>
      <c r="AR14" s="1422"/>
      <c r="AS14" s="1422"/>
      <c r="AT14" s="1423"/>
      <c r="AU14" s="215"/>
      <c r="AV14" s="82">
        <f t="shared" si="6"/>
        <v>0</v>
      </c>
      <c r="AW14" s="82">
        <f t="shared" si="6"/>
        <v>0</v>
      </c>
      <c r="AX14" s="82" t="str">
        <f t="shared" si="6"/>
        <v>汽车队一层库房（生活区平房）</v>
      </c>
      <c r="AY14" s="310">
        <f>ROUND($AY$6*AZ14/$AZ$5,2)</f>
        <v>1474.28</v>
      </c>
      <c r="AZ14" s="311">
        <f>BA14+BL14</f>
        <v>1177.3399999999999</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1177.3399999999999</v>
      </c>
      <c r="BM14" s="311">
        <f>IF($D14="是",AD14-AE14,0)</f>
        <v>0</v>
      </c>
      <c r="BN14" s="311">
        <f>IF($D14="是",AF14-AG14,0)</f>
        <v>0</v>
      </c>
      <c r="BO14" s="311">
        <f>IF($D14="是",AH14-AI14,0)</f>
        <v>0</v>
      </c>
      <c r="BP14" s="311">
        <f>IF($D14="是",AJ14-AK14,0)</f>
        <v>0</v>
      </c>
      <c r="BQ14" s="311">
        <f>IF($D14="是",AL14-AM14,0)</f>
        <v>1177.3399999999999</v>
      </c>
      <c r="BR14" s="311">
        <f>IF($D14="是",AN14-AO14,0)</f>
        <v>0</v>
      </c>
      <c r="BS14" s="311">
        <f>IF($D14="是",AP14-AQ14,0)</f>
        <v>0</v>
      </c>
      <c r="BT14" s="317">
        <f>IF($D14="是",AR14-AS14,0)</f>
        <v>0</v>
      </c>
    </row>
    <row r="15" spans="1:72" s="1168" customFormat="1" ht="24">
      <c r="A15" s="216"/>
      <c r="B15" s="216"/>
      <c r="C15" s="3312" t="s">
        <v>3427</v>
      </c>
      <c r="D15" s="217" t="s">
        <v>39</v>
      </c>
      <c r="E15" s="311">
        <f>IF($C$3="是",ROUND($A$3*G15/$B$3,2),ROUND($A$3*(G15-AT15)/$B$3,2))</f>
        <v>2274.3200000000002</v>
      </c>
      <c r="F15" s="327"/>
      <c r="G15" s="328">
        <f>H15+AC15+AT15</f>
        <v>1816.24</v>
      </c>
      <c r="H15" s="315">
        <f>SUMIF(I$12:AB$12,"总值",I15:AB15)</f>
        <v>0</v>
      </c>
      <c r="I15" s="1421"/>
      <c r="J15" s="1421"/>
      <c r="K15" s="1421"/>
      <c r="L15" s="1421"/>
      <c r="M15" s="1421"/>
      <c r="N15" s="1421"/>
      <c r="O15" s="1421"/>
      <c r="P15" s="1421"/>
      <c r="Q15" s="1421"/>
      <c r="R15" s="1421"/>
      <c r="S15" s="1421"/>
      <c r="T15" s="1421"/>
      <c r="U15" s="1421"/>
      <c r="V15" s="1421"/>
      <c r="W15" s="1421"/>
      <c r="X15" s="1421"/>
      <c r="Y15" s="1421"/>
      <c r="Z15" s="1421"/>
      <c r="AA15" s="1421"/>
      <c r="AB15" s="1421"/>
      <c r="AC15" s="311">
        <f>SUMIF(AD$12:AS$12,"总值",AD15:AS15)</f>
        <v>1816.24</v>
      </c>
      <c r="AD15" s="1422"/>
      <c r="AE15" s="1422"/>
      <c r="AF15" s="1422"/>
      <c r="AG15" s="1422"/>
      <c r="AH15" s="1422"/>
      <c r="AI15" s="1422"/>
      <c r="AJ15" s="1422"/>
      <c r="AK15" s="1422"/>
      <c r="AL15" s="1422">
        <v>1816.24</v>
      </c>
      <c r="AM15" s="1422"/>
      <c r="AN15" s="1422"/>
      <c r="AO15" s="1422"/>
      <c r="AP15" s="1422"/>
      <c r="AQ15" s="1422"/>
      <c r="AR15" s="1422"/>
      <c r="AS15" s="1422"/>
      <c r="AT15" s="1423"/>
      <c r="AU15" s="215"/>
      <c r="AV15" s="82">
        <f t="shared" si="6"/>
        <v>0</v>
      </c>
      <c r="AW15" s="82">
        <f t="shared" si="6"/>
        <v>0</v>
      </c>
      <c r="AX15" s="82" t="str">
        <f t="shared" si="6"/>
        <v>洗衣房（5号楼）</v>
      </c>
      <c r="AY15" s="310">
        <f>ROUND($AY$6*AZ15/$AZ$5,2)</f>
        <v>2274.3200000000002</v>
      </c>
      <c r="AZ15" s="311">
        <f>BA15+BL15</f>
        <v>1816.24</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1816.24</v>
      </c>
      <c r="BM15" s="311">
        <f>IF($D15="是",AD15-AE15,0)</f>
        <v>0</v>
      </c>
      <c r="BN15" s="311">
        <f>IF($D15="是",AF15-AG15,0)</f>
        <v>0</v>
      </c>
      <c r="BO15" s="311">
        <f>IF($D15="是",AH15-AI15,0)</f>
        <v>0</v>
      </c>
      <c r="BP15" s="311">
        <f>IF($D15="是",AJ15-AK15,0)</f>
        <v>0</v>
      </c>
      <c r="BQ15" s="311">
        <f>IF($D15="是",AL15-AM15,0)</f>
        <v>1816.24</v>
      </c>
      <c r="BR15" s="311">
        <f>IF($D15="是",AN15-AO15,0)</f>
        <v>0</v>
      </c>
      <c r="BS15" s="311">
        <f>IF($D15="是",AP15-AQ15,0)</f>
        <v>0</v>
      </c>
      <c r="BT15" s="317">
        <f>IF($D15="是",AR15-AS15,0)</f>
        <v>0</v>
      </c>
    </row>
    <row r="16" spans="1:72" s="1168" customFormat="1" ht="24">
      <c r="A16" s="216"/>
      <c r="B16" s="216"/>
      <c r="C16" s="3312" t="s">
        <v>3428</v>
      </c>
      <c r="D16" s="217" t="s">
        <v>39</v>
      </c>
      <c r="E16" s="311">
        <f>IF($C$3="是",ROUND($A$3*G16/$B$3,2),ROUND($A$3*(G16-AT16)/$B$3,2))</f>
        <v>894.53</v>
      </c>
      <c r="F16" s="327"/>
      <c r="G16" s="328">
        <f>H16+AC16+AT16</f>
        <v>714.36</v>
      </c>
      <c r="H16" s="315">
        <f>SUMIF(I$12:AB$12,"总值",I16:AB16)</f>
        <v>0</v>
      </c>
      <c r="I16" s="1421"/>
      <c r="J16" s="1421"/>
      <c r="K16" s="1421"/>
      <c r="L16" s="1421"/>
      <c r="M16" s="1421"/>
      <c r="N16" s="1421"/>
      <c r="O16" s="1421"/>
      <c r="P16" s="1421"/>
      <c r="Q16" s="1421"/>
      <c r="R16" s="1421"/>
      <c r="S16" s="1421"/>
      <c r="T16" s="1421"/>
      <c r="U16" s="1421"/>
      <c r="V16" s="1421"/>
      <c r="W16" s="1421"/>
      <c r="X16" s="1421"/>
      <c r="Y16" s="1421"/>
      <c r="Z16" s="1421"/>
      <c r="AA16" s="1421"/>
      <c r="AB16" s="1421"/>
      <c r="AC16" s="311">
        <f>SUMIF(AD$12:AS$12,"总值",AD16:AS16)</f>
        <v>714.36</v>
      </c>
      <c r="AD16" s="1422"/>
      <c r="AE16" s="1422"/>
      <c r="AF16" s="1422"/>
      <c r="AG16" s="1422"/>
      <c r="AH16" s="1422"/>
      <c r="AI16" s="1422"/>
      <c r="AJ16" s="1422"/>
      <c r="AK16" s="1422"/>
      <c r="AL16" s="1422">
        <v>714.36</v>
      </c>
      <c r="AM16" s="1422"/>
      <c r="AN16" s="1422"/>
      <c r="AO16" s="1422"/>
      <c r="AP16" s="1422"/>
      <c r="AQ16" s="1422"/>
      <c r="AR16" s="1422"/>
      <c r="AS16" s="1422"/>
      <c r="AT16" s="1423"/>
      <c r="AU16" s="215"/>
      <c r="AV16" s="82">
        <f t="shared" si="6"/>
        <v>0</v>
      </c>
      <c r="AW16" s="82">
        <f t="shared" si="6"/>
        <v>0</v>
      </c>
      <c r="AX16" s="82" t="str">
        <f t="shared" si="6"/>
        <v>草种子库（8号楼）</v>
      </c>
      <c r="AY16" s="310">
        <f>ROUND($AY$6*AZ16/$AZ$5,2)</f>
        <v>894.53</v>
      </c>
      <c r="AZ16" s="311">
        <f>BA16+BL16</f>
        <v>714.36</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714.36</v>
      </c>
      <c r="BM16" s="311">
        <f>IF($D16="是",AD16-AE16,0)</f>
        <v>0</v>
      </c>
      <c r="BN16" s="311">
        <f>IF($D16="是",AF16-AG16,0)</f>
        <v>0</v>
      </c>
      <c r="BO16" s="311">
        <f>IF($D16="是",AH16-AI16,0)</f>
        <v>0</v>
      </c>
      <c r="BP16" s="311">
        <f>IF($D16="是",AJ16-AK16,0)</f>
        <v>0</v>
      </c>
      <c r="BQ16" s="311">
        <f>IF($D16="是",AL16-AM16,0)</f>
        <v>714.36</v>
      </c>
      <c r="BR16" s="311">
        <f>IF($D16="是",AN16-AO16,0)</f>
        <v>0</v>
      </c>
      <c r="BS16" s="311">
        <f>IF($D16="是",AP16-AQ16,0)</f>
        <v>0</v>
      </c>
      <c r="BT16" s="317">
        <f>IF($D16="是",AR16-AS16,0)</f>
        <v>0</v>
      </c>
    </row>
    <row r="17" spans="1:72" s="1168" customFormat="1" ht="24">
      <c r="A17" s="216"/>
      <c r="B17" s="216"/>
      <c r="C17" s="3312" t="s">
        <v>3429</v>
      </c>
      <c r="D17" s="217" t="s">
        <v>39</v>
      </c>
      <c r="E17" s="311">
        <f>IF($C$3="是",ROUND($A$3*G17/$B$3,2),ROUND($A$3*(G17-AT17)/$B$3,2))</f>
        <v>6160.32</v>
      </c>
      <c r="F17" s="327"/>
      <c r="G17" s="328">
        <f>H17+AC17+AT17</f>
        <v>4919.55</v>
      </c>
      <c r="H17" s="315">
        <f>SUMIF(I$12:AB$12,"总值",I17:AB17)</f>
        <v>4919.55</v>
      </c>
      <c r="I17" s="1421">
        <v>4919.55</v>
      </c>
      <c r="J17" s="1421"/>
      <c r="K17" s="1421"/>
      <c r="L17" s="1421"/>
      <c r="M17" s="1421"/>
      <c r="N17" s="1421"/>
      <c r="O17" s="1421"/>
      <c r="P17" s="1421"/>
      <c r="Q17" s="1421"/>
      <c r="R17" s="1421"/>
      <c r="S17" s="1421"/>
      <c r="T17" s="1421"/>
      <c r="U17" s="1421"/>
      <c r="V17" s="1421"/>
      <c r="W17" s="1421"/>
      <c r="X17" s="1421"/>
      <c r="Y17" s="1421"/>
      <c r="Z17" s="1421"/>
      <c r="AA17" s="1421"/>
      <c r="AB17" s="1421"/>
      <c r="AC17" s="311">
        <f>SUMIF(AD$12:AS$12,"总值",AD17:AS17)</f>
        <v>0</v>
      </c>
      <c r="AD17" s="1422"/>
      <c r="AE17" s="1422"/>
      <c r="AF17" s="1422"/>
      <c r="AG17" s="1422"/>
      <c r="AH17" s="1422"/>
      <c r="AI17" s="1422"/>
      <c r="AJ17" s="1422"/>
      <c r="AK17" s="1422"/>
      <c r="AL17" s="1422"/>
      <c r="AM17" s="1422"/>
      <c r="AN17" s="1422"/>
      <c r="AO17" s="1422"/>
      <c r="AP17" s="1422"/>
      <c r="AQ17" s="1422"/>
      <c r="AR17" s="1422"/>
      <c r="AS17" s="1422"/>
      <c r="AT17" s="1423"/>
      <c r="AU17" s="215"/>
      <c r="AV17" s="82">
        <f t="shared" si="6"/>
        <v>0</v>
      </c>
      <c r="AW17" s="82">
        <f t="shared" si="6"/>
        <v>0</v>
      </c>
      <c r="AX17" s="82" t="str">
        <f t="shared" si="6"/>
        <v>一号宿舍楼（1号楼）</v>
      </c>
      <c r="AY17" s="310">
        <f>ROUND($AY$6*AZ17/$AZ$5,2)</f>
        <v>6160.32</v>
      </c>
      <c r="AZ17" s="311">
        <f>BA17+BL17</f>
        <v>4919.55</v>
      </c>
      <c r="BA17" s="311">
        <f>SUM(BB17:BK17)</f>
        <v>4919.55</v>
      </c>
      <c r="BB17" s="311">
        <f>IF($D17="是",I17-J17,0)</f>
        <v>4919.55</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40.5">
      <c r="A18" s="303"/>
      <c r="B18" s="329"/>
      <c r="C18" s="3312" t="s">
        <v>3430</v>
      </c>
      <c r="D18" s="217" t="s">
        <v>39</v>
      </c>
      <c r="E18" s="330">
        <f t="shared" ref="E18:E112" si="7">IF($C$3="是",ROUND($A$3*G18/$B$3,2),ROUND($A$3*(G18-AT18)/$B$3,2))</f>
        <v>4796.3900000000003</v>
      </c>
      <c r="F18" s="331"/>
      <c r="G18" s="332">
        <f t="shared" ref="G18:G109" si="8">H18+AC18+AT18</f>
        <v>3830.34</v>
      </c>
      <c r="H18" s="333">
        <f t="shared" ref="H18:H109" si="9">SUMIF(I$12:AB$12,"总值",I18:AB18)</f>
        <v>3830.34</v>
      </c>
      <c r="I18" s="334">
        <v>3830.34</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t="str">
        <f t="shared" ref="AX18:AX112" si="13">C18</f>
        <v>二号宿舍楼（女宿舍楼）</v>
      </c>
      <c r="AY18" s="337">
        <f t="shared" ref="AY18:AY109" si="14">ROUND($AY$6*AZ18/$AZ$5,2)</f>
        <v>4796.3900000000003</v>
      </c>
      <c r="AZ18" s="330">
        <f t="shared" ref="AZ18:AZ109" si="15">BA18+BL18</f>
        <v>3830.34</v>
      </c>
      <c r="BA18" s="330">
        <f t="shared" ref="BA18:BA109" si="16">SUM(BB18:BK18)</f>
        <v>3830.34</v>
      </c>
      <c r="BB18" s="330">
        <f t="shared" ref="BB18:BB109" si="17">IF($D18="是",I18-J18,0)</f>
        <v>3830.34</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40.5">
      <c r="A19" s="303"/>
      <c r="B19" s="329"/>
      <c r="C19" s="3312" t="s">
        <v>3431</v>
      </c>
      <c r="D19" s="217" t="s">
        <v>39</v>
      </c>
      <c r="E19" s="330">
        <f t="shared" si="7"/>
        <v>8612.4699999999993</v>
      </c>
      <c r="F19" s="331"/>
      <c r="G19" s="332">
        <f t="shared" si="8"/>
        <v>6877.81</v>
      </c>
      <c r="H19" s="333">
        <f t="shared" si="9"/>
        <v>6877.81</v>
      </c>
      <c r="I19" s="334">
        <v>6877.81</v>
      </c>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t="str">
        <f t="shared" si="13"/>
        <v>食堂配送中心（6号楼）</v>
      </c>
      <c r="AY19" s="337">
        <f t="shared" si="14"/>
        <v>8612.4699999999993</v>
      </c>
      <c r="AZ19" s="330">
        <f t="shared" si="15"/>
        <v>6877.81</v>
      </c>
      <c r="BA19" s="330">
        <f t="shared" si="16"/>
        <v>6877.81</v>
      </c>
      <c r="BB19" s="330">
        <f t="shared" si="17"/>
        <v>6877.81</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81">
      <c r="A20" s="303"/>
      <c r="B20" s="329"/>
      <c r="C20" s="3623" t="s">
        <v>3432</v>
      </c>
      <c r="D20" s="217" t="s">
        <v>39</v>
      </c>
      <c r="E20" s="330">
        <f t="shared" si="7"/>
        <v>3165.41</v>
      </c>
      <c r="F20" s="331"/>
      <c r="G20" s="332">
        <f t="shared" si="8"/>
        <v>2527.86</v>
      </c>
      <c r="H20" s="333">
        <f t="shared" si="9"/>
        <v>2527.86</v>
      </c>
      <c r="I20" s="334">
        <v>2527.86</v>
      </c>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t="str">
        <f t="shared" si="13"/>
        <v>高尔夫综合楼1、2527.86    2、2539.00（7号楼）</v>
      </c>
      <c r="AY20" s="337">
        <f t="shared" si="14"/>
        <v>3165.41</v>
      </c>
      <c r="AZ20" s="330">
        <f t="shared" si="15"/>
        <v>2527.86</v>
      </c>
      <c r="BA20" s="330">
        <f t="shared" si="16"/>
        <v>2527.86</v>
      </c>
      <c r="BB20" s="330">
        <f t="shared" si="17"/>
        <v>2527.86</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624"/>
      <c r="D21" s="217" t="s">
        <v>39</v>
      </c>
      <c r="E21" s="330">
        <f t="shared" si="7"/>
        <v>3179.36</v>
      </c>
      <c r="F21" s="331"/>
      <c r="G21" s="332">
        <f t="shared" si="8"/>
        <v>2539</v>
      </c>
      <c r="H21" s="333">
        <f t="shared" si="9"/>
        <v>2539</v>
      </c>
      <c r="I21" s="334">
        <v>2539</v>
      </c>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3179.36</v>
      </c>
      <c r="AZ21" s="330">
        <f t="shared" si="15"/>
        <v>2539</v>
      </c>
      <c r="BA21" s="330">
        <f t="shared" si="16"/>
        <v>2539</v>
      </c>
      <c r="BB21" s="330">
        <f t="shared" si="17"/>
        <v>2539</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27">
      <c r="A22" s="303"/>
      <c r="B22" s="329"/>
      <c r="C22" s="3313" t="s">
        <v>3433</v>
      </c>
      <c r="D22" s="217" t="s">
        <v>39</v>
      </c>
      <c r="E22" s="330">
        <f t="shared" si="7"/>
        <v>219.81</v>
      </c>
      <c r="F22" s="331"/>
      <c r="G22" s="332">
        <f t="shared" si="8"/>
        <v>175.54</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175.54</v>
      </c>
      <c r="AD22" s="335"/>
      <c r="AE22" s="335"/>
      <c r="AF22" s="335"/>
      <c r="AG22" s="335"/>
      <c r="AH22" s="335"/>
      <c r="AI22" s="335"/>
      <c r="AJ22" s="335"/>
      <c r="AK22" s="335"/>
      <c r="AL22" s="3319">
        <v>175.54</v>
      </c>
      <c r="AM22" s="335"/>
      <c r="AN22" s="335"/>
      <c r="AO22" s="335"/>
      <c r="AP22" s="335"/>
      <c r="AQ22" s="335"/>
      <c r="AR22" s="335"/>
      <c r="AS22" s="335"/>
      <c r="AT22" s="336"/>
      <c r="AU22" s="8"/>
      <c r="AV22" s="2219">
        <f t="shared" si="11"/>
        <v>0</v>
      </c>
      <c r="AW22" s="2219">
        <f t="shared" si="12"/>
        <v>0</v>
      </c>
      <c r="AX22" s="2219" t="str">
        <f t="shared" si="13"/>
        <v>广场东厕所</v>
      </c>
      <c r="AY22" s="337">
        <f t="shared" si="14"/>
        <v>219.81</v>
      </c>
      <c r="AZ22" s="330">
        <f t="shared" si="15"/>
        <v>175.54</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175.54</v>
      </c>
      <c r="BM22" s="330">
        <f t="shared" si="28"/>
        <v>0</v>
      </c>
      <c r="BN22" s="330">
        <f t="shared" si="29"/>
        <v>0</v>
      </c>
      <c r="BO22" s="330">
        <f t="shared" si="30"/>
        <v>0</v>
      </c>
      <c r="BP22" s="330">
        <f t="shared" si="31"/>
        <v>0</v>
      </c>
      <c r="BQ22" s="330">
        <f t="shared" si="32"/>
        <v>175.54</v>
      </c>
      <c r="BR22" s="330">
        <f t="shared" si="33"/>
        <v>0</v>
      </c>
      <c r="BS22" s="330">
        <f t="shared" si="34"/>
        <v>0</v>
      </c>
      <c r="BT22" s="338">
        <f t="shared" si="35"/>
        <v>0</v>
      </c>
    </row>
    <row r="23" spans="1:72" ht="27">
      <c r="A23" s="303"/>
      <c r="B23" s="329"/>
      <c r="C23" s="3313" t="s">
        <v>3434</v>
      </c>
      <c r="D23" s="217" t="s">
        <v>39</v>
      </c>
      <c r="E23" s="330">
        <f t="shared" si="7"/>
        <v>219.81</v>
      </c>
      <c r="F23" s="331"/>
      <c r="G23" s="332">
        <f t="shared" si="8"/>
        <v>175.54</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175.54</v>
      </c>
      <c r="AD23" s="335"/>
      <c r="AE23" s="335"/>
      <c r="AF23" s="335"/>
      <c r="AG23" s="335"/>
      <c r="AH23" s="335"/>
      <c r="AI23" s="335"/>
      <c r="AJ23" s="335"/>
      <c r="AK23" s="335"/>
      <c r="AL23" s="3319">
        <v>175.54</v>
      </c>
      <c r="AM23" s="335"/>
      <c r="AN23" s="335"/>
      <c r="AO23" s="335"/>
      <c r="AP23" s="335"/>
      <c r="AQ23" s="335"/>
      <c r="AR23" s="335"/>
      <c r="AS23" s="335"/>
      <c r="AT23" s="336"/>
      <c r="AU23" s="8"/>
      <c r="AV23" s="2219">
        <f t="shared" si="11"/>
        <v>0</v>
      </c>
      <c r="AW23" s="2219">
        <f t="shared" si="12"/>
        <v>0</v>
      </c>
      <c r="AX23" s="2219" t="str">
        <f t="shared" si="13"/>
        <v>广场西厕所</v>
      </c>
      <c r="AY23" s="337">
        <f t="shared" si="14"/>
        <v>219.81</v>
      </c>
      <c r="AZ23" s="330">
        <f t="shared" si="15"/>
        <v>175.54</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175.54</v>
      </c>
      <c r="BM23" s="330">
        <f t="shared" si="28"/>
        <v>0</v>
      </c>
      <c r="BN23" s="330">
        <f t="shared" si="29"/>
        <v>0</v>
      </c>
      <c r="BO23" s="330">
        <f t="shared" si="30"/>
        <v>0</v>
      </c>
      <c r="BP23" s="330">
        <f t="shared" si="31"/>
        <v>0</v>
      </c>
      <c r="BQ23" s="330">
        <f t="shared" si="32"/>
        <v>175.54</v>
      </c>
      <c r="BR23" s="330">
        <f t="shared" si="33"/>
        <v>0</v>
      </c>
      <c r="BS23" s="330">
        <f t="shared" si="34"/>
        <v>0</v>
      </c>
      <c r="BT23" s="338">
        <f t="shared" si="35"/>
        <v>0</v>
      </c>
    </row>
    <row r="24" spans="1:72" ht="81">
      <c r="A24" s="303"/>
      <c r="B24" s="329"/>
      <c r="C24" s="3625" t="s">
        <v>3435</v>
      </c>
      <c r="D24" s="217" t="s">
        <v>39</v>
      </c>
      <c r="E24" s="330">
        <f t="shared" si="7"/>
        <v>393.16</v>
      </c>
      <c r="F24" s="331"/>
      <c r="G24" s="332">
        <f t="shared" si="8"/>
        <v>313.97000000000003</v>
      </c>
      <c r="H24" s="333">
        <f t="shared" si="9"/>
        <v>313.97000000000003</v>
      </c>
      <c r="I24" s="3319">
        <v>313.97000000000003</v>
      </c>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t="str">
        <f t="shared" si="13"/>
        <v>角亭（2个）1、313.97   2、313.97（酒窖东侧）</v>
      </c>
      <c r="AY24" s="337">
        <f t="shared" si="14"/>
        <v>393.16</v>
      </c>
      <c r="AZ24" s="330">
        <f t="shared" si="15"/>
        <v>313.97000000000003</v>
      </c>
      <c r="BA24" s="330">
        <f t="shared" si="16"/>
        <v>313.97000000000003</v>
      </c>
      <c r="BB24" s="330">
        <f t="shared" si="17"/>
        <v>313.97000000000003</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626"/>
      <c r="D25" s="217" t="s">
        <v>39</v>
      </c>
      <c r="E25" s="330">
        <f t="shared" si="7"/>
        <v>393.16</v>
      </c>
      <c r="F25" s="331"/>
      <c r="G25" s="332">
        <f t="shared" si="8"/>
        <v>313.97000000000003</v>
      </c>
      <c r="H25" s="333">
        <f t="shared" si="9"/>
        <v>313.97000000000003</v>
      </c>
      <c r="I25" s="3318">
        <v>313.97000000000003</v>
      </c>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393.16</v>
      </c>
      <c r="AZ25" s="330">
        <f t="shared" si="15"/>
        <v>313.97000000000003</v>
      </c>
      <c r="BA25" s="330">
        <f t="shared" si="16"/>
        <v>313.97000000000003</v>
      </c>
      <c r="BB25" s="330">
        <f t="shared" si="17"/>
        <v>313.97000000000003</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40.5">
      <c r="A26" s="303"/>
      <c r="B26" s="329"/>
      <c r="C26" s="3312" t="s">
        <v>3436</v>
      </c>
      <c r="D26" s="217" t="s">
        <v>39</v>
      </c>
      <c r="E26" s="330">
        <f t="shared" si="7"/>
        <v>628.11</v>
      </c>
      <c r="F26" s="331"/>
      <c r="G26" s="332">
        <f t="shared" si="8"/>
        <v>501.6</v>
      </c>
      <c r="H26" s="333">
        <f t="shared" si="9"/>
        <v>501.6</v>
      </c>
      <c r="I26" s="3318">
        <v>501.6</v>
      </c>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t="str">
        <f t="shared" si="13"/>
        <v>小船12个（酒窖东侧）</v>
      </c>
      <c r="AY26" s="337">
        <f t="shared" si="14"/>
        <v>628.11</v>
      </c>
      <c r="AZ26" s="330">
        <f t="shared" si="15"/>
        <v>501.6</v>
      </c>
      <c r="BA26" s="330">
        <f t="shared" si="16"/>
        <v>501.6</v>
      </c>
      <c r="BB26" s="330">
        <f t="shared" si="17"/>
        <v>501.6</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27">
      <c r="A27" s="303"/>
      <c r="B27" s="329"/>
      <c r="C27" s="3314" t="s">
        <v>3437</v>
      </c>
      <c r="D27" s="217" t="s">
        <v>39</v>
      </c>
      <c r="E27" s="330">
        <f t="shared" si="7"/>
        <v>9122.61</v>
      </c>
      <c r="F27" s="331"/>
      <c r="G27" s="332">
        <f t="shared" si="8"/>
        <v>7285.2</v>
      </c>
      <c r="H27" s="333">
        <f t="shared" si="9"/>
        <v>7285.2</v>
      </c>
      <c r="I27" s="3319">
        <v>7285.2</v>
      </c>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t="str">
        <f t="shared" si="13"/>
        <v>御舫苑（酒窖）</v>
      </c>
      <c r="AY27" s="337">
        <f t="shared" si="14"/>
        <v>9122.61</v>
      </c>
      <c r="AZ27" s="330">
        <f t="shared" si="15"/>
        <v>7285.2</v>
      </c>
      <c r="BA27" s="330">
        <f t="shared" si="16"/>
        <v>7285.2</v>
      </c>
      <c r="BB27" s="330">
        <f t="shared" si="17"/>
        <v>7285.2</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40.5">
      <c r="A28" s="303"/>
      <c r="B28" s="329"/>
      <c r="C28" s="3313" t="s">
        <v>3438</v>
      </c>
      <c r="D28" s="217" t="s">
        <v>39</v>
      </c>
      <c r="E28" s="330">
        <f t="shared" si="7"/>
        <v>972.72</v>
      </c>
      <c r="F28" s="331"/>
      <c r="G28" s="332">
        <f t="shared" si="8"/>
        <v>776.8</v>
      </c>
      <c r="H28" s="333">
        <f t="shared" si="9"/>
        <v>776.8</v>
      </c>
      <c r="I28" s="3319">
        <v>776.8</v>
      </c>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t="str">
        <f t="shared" si="13"/>
        <v>老北京四合院5号院（北院）</v>
      </c>
      <c r="AY28" s="337">
        <f t="shared" si="14"/>
        <v>972.72</v>
      </c>
      <c r="AZ28" s="330">
        <f t="shared" si="15"/>
        <v>776.8</v>
      </c>
      <c r="BA28" s="330">
        <f t="shared" si="16"/>
        <v>776.8</v>
      </c>
      <c r="BB28" s="330">
        <f t="shared" si="17"/>
        <v>776.8</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40.5">
      <c r="A29" s="303"/>
      <c r="B29" s="329"/>
      <c r="C29" s="3313" t="s">
        <v>3439</v>
      </c>
      <c r="D29" s="217" t="s">
        <v>39</v>
      </c>
      <c r="E29" s="330">
        <f t="shared" si="7"/>
        <v>972.72</v>
      </c>
      <c r="F29" s="331"/>
      <c r="G29" s="332">
        <f t="shared" si="8"/>
        <v>776.8</v>
      </c>
      <c r="H29" s="333">
        <f t="shared" si="9"/>
        <v>776.8</v>
      </c>
      <c r="I29" s="3319">
        <v>776.8</v>
      </c>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t="str">
        <f t="shared" si="13"/>
        <v>老北京四合院6号院（北院）</v>
      </c>
      <c r="AY29" s="337">
        <f t="shared" si="14"/>
        <v>972.72</v>
      </c>
      <c r="AZ29" s="330">
        <f t="shared" si="15"/>
        <v>776.8</v>
      </c>
      <c r="BA29" s="330">
        <f t="shared" si="16"/>
        <v>776.8</v>
      </c>
      <c r="BB29" s="330">
        <f t="shared" si="17"/>
        <v>776.8</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40.5">
      <c r="A30" s="303"/>
      <c r="B30" s="329"/>
      <c r="C30" s="3313" t="s">
        <v>3440</v>
      </c>
      <c r="D30" s="217" t="s">
        <v>39</v>
      </c>
      <c r="E30" s="330">
        <f t="shared" si="7"/>
        <v>972.72</v>
      </c>
      <c r="F30" s="331"/>
      <c r="G30" s="332">
        <f t="shared" si="8"/>
        <v>776.8</v>
      </c>
      <c r="H30" s="333">
        <f t="shared" si="9"/>
        <v>776.8</v>
      </c>
      <c r="I30" s="3319">
        <v>776.8</v>
      </c>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t="str">
        <f t="shared" si="13"/>
        <v>老北京四合院8号院（北院）</v>
      </c>
      <c r="AY30" s="337">
        <f t="shared" si="14"/>
        <v>972.72</v>
      </c>
      <c r="AZ30" s="330">
        <f t="shared" si="15"/>
        <v>776.8</v>
      </c>
      <c r="BA30" s="330">
        <f t="shared" si="16"/>
        <v>776.8</v>
      </c>
      <c r="BB30" s="330">
        <f t="shared" si="17"/>
        <v>776.8</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40.5">
      <c r="A31" s="303"/>
      <c r="B31" s="329"/>
      <c r="C31" s="3313" t="s">
        <v>3441</v>
      </c>
      <c r="D31" s="217" t="s">
        <v>39</v>
      </c>
      <c r="E31" s="330">
        <f t="shared" si="7"/>
        <v>972.72</v>
      </c>
      <c r="F31" s="331"/>
      <c r="G31" s="332">
        <f t="shared" si="8"/>
        <v>776.8</v>
      </c>
      <c r="H31" s="333">
        <f t="shared" si="9"/>
        <v>776.8</v>
      </c>
      <c r="I31" s="3319">
        <v>776.8</v>
      </c>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t="str">
        <f t="shared" si="13"/>
        <v>老北京四合院7号院（北院）</v>
      </c>
      <c r="AY31" s="337">
        <f t="shared" si="14"/>
        <v>972.72</v>
      </c>
      <c r="AZ31" s="330">
        <f t="shared" si="15"/>
        <v>776.8</v>
      </c>
      <c r="BA31" s="330">
        <f t="shared" si="16"/>
        <v>776.8</v>
      </c>
      <c r="BB31" s="330">
        <f t="shared" si="17"/>
        <v>776.8</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40.5">
      <c r="A32" s="303"/>
      <c r="B32" s="329"/>
      <c r="C32" s="3313" t="s">
        <v>3442</v>
      </c>
      <c r="D32" s="217" t="s">
        <v>39</v>
      </c>
      <c r="E32" s="330">
        <f t="shared" si="7"/>
        <v>948.71</v>
      </c>
      <c r="F32" s="331"/>
      <c r="G32" s="332">
        <f t="shared" si="8"/>
        <v>757.63</v>
      </c>
      <c r="H32" s="333">
        <f t="shared" si="9"/>
        <v>757.63</v>
      </c>
      <c r="I32" s="3319">
        <v>757.63</v>
      </c>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t="str">
        <f t="shared" si="13"/>
        <v>老北京四合院1号院（南院）</v>
      </c>
      <c r="AY32" s="337">
        <f t="shared" si="14"/>
        <v>948.71</v>
      </c>
      <c r="AZ32" s="330">
        <f t="shared" si="15"/>
        <v>757.63</v>
      </c>
      <c r="BA32" s="330">
        <f t="shared" si="16"/>
        <v>757.63</v>
      </c>
      <c r="BB32" s="330">
        <f t="shared" si="17"/>
        <v>757.63</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40.5">
      <c r="A33" s="303"/>
      <c r="B33" s="329"/>
      <c r="C33" s="3313" t="s">
        <v>3443</v>
      </c>
      <c r="D33" s="217" t="s">
        <v>39</v>
      </c>
      <c r="E33" s="330">
        <f t="shared" si="7"/>
        <v>948.71</v>
      </c>
      <c r="F33" s="331"/>
      <c r="G33" s="332">
        <f t="shared" si="8"/>
        <v>757.63</v>
      </c>
      <c r="H33" s="333">
        <f t="shared" si="9"/>
        <v>757.63</v>
      </c>
      <c r="I33" s="3319">
        <v>757.63</v>
      </c>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t="str">
        <f t="shared" si="13"/>
        <v>老北京四合院2号院（南院）</v>
      </c>
      <c r="AY33" s="337">
        <f t="shared" si="14"/>
        <v>948.71</v>
      </c>
      <c r="AZ33" s="330">
        <f t="shared" si="15"/>
        <v>757.63</v>
      </c>
      <c r="BA33" s="330">
        <f t="shared" si="16"/>
        <v>757.63</v>
      </c>
      <c r="BB33" s="330">
        <f t="shared" si="17"/>
        <v>757.63</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40.5">
      <c r="A34" s="303"/>
      <c r="B34" s="329"/>
      <c r="C34" s="3313" t="s">
        <v>3444</v>
      </c>
      <c r="D34" s="217" t="s">
        <v>39</v>
      </c>
      <c r="E34" s="330">
        <f t="shared" si="7"/>
        <v>948.71</v>
      </c>
      <c r="F34" s="331"/>
      <c r="G34" s="332">
        <f t="shared" si="8"/>
        <v>757.63</v>
      </c>
      <c r="H34" s="333">
        <f t="shared" si="9"/>
        <v>757.63</v>
      </c>
      <c r="I34" s="3319">
        <v>757.63</v>
      </c>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t="str">
        <f t="shared" si="13"/>
        <v>老北京四合院3号院（南院）</v>
      </c>
      <c r="AY34" s="337">
        <f t="shared" si="14"/>
        <v>948.71</v>
      </c>
      <c r="AZ34" s="330">
        <f t="shared" si="15"/>
        <v>757.63</v>
      </c>
      <c r="BA34" s="330">
        <f t="shared" si="16"/>
        <v>757.63</v>
      </c>
      <c r="BB34" s="330">
        <f t="shared" si="17"/>
        <v>757.63</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40.5">
      <c r="A35" s="303"/>
      <c r="B35" s="329"/>
      <c r="C35" s="3314" t="s">
        <v>3445</v>
      </c>
      <c r="D35" s="217" t="s">
        <v>39</v>
      </c>
      <c r="E35" s="330">
        <f t="shared" si="7"/>
        <v>948.71</v>
      </c>
      <c r="F35" s="331"/>
      <c r="G35" s="332">
        <f t="shared" si="8"/>
        <v>757.63</v>
      </c>
      <c r="H35" s="333">
        <f t="shared" si="9"/>
        <v>757.63</v>
      </c>
      <c r="I35" s="3319">
        <v>757.63</v>
      </c>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t="str">
        <f t="shared" si="13"/>
        <v>老北京四合院4号院（南院）</v>
      </c>
      <c r="AY35" s="337">
        <f t="shared" si="14"/>
        <v>948.71</v>
      </c>
      <c r="AZ35" s="330">
        <f t="shared" si="15"/>
        <v>757.63</v>
      </c>
      <c r="BA35" s="330">
        <f t="shared" si="16"/>
        <v>757.63</v>
      </c>
      <c r="BB35" s="330">
        <f t="shared" si="17"/>
        <v>757.63</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314" t="s">
        <v>3446</v>
      </c>
      <c r="D36" s="217" t="s">
        <v>39</v>
      </c>
      <c r="E36" s="330">
        <f t="shared" si="7"/>
        <v>4036.65</v>
      </c>
      <c r="F36" s="331"/>
      <c r="G36" s="332">
        <f t="shared" si="8"/>
        <v>3223.62</v>
      </c>
      <c r="H36" s="333">
        <f t="shared" si="9"/>
        <v>3223.62</v>
      </c>
      <c r="I36" s="3319">
        <v>3223.62</v>
      </c>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t="str">
        <f t="shared" si="13"/>
        <v>亲王府</v>
      </c>
      <c r="AY36" s="337">
        <f t="shared" si="14"/>
        <v>4036.65</v>
      </c>
      <c r="AZ36" s="330">
        <f t="shared" si="15"/>
        <v>3223.62</v>
      </c>
      <c r="BA36" s="330">
        <f t="shared" si="16"/>
        <v>3223.62</v>
      </c>
      <c r="BB36" s="330">
        <f t="shared" si="17"/>
        <v>3223.62</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67.5">
      <c r="A37" s="303"/>
      <c r="B37" s="329"/>
      <c r="C37" s="3618" t="s">
        <v>3447</v>
      </c>
      <c r="D37" s="217" t="s">
        <v>39</v>
      </c>
      <c r="E37" s="330">
        <f t="shared" si="7"/>
        <v>13390.08</v>
      </c>
      <c r="F37" s="331"/>
      <c r="G37" s="332">
        <f t="shared" si="8"/>
        <v>10693.15</v>
      </c>
      <c r="H37" s="333">
        <f t="shared" si="9"/>
        <v>10693.15</v>
      </c>
      <c r="I37" s="3319">
        <v>10693.15</v>
      </c>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t="str">
        <f t="shared" si="13"/>
        <v>大安宫;1、10693.15  2、2345.68</v>
      </c>
      <c r="AY37" s="337">
        <f t="shared" si="14"/>
        <v>13390.08</v>
      </c>
      <c r="AZ37" s="330">
        <f t="shared" si="15"/>
        <v>10693.15</v>
      </c>
      <c r="BA37" s="330">
        <f t="shared" si="16"/>
        <v>10693.15</v>
      </c>
      <c r="BB37" s="330">
        <f t="shared" si="17"/>
        <v>10693.15</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619"/>
      <c r="D38" s="217" t="s">
        <v>39</v>
      </c>
      <c r="E38" s="330">
        <f t="shared" si="7"/>
        <v>2937.29</v>
      </c>
      <c r="F38" s="331"/>
      <c r="G38" s="332">
        <f t="shared" si="8"/>
        <v>2345.6799999999998</v>
      </c>
      <c r="H38" s="333">
        <f t="shared" si="9"/>
        <v>2345.6799999999998</v>
      </c>
      <c r="I38" s="3319">
        <v>2345.6799999999998</v>
      </c>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2937.29</v>
      </c>
      <c r="AZ38" s="330">
        <f t="shared" si="15"/>
        <v>2345.6799999999998</v>
      </c>
      <c r="BA38" s="330">
        <f t="shared" si="16"/>
        <v>2345.6799999999998</v>
      </c>
      <c r="BB38" s="330">
        <f t="shared" si="17"/>
        <v>2345.6799999999998</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314" t="s">
        <v>3448</v>
      </c>
      <c r="D39" s="217" t="s">
        <v>39</v>
      </c>
      <c r="E39" s="330">
        <f t="shared" si="7"/>
        <v>8745.9599999999991</v>
      </c>
      <c r="F39" s="331"/>
      <c r="G39" s="332">
        <f t="shared" si="8"/>
        <v>6984.41</v>
      </c>
      <c r="H39" s="333">
        <f t="shared" si="9"/>
        <v>6984.41</v>
      </c>
      <c r="I39" s="3319">
        <v>6984.41</v>
      </c>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t="str">
        <f t="shared" si="13"/>
        <v>永安宫</v>
      </c>
      <c r="AY39" s="337">
        <f t="shared" si="14"/>
        <v>8745.9599999999991</v>
      </c>
      <c r="AZ39" s="330">
        <f t="shared" si="15"/>
        <v>6984.41</v>
      </c>
      <c r="BA39" s="330">
        <f t="shared" si="16"/>
        <v>6984.41</v>
      </c>
      <c r="BB39" s="330">
        <f t="shared" si="17"/>
        <v>6984.41</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314" t="s">
        <v>3449</v>
      </c>
      <c r="D40" s="217" t="s">
        <v>39</v>
      </c>
      <c r="E40" s="330">
        <f t="shared" si="7"/>
        <v>3416.04</v>
      </c>
      <c r="F40" s="331"/>
      <c r="G40" s="332">
        <f t="shared" si="8"/>
        <v>2728.01</v>
      </c>
      <c r="H40" s="333">
        <f t="shared" si="9"/>
        <v>2728.01</v>
      </c>
      <c r="I40" s="3319">
        <v>2728.01</v>
      </c>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t="str">
        <f t="shared" si="13"/>
        <v>合和茶房</v>
      </c>
      <c r="AY40" s="337">
        <f t="shared" si="14"/>
        <v>3416.04</v>
      </c>
      <c r="AZ40" s="330">
        <f t="shared" si="15"/>
        <v>2728.01</v>
      </c>
      <c r="BA40" s="330">
        <f t="shared" si="16"/>
        <v>2728.01</v>
      </c>
      <c r="BB40" s="330">
        <f t="shared" si="17"/>
        <v>2728.01</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314" t="s">
        <v>3450</v>
      </c>
      <c r="D41" s="217" t="s">
        <v>39</v>
      </c>
      <c r="E41" s="330">
        <f t="shared" si="7"/>
        <v>16253.5</v>
      </c>
      <c r="F41" s="331"/>
      <c r="G41" s="332">
        <f t="shared" si="8"/>
        <v>12979.84</v>
      </c>
      <c r="H41" s="333">
        <f t="shared" si="9"/>
        <v>12979.84</v>
      </c>
      <c r="I41" s="3319">
        <v>12979.84</v>
      </c>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t="str">
        <f t="shared" si="13"/>
        <v>大安寺</v>
      </c>
      <c r="AY41" s="337">
        <f t="shared" si="14"/>
        <v>16253.5</v>
      </c>
      <c r="AZ41" s="330">
        <f t="shared" si="15"/>
        <v>12979.84</v>
      </c>
      <c r="BA41" s="330">
        <f t="shared" si="16"/>
        <v>12979.84</v>
      </c>
      <c r="BB41" s="330">
        <f t="shared" si="17"/>
        <v>12979.84</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314" t="s">
        <v>3451</v>
      </c>
      <c r="D42" s="217" t="s">
        <v>39</v>
      </c>
      <c r="E42" s="330">
        <f t="shared" si="7"/>
        <v>2853.95</v>
      </c>
      <c r="F42" s="331"/>
      <c r="G42" s="332">
        <f t="shared" si="8"/>
        <v>2279.13</v>
      </c>
      <c r="H42" s="333">
        <f t="shared" si="9"/>
        <v>2279.13</v>
      </c>
      <c r="I42" s="3319">
        <v>2279.13</v>
      </c>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t="str">
        <f t="shared" si="13"/>
        <v>郡王府</v>
      </c>
      <c r="AY42" s="337">
        <f t="shared" si="14"/>
        <v>2853.95</v>
      </c>
      <c r="AZ42" s="330">
        <f t="shared" si="15"/>
        <v>2279.13</v>
      </c>
      <c r="BA42" s="330">
        <f t="shared" si="16"/>
        <v>2279.13</v>
      </c>
      <c r="BB42" s="330">
        <f t="shared" si="17"/>
        <v>2279.13</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40.5">
      <c r="A43" s="303"/>
      <c r="B43" s="329"/>
      <c r="C43" s="3314" t="s">
        <v>3452</v>
      </c>
      <c r="D43" s="217" t="s">
        <v>39</v>
      </c>
      <c r="E43" s="330">
        <f t="shared" si="7"/>
        <v>969.67</v>
      </c>
      <c r="F43" s="331"/>
      <c r="G43" s="332">
        <f t="shared" si="8"/>
        <v>774.37</v>
      </c>
      <c r="H43" s="333">
        <f t="shared" si="9"/>
        <v>774.37</v>
      </c>
      <c r="I43" s="3319">
        <v>774.37</v>
      </c>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t="str">
        <f t="shared" si="13"/>
        <v>洗浴中心与西区客房连廊</v>
      </c>
      <c r="AY43" s="337">
        <f t="shared" si="14"/>
        <v>969.67</v>
      </c>
      <c r="AZ43" s="330">
        <f t="shared" si="15"/>
        <v>774.37</v>
      </c>
      <c r="BA43" s="330">
        <f t="shared" si="16"/>
        <v>774.37</v>
      </c>
      <c r="BB43" s="330">
        <f t="shared" si="17"/>
        <v>774.37</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54">
      <c r="A44" s="303"/>
      <c r="B44" s="329"/>
      <c r="C44" s="3312" t="s">
        <v>3453</v>
      </c>
      <c r="D44" s="217" t="s">
        <v>39</v>
      </c>
      <c r="E44" s="330">
        <f t="shared" si="7"/>
        <v>66.12</v>
      </c>
      <c r="F44" s="331"/>
      <c r="G44" s="332">
        <f t="shared" si="8"/>
        <v>52.8</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52.8</v>
      </c>
      <c r="AD44" s="335"/>
      <c r="AE44" s="335"/>
      <c r="AF44" s="335"/>
      <c r="AG44" s="335"/>
      <c r="AH44" s="335"/>
      <c r="AI44" s="335"/>
      <c r="AJ44" s="335"/>
      <c r="AK44" s="335"/>
      <c r="AL44" s="3320">
        <v>52.8</v>
      </c>
      <c r="AM44" s="335"/>
      <c r="AN44" s="335"/>
      <c r="AO44" s="335"/>
      <c r="AP44" s="335"/>
      <c r="AQ44" s="335"/>
      <c r="AR44" s="335"/>
      <c r="AS44" s="335"/>
      <c r="AT44" s="336"/>
      <c r="AU44" s="8"/>
      <c r="AV44" s="2219">
        <f t="shared" si="11"/>
        <v>0</v>
      </c>
      <c r="AW44" s="2219">
        <f t="shared" si="12"/>
        <v>0</v>
      </c>
      <c r="AX44" s="2219" t="str">
        <f t="shared" si="13"/>
        <v>电瓶车站（福安宫西侧三间房）</v>
      </c>
      <c r="AY44" s="337">
        <f t="shared" si="14"/>
        <v>66.12</v>
      </c>
      <c r="AZ44" s="330">
        <f t="shared" si="15"/>
        <v>52.8</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52.8</v>
      </c>
      <c r="BM44" s="330">
        <f t="shared" si="28"/>
        <v>0</v>
      </c>
      <c r="BN44" s="330">
        <f t="shared" si="29"/>
        <v>0</v>
      </c>
      <c r="BO44" s="330">
        <f t="shared" si="30"/>
        <v>0</v>
      </c>
      <c r="BP44" s="330">
        <f t="shared" si="31"/>
        <v>0</v>
      </c>
      <c r="BQ44" s="330">
        <f t="shared" si="32"/>
        <v>52.8</v>
      </c>
      <c r="BR44" s="330">
        <f t="shared" si="33"/>
        <v>0</v>
      </c>
      <c r="BS44" s="330">
        <f t="shared" si="34"/>
        <v>0</v>
      </c>
      <c r="BT44" s="338">
        <f t="shared" si="35"/>
        <v>0</v>
      </c>
    </row>
    <row r="45" spans="1:72" ht="27">
      <c r="A45" s="303"/>
      <c r="B45" s="329"/>
      <c r="C45" s="3313" t="s">
        <v>3454</v>
      </c>
      <c r="D45" s="217" t="s">
        <v>39</v>
      </c>
      <c r="E45" s="330">
        <f t="shared" si="7"/>
        <v>87.72</v>
      </c>
      <c r="F45" s="331"/>
      <c r="G45" s="332">
        <f t="shared" si="8"/>
        <v>70.05</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70.05</v>
      </c>
      <c r="AD45" s="335"/>
      <c r="AE45" s="335"/>
      <c r="AF45" s="335"/>
      <c r="AG45" s="335"/>
      <c r="AH45" s="335"/>
      <c r="AI45" s="335"/>
      <c r="AJ45" s="335"/>
      <c r="AK45" s="335"/>
      <c r="AL45" s="3319">
        <v>70.05</v>
      </c>
      <c r="AM45" s="335"/>
      <c r="AN45" s="335"/>
      <c r="AO45" s="335"/>
      <c r="AP45" s="335"/>
      <c r="AQ45" s="335"/>
      <c r="AR45" s="335"/>
      <c r="AS45" s="335"/>
      <c r="AT45" s="336"/>
      <c r="AU45" s="8"/>
      <c r="AV45" s="2219">
        <f t="shared" si="11"/>
        <v>0</v>
      </c>
      <c r="AW45" s="2219">
        <f t="shared" si="12"/>
        <v>0</v>
      </c>
      <c r="AX45" s="2219" t="str">
        <f t="shared" si="13"/>
        <v>正大光明殿厕所</v>
      </c>
      <c r="AY45" s="337">
        <f t="shared" si="14"/>
        <v>87.72</v>
      </c>
      <c r="AZ45" s="330">
        <f t="shared" si="15"/>
        <v>70.05</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70.05</v>
      </c>
      <c r="BM45" s="330">
        <f t="shared" si="28"/>
        <v>0</v>
      </c>
      <c r="BN45" s="330">
        <f t="shared" si="29"/>
        <v>0</v>
      </c>
      <c r="BO45" s="330">
        <f t="shared" si="30"/>
        <v>0</v>
      </c>
      <c r="BP45" s="330">
        <f t="shared" si="31"/>
        <v>0</v>
      </c>
      <c r="BQ45" s="330">
        <f t="shared" si="32"/>
        <v>70.05</v>
      </c>
      <c r="BR45" s="330">
        <f t="shared" si="33"/>
        <v>0</v>
      </c>
      <c r="BS45" s="330">
        <f t="shared" si="34"/>
        <v>0</v>
      </c>
      <c r="BT45" s="338">
        <f t="shared" si="35"/>
        <v>0</v>
      </c>
    </row>
    <row r="46" spans="1:72" ht="40.5">
      <c r="A46" s="303"/>
      <c r="B46" s="329"/>
      <c r="C46" s="3313" t="s">
        <v>3455</v>
      </c>
      <c r="D46" s="217" t="s">
        <v>39</v>
      </c>
      <c r="E46" s="330">
        <f t="shared" si="7"/>
        <v>338.66</v>
      </c>
      <c r="F46" s="331"/>
      <c r="G46" s="332">
        <f t="shared" si="8"/>
        <v>270.45</v>
      </c>
      <c r="H46" s="333">
        <f t="shared" si="9"/>
        <v>270.45</v>
      </c>
      <c r="I46" s="3319">
        <v>270.45</v>
      </c>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t="str">
        <f t="shared" si="13"/>
        <v>福海波光别墅（平湖3号院）</v>
      </c>
      <c r="AY46" s="337">
        <f t="shared" si="14"/>
        <v>338.66</v>
      </c>
      <c r="AZ46" s="330">
        <f t="shared" si="15"/>
        <v>270.45</v>
      </c>
      <c r="BA46" s="330">
        <f t="shared" si="16"/>
        <v>270.45</v>
      </c>
      <c r="BB46" s="330">
        <f t="shared" si="17"/>
        <v>270.45</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40.5">
      <c r="A47" s="303"/>
      <c r="B47" s="329"/>
      <c r="C47" s="3314" t="s">
        <v>3456</v>
      </c>
      <c r="D47" s="217" t="s">
        <v>39</v>
      </c>
      <c r="E47" s="330">
        <f t="shared" si="7"/>
        <v>294.5</v>
      </c>
      <c r="F47" s="331"/>
      <c r="G47" s="332">
        <f t="shared" si="8"/>
        <v>235.18</v>
      </c>
      <c r="H47" s="333">
        <f t="shared" si="9"/>
        <v>235.18</v>
      </c>
      <c r="I47" s="3319">
        <v>235.18</v>
      </c>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t="str">
        <f t="shared" si="13"/>
        <v>秋深月皎别墅（平湖2号院）</v>
      </c>
      <c r="AY47" s="337">
        <f t="shared" si="14"/>
        <v>294.5</v>
      </c>
      <c r="AZ47" s="330">
        <f t="shared" si="15"/>
        <v>235.18</v>
      </c>
      <c r="BA47" s="330">
        <f t="shared" si="16"/>
        <v>235.18</v>
      </c>
      <c r="BB47" s="330">
        <f t="shared" si="17"/>
        <v>235.18</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54">
      <c r="A48" s="303"/>
      <c r="B48" s="329"/>
      <c r="C48" s="3314" t="s">
        <v>3457</v>
      </c>
      <c r="D48" s="217" t="s">
        <v>39</v>
      </c>
      <c r="E48" s="330">
        <f t="shared" si="7"/>
        <v>478.77</v>
      </c>
      <c r="F48" s="331"/>
      <c r="G48" s="332">
        <f t="shared" si="8"/>
        <v>382.34</v>
      </c>
      <c r="H48" s="333">
        <f t="shared" si="9"/>
        <v>382.34</v>
      </c>
      <c r="I48" s="3319">
        <v>382.34</v>
      </c>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t="str">
        <f t="shared" si="13"/>
        <v>别墅畅怀堂宴会厅（平湖餐厅）</v>
      </c>
      <c r="AY48" s="337">
        <f t="shared" si="14"/>
        <v>478.77</v>
      </c>
      <c r="AZ48" s="330">
        <f t="shared" si="15"/>
        <v>382.34</v>
      </c>
      <c r="BA48" s="330">
        <f t="shared" si="16"/>
        <v>382.34</v>
      </c>
      <c r="BB48" s="330">
        <f t="shared" si="17"/>
        <v>382.34</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40.5">
      <c r="A49" s="303"/>
      <c r="B49" s="329"/>
      <c r="C49" s="3314" t="s">
        <v>3458</v>
      </c>
      <c r="D49" s="217" t="s">
        <v>39</v>
      </c>
      <c r="E49" s="330">
        <f t="shared" si="7"/>
        <v>827.89</v>
      </c>
      <c r="F49" s="331"/>
      <c r="G49" s="332">
        <f t="shared" si="8"/>
        <v>661.14</v>
      </c>
      <c r="H49" s="333">
        <f t="shared" si="9"/>
        <v>661.14</v>
      </c>
      <c r="I49" s="3319">
        <v>661.14</v>
      </c>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t="str">
        <f t="shared" si="13"/>
        <v>平湖秋月别墅（平湖1号院）</v>
      </c>
      <c r="AY49" s="337">
        <f t="shared" si="14"/>
        <v>827.89</v>
      </c>
      <c r="AZ49" s="330">
        <f t="shared" si="15"/>
        <v>661.14</v>
      </c>
      <c r="BA49" s="330">
        <f t="shared" si="16"/>
        <v>661.14</v>
      </c>
      <c r="BB49" s="330">
        <f t="shared" si="17"/>
        <v>661.14</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27">
      <c r="A50" s="303"/>
      <c r="B50" s="329"/>
      <c r="C50" s="3314" t="s">
        <v>3459</v>
      </c>
      <c r="D50" s="217" t="s">
        <v>39</v>
      </c>
      <c r="E50" s="330">
        <f t="shared" si="7"/>
        <v>269.08</v>
      </c>
      <c r="F50" s="331"/>
      <c r="G50" s="332">
        <f t="shared" si="8"/>
        <v>214.88</v>
      </c>
      <c r="H50" s="333">
        <f t="shared" si="9"/>
        <v>214.88</v>
      </c>
      <c r="I50" s="3319">
        <v>214.88</v>
      </c>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t="str">
        <f t="shared" si="13"/>
        <v>平湖秋月工作间</v>
      </c>
      <c r="AY50" s="337">
        <f t="shared" si="14"/>
        <v>269.08</v>
      </c>
      <c r="AZ50" s="330">
        <f t="shared" si="15"/>
        <v>214.88</v>
      </c>
      <c r="BA50" s="330">
        <f t="shared" si="16"/>
        <v>214.88</v>
      </c>
      <c r="BB50" s="330">
        <f t="shared" si="17"/>
        <v>214.88</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27">
      <c r="A51" s="303"/>
      <c r="B51" s="329"/>
      <c r="C51" s="3314" t="s">
        <v>3460</v>
      </c>
      <c r="D51" s="217" t="s">
        <v>39</v>
      </c>
      <c r="E51" s="330">
        <f t="shared" si="7"/>
        <v>1565.13</v>
      </c>
      <c r="F51" s="331"/>
      <c r="G51" s="332">
        <f t="shared" si="8"/>
        <v>1249.8900000000001</v>
      </c>
      <c r="H51" s="333">
        <f t="shared" si="9"/>
        <v>1249.8900000000001</v>
      </c>
      <c r="I51" s="3319">
        <v>1249.8900000000001</v>
      </c>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t="str">
        <f t="shared" si="13"/>
        <v>正大光明殿</v>
      </c>
      <c r="AY51" s="337">
        <f t="shared" si="14"/>
        <v>1565.13</v>
      </c>
      <c r="AZ51" s="330">
        <f t="shared" si="15"/>
        <v>1249.8900000000001</v>
      </c>
      <c r="BA51" s="330">
        <f t="shared" si="16"/>
        <v>1249.8900000000001</v>
      </c>
      <c r="BB51" s="330">
        <f t="shared" si="17"/>
        <v>1249.8900000000001</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314" t="s">
        <v>3461</v>
      </c>
      <c r="D52" s="217" t="s">
        <v>39</v>
      </c>
      <c r="E52" s="330">
        <f t="shared" si="7"/>
        <v>326.85000000000002</v>
      </c>
      <c r="F52" s="331"/>
      <c r="G52" s="332">
        <f t="shared" si="8"/>
        <v>261.02</v>
      </c>
      <c r="H52" s="333">
        <f t="shared" si="9"/>
        <v>261.02</v>
      </c>
      <c r="I52" s="3319">
        <v>261.02</v>
      </c>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t="str">
        <f t="shared" si="13"/>
        <v>上下天光</v>
      </c>
      <c r="AY52" s="337">
        <f t="shared" si="14"/>
        <v>326.85000000000002</v>
      </c>
      <c r="AZ52" s="330">
        <f t="shared" si="15"/>
        <v>261.02</v>
      </c>
      <c r="BA52" s="330">
        <f t="shared" si="16"/>
        <v>261.02</v>
      </c>
      <c r="BB52" s="330">
        <f t="shared" si="17"/>
        <v>261.02</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314" t="s">
        <v>3462</v>
      </c>
      <c r="D53" s="217" t="s">
        <v>39</v>
      </c>
      <c r="E53" s="330">
        <f t="shared" si="7"/>
        <v>2477.7800000000002</v>
      </c>
      <c r="F53" s="331"/>
      <c r="G53" s="332">
        <f t="shared" si="8"/>
        <v>1978.72</v>
      </c>
      <c r="H53" s="333">
        <f t="shared" si="9"/>
        <v>1978.72</v>
      </c>
      <c r="I53" s="3319">
        <v>1978.72</v>
      </c>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t="str">
        <f t="shared" si="13"/>
        <v>九州清宴</v>
      </c>
      <c r="AY53" s="337">
        <f t="shared" si="14"/>
        <v>2477.7800000000002</v>
      </c>
      <c r="AZ53" s="330">
        <f t="shared" si="15"/>
        <v>1978.72</v>
      </c>
      <c r="BA53" s="330">
        <f t="shared" si="16"/>
        <v>1978.72</v>
      </c>
      <c r="BB53" s="330">
        <f t="shared" si="17"/>
        <v>1978.72</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27">
      <c r="A54" s="303"/>
      <c r="B54" s="329"/>
      <c r="C54" s="3314" t="s">
        <v>3463</v>
      </c>
      <c r="D54" s="217" t="s">
        <v>39</v>
      </c>
      <c r="E54" s="330">
        <f t="shared" si="7"/>
        <v>3161.18</v>
      </c>
      <c r="F54" s="331"/>
      <c r="G54" s="332">
        <f t="shared" si="8"/>
        <v>2524.48</v>
      </c>
      <c r="H54" s="333">
        <f t="shared" si="9"/>
        <v>2524.48</v>
      </c>
      <c r="I54" s="3319">
        <v>2524.48</v>
      </c>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t="str">
        <f t="shared" si="13"/>
        <v>远瀛观、大水法</v>
      </c>
      <c r="AY54" s="337">
        <f t="shared" si="14"/>
        <v>3161.18</v>
      </c>
      <c r="AZ54" s="330">
        <f t="shared" si="15"/>
        <v>2524.48</v>
      </c>
      <c r="BA54" s="330">
        <f t="shared" si="16"/>
        <v>2524.48</v>
      </c>
      <c r="BB54" s="330">
        <f t="shared" si="17"/>
        <v>2524.48</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27">
      <c r="A55" s="303"/>
      <c r="B55" s="329"/>
      <c r="C55" s="3314" t="s">
        <v>3464</v>
      </c>
      <c r="D55" s="217" t="s">
        <v>39</v>
      </c>
      <c r="E55" s="330">
        <f t="shared" si="7"/>
        <v>175345.03</v>
      </c>
      <c r="F55" s="331"/>
      <c r="G55" s="332">
        <f t="shared" si="8"/>
        <v>140028.32</v>
      </c>
      <c r="H55" s="333">
        <f t="shared" si="9"/>
        <v>140028.32</v>
      </c>
      <c r="I55" s="3319">
        <v>140028.32</v>
      </c>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t="str">
        <f t="shared" si="13"/>
        <v>福安宫大酒店</v>
      </c>
      <c r="AY55" s="337">
        <f t="shared" si="14"/>
        <v>175345.03</v>
      </c>
      <c r="AZ55" s="330">
        <f t="shared" si="15"/>
        <v>140028.32</v>
      </c>
      <c r="BA55" s="330">
        <f t="shared" si="16"/>
        <v>140028.32</v>
      </c>
      <c r="BB55" s="330">
        <f t="shared" si="17"/>
        <v>140028.32</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40.5">
      <c r="A56" s="303"/>
      <c r="B56" s="329"/>
      <c r="C56" s="3314" t="s">
        <v>3465</v>
      </c>
      <c r="D56" s="217" t="s">
        <v>39</v>
      </c>
      <c r="E56" s="330">
        <f t="shared" si="7"/>
        <v>969.67</v>
      </c>
      <c r="F56" s="331"/>
      <c r="G56" s="332">
        <f t="shared" si="8"/>
        <v>774.37</v>
      </c>
      <c r="H56" s="333">
        <f t="shared" si="9"/>
        <v>774.37</v>
      </c>
      <c r="I56" s="3321">
        <v>774.37</v>
      </c>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t="str">
        <f t="shared" si="13"/>
        <v>会议中心与东区客房连廊</v>
      </c>
      <c r="AY56" s="337">
        <f t="shared" si="14"/>
        <v>969.67</v>
      </c>
      <c r="AZ56" s="330">
        <f t="shared" si="15"/>
        <v>774.37</v>
      </c>
      <c r="BA56" s="330">
        <f t="shared" si="16"/>
        <v>774.37</v>
      </c>
      <c r="BB56" s="330">
        <f t="shared" si="17"/>
        <v>774.37</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54">
      <c r="A57" s="303"/>
      <c r="B57" s="329"/>
      <c r="C57" s="3625" t="s">
        <v>3466</v>
      </c>
      <c r="D57" s="217" t="s">
        <v>39</v>
      </c>
      <c r="E57" s="330">
        <f t="shared" si="7"/>
        <v>114.31</v>
      </c>
      <c r="F57" s="331"/>
      <c r="G57" s="332">
        <f t="shared" si="8"/>
        <v>91.29</v>
      </c>
      <c r="H57" s="333">
        <f t="shared" si="9"/>
        <v>91.29</v>
      </c>
      <c r="I57" s="3321">
        <v>91.29</v>
      </c>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t="str">
        <f t="shared" si="13"/>
        <v>广渠门北侧库房及南侧接待厅</v>
      </c>
      <c r="AY57" s="337">
        <f t="shared" si="14"/>
        <v>114.31</v>
      </c>
      <c r="AZ57" s="330">
        <f t="shared" si="15"/>
        <v>91.29</v>
      </c>
      <c r="BA57" s="330">
        <f t="shared" si="16"/>
        <v>91.29</v>
      </c>
      <c r="BB57" s="330">
        <f t="shared" si="17"/>
        <v>91.29</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626"/>
      <c r="D58" s="217" t="s">
        <v>39</v>
      </c>
      <c r="E58" s="330">
        <f t="shared" si="7"/>
        <v>162.38999999999999</v>
      </c>
      <c r="F58" s="331"/>
      <c r="G58" s="332">
        <f t="shared" si="8"/>
        <v>129.68</v>
      </c>
      <c r="H58" s="333">
        <f t="shared" si="9"/>
        <v>129.68</v>
      </c>
      <c r="I58" s="3318">
        <v>129.68</v>
      </c>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162.38999999999999</v>
      </c>
      <c r="AZ58" s="330">
        <f t="shared" si="15"/>
        <v>129.68</v>
      </c>
      <c r="BA58" s="330">
        <f t="shared" si="16"/>
        <v>129.68</v>
      </c>
      <c r="BB58" s="330">
        <f t="shared" si="17"/>
        <v>129.68</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27">
      <c r="A59" s="303"/>
      <c r="B59" s="329"/>
      <c r="C59" s="3313" t="s">
        <v>3467</v>
      </c>
      <c r="D59" s="217" t="s">
        <v>39</v>
      </c>
      <c r="E59" s="330">
        <f t="shared" si="7"/>
        <v>590.13</v>
      </c>
      <c r="F59" s="331"/>
      <c r="G59" s="332">
        <f t="shared" si="8"/>
        <v>471.27</v>
      </c>
      <c r="H59" s="333">
        <f t="shared" si="9"/>
        <v>471.27</v>
      </c>
      <c r="I59" s="3319">
        <v>471.27</v>
      </c>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t="str">
        <f t="shared" si="13"/>
        <v>外城东南角楼</v>
      </c>
      <c r="AY59" s="337">
        <f t="shared" si="14"/>
        <v>590.13</v>
      </c>
      <c r="AZ59" s="330">
        <f t="shared" si="15"/>
        <v>471.27</v>
      </c>
      <c r="BA59" s="330">
        <f t="shared" si="16"/>
        <v>471.27</v>
      </c>
      <c r="BB59" s="330">
        <f t="shared" si="17"/>
        <v>471.27</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27">
      <c r="A60" s="303"/>
      <c r="B60" s="329"/>
      <c r="C60" s="3313" t="s">
        <v>3468</v>
      </c>
      <c r="D60" s="217" t="s">
        <v>39</v>
      </c>
      <c r="E60" s="330">
        <f t="shared" si="7"/>
        <v>590.13</v>
      </c>
      <c r="F60" s="331"/>
      <c r="G60" s="332">
        <f t="shared" si="8"/>
        <v>471.27</v>
      </c>
      <c r="H60" s="333">
        <f t="shared" si="9"/>
        <v>471.27</v>
      </c>
      <c r="I60" s="3319">
        <v>471.27</v>
      </c>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t="str">
        <f t="shared" si="13"/>
        <v>外城西南角楼</v>
      </c>
      <c r="AY60" s="337">
        <f t="shared" si="14"/>
        <v>590.13</v>
      </c>
      <c r="AZ60" s="330">
        <f t="shared" si="15"/>
        <v>471.27</v>
      </c>
      <c r="BA60" s="330">
        <f t="shared" si="16"/>
        <v>471.27</v>
      </c>
      <c r="BB60" s="330">
        <f t="shared" si="17"/>
        <v>471.27</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27">
      <c r="A61" s="303"/>
      <c r="B61" s="329"/>
      <c r="C61" s="3313" t="s">
        <v>3469</v>
      </c>
      <c r="D61" s="217" t="s">
        <v>39</v>
      </c>
      <c r="E61" s="330">
        <f t="shared" si="7"/>
        <v>1457.64</v>
      </c>
      <c r="F61" s="331"/>
      <c r="G61" s="332">
        <f t="shared" si="8"/>
        <v>1164.05</v>
      </c>
      <c r="H61" s="333">
        <f t="shared" si="9"/>
        <v>1164.05</v>
      </c>
      <c r="I61" s="3319">
        <v>1164.05</v>
      </c>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t="str">
        <f t="shared" si="13"/>
        <v>左安门城楼</v>
      </c>
      <c r="AY61" s="337">
        <f t="shared" si="14"/>
        <v>1457.64</v>
      </c>
      <c r="AZ61" s="330">
        <f t="shared" si="15"/>
        <v>1164.05</v>
      </c>
      <c r="BA61" s="330">
        <f t="shared" si="16"/>
        <v>1164.05</v>
      </c>
      <c r="BB61" s="330">
        <f t="shared" si="17"/>
        <v>1164.05</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27">
      <c r="A62" s="303"/>
      <c r="B62" s="329"/>
      <c r="C62" s="3314" t="s">
        <v>3470</v>
      </c>
      <c r="D62" s="217" t="s">
        <v>39</v>
      </c>
      <c r="E62" s="330">
        <f t="shared" si="7"/>
        <v>552.73</v>
      </c>
      <c r="F62" s="331"/>
      <c r="G62" s="332">
        <f t="shared" si="8"/>
        <v>441.4</v>
      </c>
      <c r="H62" s="333">
        <f t="shared" si="9"/>
        <v>441.4</v>
      </c>
      <c r="I62" s="3319">
        <v>441.4</v>
      </c>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t="str">
        <f t="shared" si="13"/>
        <v>东便门城楼</v>
      </c>
      <c r="AY62" s="337">
        <f t="shared" si="14"/>
        <v>552.73</v>
      </c>
      <c r="AZ62" s="330">
        <f t="shared" si="15"/>
        <v>441.4</v>
      </c>
      <c r="BA62" s="330">
        <f t="shared" si="16"/>
        <v>441.4</v>
      </c>
      <c r="BB62" s="330">
        <f t="shared" si="17"/>
        <v>441.4</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27">
      <c r="A63" s="303"/>
      <c r="B63" s="329"/>
      <c r="C63" s="3314" t="s">
        <v>3471</v>
      </c>
      <c r="D63" s="217" t="s">
        <v>39</v>
      </c>
      <c r="E63" s="330">
        <f t="shared" si="7"/>
        <v>1457.64</v>
      </c>
      <c r="F63" s="331"/>
      <c r="G63" s="332">
        <f t="shared" si="8"/>
        <v>1164.05</v>
      </c>
      <c r="H63" s="333">
        <f t="shared" si="9"/>
        <v>1164.05</v>
      </c>
      <c r="I63" s="3319">
        <v>1164.05</v>
      </c>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t="str">
        <f t="shared" si="13"/>
        <v>右安门城楼</v>
      </c>
      <c r="AY63" s="337">
        <f t="shared" si="14"/>
        <v>1457.64</v>
      </c>
      <c r="AZ63" s="330">
        <f t="shared" si="15"/>
        <v>1164.05</v>
      </c>
      <c r="BA63" s="330">
        <f t="shared" si="16"/>
        <v>1164.05</v>
      </c>
      <c r="BB63" s="330">
        <f t="shared" si="17"/>
        <v>1164.05</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27">
      <c r="A64" s="303"/>
      <c r="B64" s="329"/>
      <c r="C64" s="3314" t="s">
        <v>3472</v>
      </c>
      <c r="D64" s="217" t="s">
        <v>39</v>
      </c>
      <c r="E64" s="330">
        <f t="shared" si="7"/>
        <v>4514.8500000000004</v>
      </c>
      <c r="F64" s="331"/>
      <c r="G64" s="332">
        <f t="shared" si="8"/>
        <v>3605.5</v>
      </c>
      <c r="H64" s="333">
        <f t="shared" si="9"/>
        <v>3605.5</v>
      </c>
      <c r="I64" s="3319">
        <v>3605.5</v>
      </c>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t="str">
        <f t="shared" si="13"/>
        <v>广渠门城楼</v>
      </c>
      <c r="AY64" s="337">
        <f t="shared" si="14"/>
        <v>4514.8500000000004</v>
      </c>
      <c r="AZ64" s="330">
        <f t="shared" si="15"/>
        <v>3605.5</v>
      </c>
      <c r="BA64" s="330">
        <f t="shared" si="16"/>
        <v>3605.5</v>
      </c>
      <c r="BB64" s="330">
        <f t="shared" si="17"/>
        <v>3605.5</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27">
      <c r="A65" s="303"/>
      <c r="B65" s="329"/>
      <c r="C65" s="3314" t="s">
        <v>3473</v>
      </c>
      <c r="D65" s="217" t="s">
        <v>39</v>
      </c>
      <c r="E65" s="330">
        <f t="shared" si="7"/>
        <v>4514.8500000000004</v>
      </c>
      <c r="F65" s="331"/>
      <c r="G65" s="332">
        <f t="shared" si="8"/>
        <v>3605.5</v>
      </c>
      <c r="H65" s="333">
        <f t="shared" si="9"/>
        <v>3605.5</v>
      </c>
      <c r="I65" s="3319">
        <v>3605.5</v>
      </c>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t="str">
        <f t="shared" si="13"/>
        <v>广安门城楼</v>
      </c>
      <c r="AY65" s="337">
        <f t="shared" si="14"/>
        <v>4514.8500000000004</v>
      </c>
      <c r="AZ65" s="330">
        <f t="shared" si="15"/>
        <v>3605.5</v>
      </c>
      <c r="BA65" s="330">
        <f t="shared" si="16"/>
        <v>3605.5</v>
      </c>
      <c r="BB65" s="330">
        <f t="shared" si="17"/>
        <v>3605.5</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27">
      <c r="A66" s="303"/>
      <c r="B66" s="329"/>
      <c r="C66" s="3314" t="s">
        <v>3474</v>
      </c>
      <c r="D66" s="217" t="s">
        <v>39</v>
      </c>
      <c r="E66" s="330">
        <f t="shared" si="7"/>
        <v>552.73</v>
      </c>
      <c r="F66" s="331"/>
      <c r="G66" s="332">
        <f t="shared" si="8"/>
        <v>441.4</v>
      </c>
      <c r="H66" s="333">
        <f t="shared" si="9"/>
        <v>441.4</v>
      </c>
      <c r="I66" s="3319">
        <v>441.4</v>
      </c>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t="str">
        <f t="shared" si="13"/>
        <v>西便门城楼</v>
      </c>
      <c r="AY66" s="337">
        <f t="shared" si="14"/>
        <v>552.73</v>
      </c>
      <c r="AZ66" s="330">
        <f t="shared" si="15"/>
        <v>441.4</v>
      </c>
      <c r="BA66" s="330">
        <f t="shared" si="16"/>
        <v>441.4</v>
      </c>
      <c r="BB66" s="330">
        <f t="shared" si="17"/>
        <v>441.4</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40.5">
      <c r="A67" s="303"/>
      <c r="B67" s="329"/>
      <c r="C67" s="3314" t="s">
        <v>3475</v>
      </c>
      <c r="D67" s="217" t="s">
        <v>39</v>
      </c>
      <c r="E67" s="330">
        <f t="shared" si="7"/>
        <v>4463.04</v>
      </c>
      <c r="F67" s="331"/>
      <c r="G67" s="332">
        <f t="shared" si="8"/>
        <v>3564.13</v>
      </c>
      <c r="H67" s="333">
        <f t="shared" si="9"/>
        <v>3564.13</v>
      </c>
      <c r="I67" s="3319">
        <v>3564.13</v>
      </c>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t="str">
        <f t="shared" si="13"/>
        <v>广安门－西便门客房</v>
      </c>
      <c r="AY67" s="337">
        <f t="shared" si="14"/>
        <v>4463.04</v>
      </c>
      <c r="AZ67" s="330">
        <f t="shared" si="15"/>
        <v>3564.13</v>
      </c>
      <c r="BA67" s="330">
        <f t="shared" si="16"/>
        <v>3564.13</v>
      </c>
      <c r="BB67" s="330">
        <f t="shared" si="17"/>
        <v>3564.13</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40.5">
      <c r="A68" s="303"/>
      <c r="B68" s="329"/>
      <c r="C68" s="3314" t="s">
        <v>3476</v>
      </c>
      <c r="D68" s="217" t="s">
        <v>39</v>
      </c>
      <c r="E68" s="330">
        <f t="shared" si="7"/>
        <v>4463.04</v>
      </c>
      <c r="F68" s="331"/>
      <c r="G68" s="332">
        <f t="shared" si="8"/>
        <v>3564.13</v>
      </c>
      <c r="H68" s="333">
        <f t="shared" si="9"/>
        <v>3564.13</v>
      </c>
      <c r="I68" s="3319">
        <v>3564.13</v>
      </c>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t="str">
        <f t="shared" si="13"/>
        <v>广渠门－东便门客房</v>
      </c>
      <c r="AY68" s="337">
        <f t="shared" si="14"/>
        <v>4463.04</v>
      </c>
      <c r="AZ68" s="330">
        <f t="shared" si="15"/>
        <v>3564.13</v>
      </c>
      <c r="BA68" s="330">
        <f t="shared" si="16"/>
        <v>3564.13</v>
      </c>
      <c r="BB68" s="330">
        <f t="shared" si="17"/>
        <v>3564.13</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27">
      <c r="A69" s="303"/>
      <c r="B69" s="329"/>
      <c r="C69" s="3314" t="s">
        <v>3477</v>
      </c>
      <c r="D69" s="217" t="s">
        <v>39</v>
      </c>
      <c r="E69" s="330">
        <f t="shared" si="7"/>
        <v>8992.7000000000007</v>
      </c>
      <c r="F69" s="331"/>
      <c r="G69" s="332">
        <f t="shared" si="8"/>
        <v>7181.46</v>
      </c>
      <c r="H69" s="333">
        <f t="shared" si="9"/>
        <v>7181.46</v>
      </c>
      <c r="I69" s="3319">
        <v>7181.46</v>
      </c>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t="str">
        <f t="shared" si="13"/>
        <v>右安门-西闸门客房</v>
      </c>
      <c r="AY69" s="337">
        <f t="shared" si="14"/>
        <v>8992.7000000000007</v>
      </c>
      <c r="AZ69" s="330">
        <f t="shared" si="15"/>
        <v>7181.46</v>
      </c>
      <c r="BA69" s="330">
        <f t="shared" si="16"/>
        <v>7181.46</v>
      </c>
      <c r="BB69" s="330">
        <f t="shared" si="17"/>
        <v>7181.46</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40.5">
      <c r="A70" s="303"/>
      <c r="B70" s="329"/>
      <c r="C70" s="3314" t="s">
        <v>3478</v>
      </c>
      <c r="D70" s="217" t="s">
        <v>39</v>
      </c>
      <c r="E70" s="330">
        <f t="shared" si="7"/>
        <v>4147.2</v>
      </c>
      <c r="F70" s="331"/>
      <c r="G70" s="332">
        <f t="shared" si="8"/>
        <v>3311.9</v>
      </c>
      <c r="H70" s="333">
        <f t="shared" si="9"/>
        <v>3311.9</v>
      </c>
      <c r="I70" s="3319">
        <v>3311.9</v>
      </c>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t="str">
        <f t="shared" si="13"/>
        <v>左安门－东南角楼客房</v>
      </c>
      <c r="AY70" s="337">
        <f t="shared" si="14"/>
        <v>4147.2</v>
      </c>
      <c r="AZ70" s="330">
        <f t="shared" si="15"/>
        <v>3311.9</v>
      </c>
      <c r="BA70" s="330">
        <f t="shared" si="16"/>
        <v>3311.9</v>
      </c>
      <c r="BB70" s="330">
        <f t="shared" si="17"/>
        <v>3311.9</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40.5">
      <c r="A71" s="303"/>
      <c r="B71" s="329"/>
      <c r="C71" s="3314" t="s">
        <v>3479</v>
      </c>
      <c r="D71" s="217" t="s">
        <v>39</v>
      </c>
      <c r="E71" s="330">
        <f t="shared" si="7"/>
        <v>4161.66</v>
      </c>
      <c r="F71" s="331"/>
      <c r="G71" s="332">
        <f t="shared" si="8"/>
        <v>3323.45</v>
      </c>
      <c r="H71" s="333">
        <f t="shared" si="9"/>
        <v>3323.45</v>
      </c>
      <c r="I71" s="3319">
        <v>3323.45</v>
      </c>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t="str">
        <f t="shared" si="13"/>
        <v>西南角楼－右安门客房</v>
      </c>
      <c r="AY71" s="337">
        <f t="shared" si="14"/>
        <v>4161.66</v>
      </c>
      <c r="AZ71" s="330">
        <f t="shared" si="15"/>
        <v>3323.45</v>
      </c>
      <c r="BA71" s="330">
        <f t="shared" si="16"/>
        <v>3323.45</v>
      </c>
      <c r="BB71" s="330">
        <f t="shared" si="17"/>
        <v>3323.45</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40.5">
      <c r="A72" s="303"/>
      <c r="B72" s="329"/>
      <c r="C72" s="3314" t="s">
        <v>3480</v>
      </c>
      <c r="D72" s="217" t="s">
        <v>39</v>
      </c>
      <c r="E72" s="330">
        <f t="shared" si="7"/>
        <v>8992.7000000000007</v>
      </c>
      <c r="F72" s="331"/>
      <c r="G72" s="332">
        <f t="shared" si="8"/>
        <v>7181.46</v>
      </c>
      <c r="H72" s="333">
        <f t="shared" si="9"/>
        <v>7181.46</v>
      </c>
      <c r="I72" s="3319">
        <v>7181.46</v>
      </c>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t="str">
        <f t="shared" si="13"/>
        <v>东闸门－左安门客房</v>
      </c>
      <c r="AY72" s="337">
        <f t="shared" si="14"/>
        <v>8992.7000000000007</v>
      </c>
      <c r="AZ72" s="330">
        <f t="shared" si="15"/>
        <v>7181.46</v>
      </c>
      <c r="BA72" s="330">
        <f t="shared" si="16"/>
        <v>7181.46</v>
      </c>
      <c r="BB72" s="330">
        <f t="shared" si="17"/>
        <v>7181.46</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40.5">
      <c r="A73" s="303"/>
      <c r="B73" s="329"/>
      <c r="C73" s="3314" t="s">
        <v>3481</v>
      </c>
      <c r="D73" s="217" t="s">
        <v>39</v>
      </c>
      <c r="E73" s="330">
        <f t="shared" si="7"/>
        <v>2989.29</v>
      </c>
      <c r="F73" s="331"/>
      <c r="G73" s="332">
        <f t="shared" si="8"/>
        <v>2387.21</v>
      </c>
      <c r="H73" s="333">
        <f t="shared" si="9"/>
        <v>2387.21</v>
      </c>
      <c r="I73" s="3319">
        <v>2387.21</v>
      </c>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t="str">
        <f t="shared" si="13"/>
        <v>东南角楼-广渠门客房</v>
      </c>
      <c r="AY73" s="337">
        <f t="shared" si="14"/>
        <v>2989.29</v>
      </c>
      <c r="AZ73" s="330">
        <f t="shared" si="15"/>
        <v>2387.21</v>
      </c>
      <c r="BA73" s="330">
        <f t="shared" si="16"/>
        <v>2387.21</v>
      </c>
      <c r="BB73" s="330">
        <f t="shared" si="17"/>
        <v>2387.21</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40.5">
      <c r="A74" s="303"/>
      <c r="B74" s="329"/>
      <c r="C74" s="3314" t="s">
        <v>3482</v>
      </c>
      <c r="D74" s="217" t="s">
        <v>39</v>
      </c>
      <c r="E74" s="330">
        <f t="shared" si="7"/>
        <v>2989.29</v>
      </c>
      <c r="F74" s="331"/>
      <c r="G74" s="332">
        <f t="shared" si="8"/>
        <v>2387.21</v>
      </c>
      <c r="H74" s="333">
        <f t="shared" si="9"/>
        <v>2387.21</v>
      </c>
      <c r="I74" s="3319">
        <v>2387.21</v>
      </c>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t="str">
        <f t="shared" si="13"/>
        <v>西南角楼-广安门客房</v>
      </c>
      <c r="AY74" s="337">
        <f t="shared" si="14"/>
        <v>2989.29</v>
      </c>
      <c r="AZ74" s="330">
        <f t="shared" si="15"/>
        <v>2387.21</v>
      </c>
      <c r="BA74" s="330">
        <f t="shared" si="16"/>
        <v>2387.21</v>
      </c>
      <c r="BB74" s="330">
        <f t="shared" si="17"/>
        <v>2387.21</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27">
      <c r="A75" s="303"/>
      <c r="B75" s="329"/>
      <c r="C75" s="3314" t="s">
        <v>3483</v>
      </c>
      <c r="D75" s="217" t="s">
        <v>39</v>
      </c>
      <c r="E75" s="330">
        <f t="shared" si="7"/>
        <v>1246.05</v>
      </c>
      <c r="F75" s="331"/>
      <c r="G75" s="332">
        <f t="shared" si="8"/>
        <v>995.08</v>
      </c>
      <c r="H75" s="333">
        <f t="shared" si="9"/>
        <v>995.08</v>
      </c>
      <c r="I75" s="3319">
        <v>995.08</v>
      </c>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t="str">
        <f t="shared" si="13"/>
        <v>东便门西段</v>
      </c>
      <c r="AY75" s="337">
        <f t="shared" si="14"/>
        <v>1246.05</v>
      </c>
      <c r="AZ75" s="330">
        <f t="shared" si="15"/>
        <v>995.08</v>
      </c>
      <c r="BA75" s="330">
        <f t="shared" si="16"/>
        <v>995.08</v>
      </c>
      <c r="BB75" s="330">
        <f t="shared" si="17"/>
        <v>995.08</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27">
      <c r="A76" s="303"/>
      <c r="B76" s="329"/>
      <c r="C76" s="3314" t="s">
        <v>3484</v>
      </c>
      <c r="D76" s="217" t="s">
        <v>39</v>
      </c>
      <c r="E76" s="330">
        <f t="shared" si="7"/>
        <v>1246.05</v>
      </c>
      <c r="F76" s="331"/>
      <c r="G76" s="332">
        <f t="shared" si="8"/>
        <v>995.08</v>
      </c>
      <c r="H76" s="333">
        <f t="shared" si="9"/>
        <v>995.08</v>
      </c>
      <c r="I76" s="3319">
        <v>995.08</v>
      </c>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t="str">
        <f t="shared" si="13"/>
        <v>西便门东段</v>
      </c>
      <c r="AY76" s="337">
        <f t="shared" si="14"/>
        <v>1246.05</v>
      </c>
      <c r="AZ76" s="330">
        <f t="shared" si="15"/>
        <v>995.08</v>
      </c>
      <c r="BA76" s="330">
        <f t="shared" si="16"/>
        <v>995.08</v>
      </c>
      <c r="BB76" s="330">
        <f t="shared" si="17"/>
        <v>995.08</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27">
      <c r="A77" s="303"/>
      <c r="B77" s="329"/>
      <c r="C77" s="3313" t="s">
        <v>3485</v>
      </c>
      <c r="D77" s="217" t="s">
        <v>39</v>
      </c>
      <c r="E77" s="330">
        <f t="shared" si="7"/>
        <v>1538.24</v>
      </c>
      <c r="F77" s="331"/>
      <c r="G77" s="332">
        <f t="shared" si="8"/>
        <v>1228.42</v>
      </c>
      <c r="H77" s="333">
        <f t="shared" si="9"/>
        <v>1228.42</v>
      </c>
      <c r="I77" s="3319">
        <v>1228.42</v>
      </c>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t="str">
        <f t="shared" si="13"/>
        <v>永定门翁城东半部</v>
      </c>
      <c r="AY77" s="337">
        <f t="shared" si="14"/>
        <v>1538.24</v>
      </c>
      <c r="AZ77" s="330">
        <f t="shared" si="15"/>
        <v>1228.42</v>
      </c>
      <c r="BA77" s="330">
        <f t="shared" si="16"/>
        <v>1228.42</v>
      </c>
      <c r="BB77" s="330">
        <f t="shared" si="17"/>
        <v>1228.42</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27">
      <c r="A78" s="303"/>
      <c r="B78" s="329"/>
      <c r="C78" s="3314" t="s">
        <v>3486</v>
      </c>
      <c r="D78" s="217" t="s">
        <v>39</v>
      </c>
      <c r="E78" s="330">
        <f t="shared" si="7"/>
        <v>1538.24</v>
      </c>
      <c r="F78" s="331"/>
      <c r="G78" s="332">
        <f t="shared" si="8"/>
        <v>1228.42</v>
      </c>
      <c r="H78" s="333">
        <f t="shared" si="9"/>
        <v>1228.42</v>
      </c>
      <c r="I78" s="3319">
        <v>1228.42</v>
      </c>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t="str">
        <f t="shared" si="13"/>
        <v>永定门翁城西半部</v>
      </c>
      <c r="AY78" s="337">
        <f t="shared" si="14"/>
        <v>1538.24</v>
      </c>
      <c r="AZ78" s="330">
        <f t="shared" si="15"/>
        <v>1228.42</v>
      </c>
      <c r="BA78" s="330">
        <f t="shared" si="16"/>
        <v>1228.42</v>
      </c>
      <c r="BB78" s="330">
        <f t="shared" si="17"/>
        <v>1228.42</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27">
      <c r="A79" s="303"/>
      <c r="B79" s="329"/>
      <c r="C79" s="3314" t="s">
        <v>3487</v>
      </c>
      <c r="D79" s="217" t="s">
        <v>39</v>
      </c>
      <c r="E79" s="330">
        <f t="shared" si="7"/>
        <v>938.19</v>
      </c>
      <c r="F79" s="331"/>
      <c r="G79" s="332">
        <f t="shared" si="8"/>
        <v>749.23</v>
      </c>
      <c r="H79" s="333">
        <f t="shared" si="9"/>
        <v>749.23</v>
      </c>
      <c r="I79" s="3319">
        <v>749.23</v>
      </c>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t="str">
        <f t="shared" si="13"/>
        <v>永定门箭楼</v>
      </c>
      <c r="AY79" s="337">
        <f t="shared" si="14"/>
        <v>938.19</v>
      </c>
      <c r="AZ79" s="330">
        <f t="shared" si="15"/>
        <v>749.23</v>
      </c>
      <c r="BA79" s="330">
        <f t="shared" si="16"/>
        <v>749.23</v>
      </c>
      <c r="BB79" s="330">
        <f t="shared" si="17"/>
        <v>749.23</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27">
      <c r="A80" s="303"/>
      <c r="B80" s="329"/>
      <c r="C80" s="3314" t="s">
        <v>3488</v>
      </c>
      <c r="D80" s="217" t="s">
        <v>39</v>
      </c>
      <c r="E80" s="330">
        <f t="shared" si="7"/>
        <v>6503.18</v>
      </c>
      <c r="F80" s="331"/>
      <c r="G80" s="332">
        <f t="shared" si="8"/>
        <v>5193.3599999999997</v>
      </c>
      <c r="H80" s="333">
        <f t="shared" si="9"/>
        <v>5193.3599999999997</v>
      </c>
      <c r="I80" s="3319">
        <v>5193.3599999999997</v>
      </c>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t="str">
        <f t="shared" si="13"/>
        <v>永定门城楼</v>
      </c>
      <c r="AY80" s="337">
        <f t="shared" si="14"/>
        <v>6503.18</v>
      </c>
      <c r="AZ80" s="330">
        <f t="shared" si="15"/>
        <v>5193.3599999999997</v>
      </c>
      <c r="BA80" s="330">
        <f t="shared" si="16"/>
        <v>5193.3599999999997</v>
      </c>
      <c r="BB80" s="330">
        <f t="shared" si="17"/>
        <v>5193.3599999999997</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67.5">
      <c r="A81" s="303"/>
      <c r="B81" s="329"/>
      <c r="C81" s="3314" t="s">
        <v>3489</v>
      </c>
      <c r="D81" s="217" t="s">
        <v>39</v>
      </c>
      <c r="E81" s="330">
        <f t="shared" si="7"/>
        <v>2351.65</v>
      </c>
      <c r="F81" s="331"/>
      <c r="G81" s="332">
        <f t="shared" si="8"/>
        <v>1878</v>
      </c>
      <c r="H81" s="333">
        <f t="shared" si="9"/>
        <v>1878</v>
      </c>
      <c r="I81" s="3319">
        <v>1878</v>
      </c>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t="str">
        <f t="shared" si="13"/>
        <v>敦煌艺术博物馆（正安宫瓮城东侧二层）</v>
      </c>
      <c r="AY81" s="337">
        <f t="shared" si="14"/>
        <v>2351.65</v>
      </c>
      <c r="AZ81" s="330">
        <f t="shared" si="15"/>
        <v>1878</v>
      </c>
      <c r="BA81" s="330">
        <f t="shared" si="16"/>
        <v>1878</v>
      </c>
      <c r="BB81" s="330">
        <f t="shared" si="17"/>
        <v>1878</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67.5">
      <c r="A82" s="303"/>
      <c r="B82" s="329"/>
      <c r="C82" s="3314" t="s">
        <v>3490</v>
      </c>
      <c r="D82" s="217" t="s">
        <v>39</v>
      </c>
      <c r="E82" s="330">
        <f t="shared" si="7"/>
        <v>2369.12</v>
      </c>
      <c r="F82" s="331"/>
      <c r="G82" s="332">
        <f t="shared" si="8"/>
        <v>1891.95</v>
      </c>
      <c r="H82" s="333">
        <f t="shared" si="9"/>
        <v>1891.95</v>
      </c>
      <c r="I82" s="3319">
        <v>1891.95</v>
      </c>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t="str">
        <f t="shared" si="13"/>
        <v>瓮城东半部商品厅（正安宫瓮城东侧一层）</v>
      </c>
      <c r="AY82" s="337">
        <f t="shared" si="14"/>
        <v>2369.12</v>
      </c>
      <c r="AZ82" s="330">
        <f t="shared" si="15"/>
        <v>1891.95</v>
      </c>
      <c r="BA82" s="330">
        <f t="shared" si="16"/>
        <v>1891.95</v>
      </c>
      <c r="BB82" s="330">
        <f t="shared" si="17"/>
        <v>1891.95</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54">
      <c r="A83" s="303"/>
      <c r="B83" s="329"/>
      <c r="C83" s="3315" t="s">
        <v>3491</v>
      </c>
      <c r="D83" s="217" t="s">
        <v>39</v>
      </c>
      <c r="E83" s="330">
        <f t="shared" si="7"/>
        <v>2369.12</v>
      </c>
      <c r="F83" s="331"/>
      <c r="G83" s="332">
        <f t="shared" si="8"/>
        <v>1891.95</v>
      </c>
      <c r="H83" s="333">
        <f t="shared" si="9"/>
        <v>1891.95</v>
      </c>
      <c r="I83" s="3319">
        <v>1891.95</v>
      </c>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t="str">
        <f t="shared" si="13"/>
        <v>中国玉器珍藏馆（瓷器馆）</v>
      </c>
      <c r="AY83" s="337">
        <f t="shared" si="14"/>
        <v>2369.12</v>
      </c>
      <c r="AZ83" s="330">
        <f t="shared" si="15"/>
        <v>1891.95</v>
      </c>
      <c r="BA83" s="330">
        <f t="shared" si="16"/>
        <v>1891.95</v>
      </c>
      <c r="BB83" s="330">
        <f t="shared" si="17"/>
        <v>1891.95</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54">
      <c r="A84" s="303"/>
      <c r="B84" s="329"/>
      <c r="C84" s="3314" t="s">
        <v>3492</v>
      </c>
      <c r="D84" s="217" t="s">
        <v>39</v>
      </c>
      <c r="E84" s="330">
        <f t="shared" si="7"/>
        <v>3187.07</v>
      </c>
      <c r="F84" s="331"/>
      <c r="G84" s="332">
        <f t="shared" si="8"/>
        <v>2545.15</v>
      </c>
      <c r="H84" s="333">
        <f t="shared" si="9"/>
        <v>2545.15</v>
      </c>
      <c r="I84" s="3319">
        <v>2545.15</v>
      </c>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t="str">
        <f t="shared" si="13"/>
        <v>中国佛教艺术博物馆（金佛殿）</v>
      </c>
      <c r="AY84" s="337">
        <f t="shared" si="14"/>
        <v>3187.07</v>
      </c>
      <c r="AZ84" s="330">
        <f t="shared" si="15"/>
        <v>2545.15</v>
      </c>
      <c r="BA84" s="330">
        <f t="shared" si="16"/>
        <v>2545.15</v>
      </c>
      <c r="BB84" s="330">
        <f t="shared" si="17"/>
        <v>2545.15</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67.5">
      <c r="A85" s="303"/>
      <c r="B85" s="329"/>
      <c r="C85" s="3314" t="s">
        <v>3493</v>
      </c>
      <c r="D85" s="217" t="s">
        <v>39</v>
      </c>
      <c r="E85" s="330">
        <f t="shared" si="7"/>
        <v>2351.65</v>
      </c>
      <c r="F85" s="331"/>
      <c r="G85" s="332">
        <f t="shared" si="8"/>
        <v>1878</v>
      </c>
      <c r="H85" s="333">
        <f t="shared" si="9"/>
        <v>1878</v>
      </c>
      <c r="I85" s="3319">
        <v>1878</v>
      </c>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t="str">
        <f t="shared" si="13"/>
        <v>国务礼品博物馆（正安宫瓮城西侧二层）</v>
      </c>
      <c r="AY85" s="337">
        <f t="shared" si="14"/>
        <v>2351.65</v>
      </c>
      <c r="AZ85" s="330">
        <f t="shared" si="15"/>
        <v>1878</v>
      </c>
      <c r="BA85" s="330">
        <f t="shared" si="16"/>
        <v>1878</v>
      </c>
      <c r="BB85" s="330">
        <f t="shared" si="17"/>
        <v>1878</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27">
      <c r="A86" s="303"/>
      <c r="B86" s="329"/>
      <c r="C86" s="3314" t="s">
        <v>3494</v>
      </c>
      <c r="D86" s="217" t="s">
        <v>39</v>
      </c>
      <c r="E86" s="330">
        <f t="shared" si="7"/>
        <v>4844.1000000000004</v>
      </c>
      <c r="F86" s="331"/>
      <c r="G86" s="332">
        <f t="shared" si="8"/>
        <v>3868.44</v>
      </c>
      <c r="H86" s="333">
        <f t="shared" si="9"/>
        <v>3868.44</v>
      </c>
      <c r="I86" s="3319">
        <v>3868.44</v>
      </c>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t="str">
        <f t="shared" si="13"/>
        <v>正阳门箭楼</v>
      </c>
      <c r="AY86" s="337">
        <f t="shared" si="14"/>
        <v>4844.1000000000004</v>
      </c>
      <c r="AZ86" s="330">
        <f t="shared" si="15"/>
        <v>3868.44</v>
      </c>
      <c r="BA86" s="330">
        <f t="shared" si="16"/>
        <v>3868.44</v>
      </c>
      <c r="BB86" s="330">
        <f t="shared" si="17"/>
        <v>3868.44</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54">
      <c r="A87" s="303"/>
      <c r="B87" s="329"/>
      <c r="C87" s="3618" t="s">
        <v>3495</v>
      </c>
      <c r="D87" s="217" t="s">
        <v>39</v>
      </c>
      <c r="E87" s="330">
        <f t="shared" si="7"/>
        <v>12902.03</v>
      </c>
      <c r="F87" s="331"/>
      <c r="G87" s="332">
        <f t="shared" si="8"/>
        <v>10303.4</v>
      </c>
      <c r="H87" s="333">
        <f t="shared" si="9"/>
        <v>10303.4</v>
      </c>
      <c r="I87" s="3319">
        <v>10303.4</v>
      </c>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t="str">
        <f t="shared" si="13"/>
        <v>正阳门大酒楼（正安宫酒店）</v>
      </c>
      <c r="AY87" s="337">
        <f t="shared" si="14"/>
        <v>12902.03</v>
      </c>
      <c r="AZ87" s="330">
        <f t="shared" si="15"/>
        <v>10303.4</v>
      </c>
      <c r="BA87" s="330">
        <f t="shared" si="16"/>
        <v>10303.4</v>
      </c>
      <c r="BB87" s="330">
        <f t="shared" si="17"/>
        <v>10303.4</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622"/>
      <c r="D88" s="217" t="s">
        <v>39</v>
      </c>
      <c r="E88" s="330">
        <f t="shared" si="7"/>
        <v>12379.16</v>
      </c>
      <c r="F88" s="331"/>
      <c r="G88" s="332">
        <f t="shared" si="8"/>
        <v>9885.84</v>
      </c>
      <c r="H88" s="333">
        <f t="shared" si="9"/>
        <v>9885.84</v>
      </c>
      <c r="I88" s="3319">
        <v>9885.84</v>
      </c>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12379.16</v>
      </c>
      <c r="AZ88" s="330">
        <f t="shared" si="15"/>
        <v>9885.84</v>
      </c>
      <c r="BA88" s="330">
        <f t="shared" si="16"/>
        <v>9885.84</v>
      </c>
      <c r="BB88" s="330">
        <f t="shared" si="17"/>
        <v>9885.84</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619"/>
      <c r="D89" s="217" t="s">
        <v>39</v>
      </c>
      <c r="E89" s="330">
        <f t="shared" si="7"/>
        <v>51409.05</v>
      </c>
      <c r="F89" s="331"/>
      <c r="G89" s="332">
        <f t="shared" si="8"/>
        <v>41054.620000000003</v>
      </c>
      <c r="H89" s="333">
        <f t="shared" si="9"/>
        <v>41054.620000000003</v>
      </c>
      <c r="I89" s="3319">
        <v>41054.620000000003</v>
      </c>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51409.05</v>
      </c>
      <c r="AZ89" s="330">
        <f t="shared" si="15"/>
        <v>41054.620000000003</v>
      </c>
      <c r="BA89" s="330">
        <f t="shared" si="16"/>
        <v>41054.620000000003</v>
      </c>
      <c r="BB89" s="330">
        <f t="shared" si="17"/>
        <v>41054.620000000003</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54">
      <c r="A90" s="303"/>
      <c r="B90" s="329"/>
      <c r="C90" s="3314" t="s">
        <v>3496</v>
      </c>
      <c r="D90" s="217" t="s">
        <v>39</v>
      </c>
      <c r="E90" s="330">
        <f t="shared" si="7"/>
        <v>2424.63</v>
      </c>
      <c r="F90" s="331"/>
      <c r="G90" s="332">
        <f t="shared" si="8"/>
        <v>1936.28</v>
      </c>
      <c r="H90" s="333">
        <f t="shared" si="9"/>
        <v>1936.28</v>
      </c>
      <c r="I90" s="3319">
        <v>1936.28</v>
      </c>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t="str">
        <f t="shared" si="13"/>
        <v>正阳门瓮城连廊（千步廊）</v>
      </c>
      <c r="AY90" s="337">
        <f t="shared" si="14"/>
        <v>2424.63</v>
      </c>
      <c r="AZ90" s="330">
        <f t="shared" si="15"/>
        <v>1936.28</v>
      </c>
      <c r="BA90" s="330">
        <f t="shared" si="16"/>
        <v>1936.28</v>
      </c>
      <c r="BB90" s="330">
        <f t="shared" si="17"/>
        <v>1936.28</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40.5">
      <c r="A91" s="303"/>
      <c r="B91" s="329"/>
      <c r="C91" s="3618" t="s">
        <v>3497</v>
      </c>
      <c r="D91" s="217" t="s">
        <v>39</v>
      </c>
      <c r="E91" s="330">
        <f t="shared" si="7"/>
        <v>7415.41</v>
      </c>
      <c r="F91" s="331"/>
      <c r="G91" s="332">
        <f t="shared" si="8"/>
        <v>5921.85</v>
      </c>
      <c r="H91" s="333">
        <f t="shared" si="9"/>
        <v>5921.85</v>
      </c>
      <c r="I91" s="3319">
        <v>5921.85</v>
      </c>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t="str">
        <f t="shared" si="13"/>
        <v>康体健身中心（影视基地）</v>
      </c>
      <c r="AY91" s="337">
        <f t="shared" si="14"/>
        <v>7415.41</v>
      </c>
      <c r="AZ91" s="330">
        <f t="shared" si="15"/>
        <v>5921.85</v>
      </c>
      <c r="BA91" s="330">
        <f t="shared" si="16"/>
        <v>5921.85</v>
      </c>
      <c r="BB91" s="330">
        <f t="shared" si="17"/>
        <v>5921.85</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619"/>
      <c r="D92" s="217" t="s">
        <v>39</v>
      </c>
      <c r="E92" s="330">
        <f t="shared" si="7"/>
        <v>5523.73</v>
      </c>
      <c r="F92" s="331"/>
      <c r="G92" s="332">
        <f t="shared" si="8"/>
        <v>4411.18</v>
      </c>
      <c r="H92" s="333">
        <f t="shared" si="9"/>
        <v>4411.18</v>
      </c>
      <c r="I92" s="3319">
        <v>4411.18</v>
      </c>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5523.73</v>
      </c>
      <c r="AZ92" s="330">
        <f t="shared" si="15"/>
        <v>4411.18</v>
      </c>
      <c r="BA92" s="330">
        <f t="shared" si="16"/>
        <v>4411.18</v>
      </c>
      <c r="BB92" s="330">
        <f t="shared" si="17"/>
        <v>4411.18</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27">
      <c r="A93" s="303"/>
      <c r="B93" s="329"/>
      <c r="C93" s="3618" t="s">
        <v>3498</v>
      </c>
      <c r="D93" s="217" t="s">
        <v>39</v>
      </c>
      <c r="E93" s="330">
        <f t="shared" si="7"/>
        <v>14181.97</v>
      </c>
      <c r="F93" s="331"/>
      <c r="G93" s="332">
        <f t="shared" si="8"/>
        <v>11325.54</v>
      </c>
      <c r="H93" s="333">
        <f t="shared" si="9"/>
        <v>11325.54</v>
      </c>
      <c r="I93" s="3319">
        <v>11325.54</v>
      </c>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t="str">
        <f t="shared" si="13"/>
        <v>鸡尾酒花园</v>
      </c>
      <c r="AY93" s="337">
        <f t="shared" si="14"/>
        <v>14181.97</v>
      </c>
      <c r="AZ93" s="330">
        <f t="shared" si="15"/>
        <v>11325.54</v>
      </c>
      <c r="BA93" s="330">
        <f t="shared" si="16"/>
        <v>11325.54</v>
      </c>
      <c r="BB93" s="330">
        <f t="shared" si="17"/>
        <v>11325.54</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619"/>
      <c r="D94" s="217" t="s">
        <v>39</v>
      </c>
      <c r="E94" s="330">
        <f t="shared" si="7"/>
        <v>922.33</v>
      </c>
      <c r="F94" s="331"/>
      <c r="G94" s="332">
        <f t="shared" si="8"/>
        <v>736.56</v>
      </c>
      <c r="H94" s="333">
        <f t="shared" si="9"/>
        <v>736.56</v>
      </c>
      <c r="I94" s="3319">
        <v>736.56</v>
      </c>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922.33</v>
      </c>
      <c r="AZ94" s="330">
        <f t="shared" si="15"/>
        <v>736.56</v>
      </c>
      <c r="BA94" s="330">
        <f t="shared" si="16"/>
        <v>736.56</v>
      </c>
      <c r="BB94" s="330">
        <f t="shared" si="17"/>
        <v>736.56</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27">
      <c r="A95" s="303"/>
      <c r="B95" s="329"/>
      <c r="C95" s="3618" t="s">
        <v>3499</v>
      </c>
      <c r="D95" s="217" t="s">
        <v>39</v>
      </c>
      <c r="E95" s="330">
        <f t="shared" si="7"/>
        <v>4864.87</v>
      </c>
      <c r="F95" s="331"/>
      <c r="G95" s="332">
        <f t="shared" si="8"/>
        <v>3885.02</v>
      </c>
      <c r="H95" s="333">
        <f t="shared" si="9"/>
        <v>3885.02</v>
      </c>
      <c r="I95" s="3319">
        <v>3885.02</v>
      </c>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t="str">
        <f t="shared" si="13"/>
        <v>国际会议中心</v>
      </c>
      <c r="AY95" s="337">
        <f t="shared" si="14"/>
        <v>4864.87</v>
      </c>
      <c r="AZ95" s="330">
        <f t="shared" si="15"/>
        <v>3885.02</v>
      </c>
      <c r="BA95" s="330">
        <f t="shared" si="16"/>
        <v>3885.02</v>
      </c>
      <c r="BB95" s="330">
        <f t="shared" si="17"/>
        <v>3885.02</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619"/>
      <c r="D96" s="217" t="s">
        <v>39</v>
      </c>
      <c r="E96" s="330">
        <f t="shared" si="7"/>
        <v>8423.89</v>
      </c>
      <c r="F96" s="331"/>
      <c r="G96" s="332">
        <f t="shared" si="8"/>
        <v>6727.21</v>
      </c>
      <c r="H96" s="333">
        <f t="shared" si="9"/>
        <v>6727.21</v>
      </c>
      <c r="I96" s="3319">
        <v>6727.21</v>
      </c>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8423.89</v>
      </c>
      <c r="AZ96" s="330">
        <f t="shared" si="15"/>
        <v>6727.21</v>
      </c>
      <c r="BA96" s="330">
        <f t="shared" si="16"/>
        <v>6727.21</v>
      </c>
      <c r="BB96" s="330">
        <f t="shared" si="17"/>
        <v>6727.21</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27">
      <c r="A97" s="303"/>
      <c r="B97" s="329"/>
      <c r="C97" s="3314" t="s">
        <v>3500</v>
      </c>
      <c r="D97" s="217" t="s">
        <v>39</v>
      </c>
      <c r="E97" s="330">
        <f t="shared" si="7"/>
        <v>8188.65</v>
      </c>
      <c r="F97" s="331"/>
      <c r="G97" s="332">
        <f t="shared" si="8"/>
        <v>6539.35</v>
      </c>
      <c r="H97" s="333">
        <f t="shared" si="9"/>
        <v>6539.35</v>
      </c>
      <c r="I97" s="3319">
        <v>6539.35</v>
      </c>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t="str">
        <f t="shared" si="13"/>
        <v>崇文门城楼</v>
      </c>
      <c r="AY97" s="337">
        <f t="shared" si="14"/>
        <v>8188.65</v>
      </c>
      <c r="AZ97" s="330">
        <f t="shared" si="15"/>
        <v>6539.35</v>
      </c>
      <c r="BA97" s="330">
        <f t="shared" si="16"/>
        <v>6539.35</v>
      </c>
      <c r="BB97" s="330">
        <f t="shared" si="17"/>
        <v>6539.35</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40.5">
      <c r="A98" s="303"/>
      <c r="B98" s="329"/>
      <c r="C98" s="3620" t="s">
        <v>3501</v>
      </c>
      <c r="D98" s="217" t="s">
        <v>39</v>
      </c>
      <c r="E98" s="330">
        <f t="shared" si="7"/>
        <v>10094</v>
      </c>
      <c r="F98" s="331"/>
      <c r="G98" s="332">
        <f t="shared" si="8"/>
        <v>8060.94</v>
      </c>
      <c r="H98" s="333">
        <f t="shared" si="9"/>
        <v>8060.94</v>
      </c>
      <c r="I98" s="3319">
        <v>8060.94</v>
      </c>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t="str">
        <f t="shared" si="13"/>
        <v>艺术品展卖馆（金色大厅）</v>
      </c>
      <c r="AY98" s="337">
        <f t="shared" si="14"/>
        <v>10094</v>
      </c>
      <c r="AZ98" s="330">
        <f t="shared" si="15"/>
        <v>8060.94</v>
      </c>
      <c r="BA98" s="330">
        <f t="shared" si="16"/>
        <v>8060.94</v>
      </c>
      <c r="BB98" s="330">
        <f t="shared" si="17"/>
        <v>8060.94</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621"/>
      <c r="D99" s="217" t="s">
        <v>39</v>
      </c>
      <c r="E99" s="330">
        <f t="shared" si="7"/>
        <v>5935.33</v>
      </c>
      <c r="F99" s="331"/>
      <c r="G99" s="332">
        <f t="shared" si="8"/>
        <v>4739.88</v>
      </c>
      <c r="H99" s="333">
        <f t="shared" si="9"/>
        <v>4739.88</v>
      </c>
      <c r="I99" s="3319">
        <v>4739.88</v>
      </c>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5935.33</v>
      </c>
      <c r="AZ99" s="330">
        <f t="shared" si="15"/>
        <v>4739.88</v>
      </c>
      <c r="BA99" s="330">
        <f t="shared" si="16"/>
        <v>4739.88</v>
      </c>
      <c r="BB99" s="330">
        <f t="shared" si="17"/>
        <v>4739.88</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618" t="s">
        <v>3502</v>
      </c>
      <c r="D100" s="217" t="s">
        <v>39</v>
      </c>
      <c r="E100" s="330">
        <f t="shared" si="7"/>
        <v>10479.59</v>
      </c>
      <c r="F100" s="331"/>
      <c r="G100" s="332">
        <f t="shared" si="8"/>
        <v>8368.8700000000008</v>
      </c>
      <c r="H100" s="333">
        <f t="shared" si="9"/>
        <v>8368.8700000000008</v>
      </c>
      <c r="I100" s="3319">
        <v>8368.8700000000008</v>
      </c>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t="str">
        <f t="shared" si="13"/>
        <v>戏水中心</v>
      </c>
      <c r="AY100" s="337">
        <f t="shared" si="14"/>
        <v>10479.59</v>
      </c>
      <c r="AZ100" s="330">
        <f t="shared" si="15"/>
        <v>8368.8700000000008</v>
      </c>
      <c r="BA100" s="330">
        <f t="shared" si="16"/>
        <v>8368.8700000000008</v>
      </c>
      <c r="BB100" s="330">
        <f t="shared" si="17"/>
        <v>8368.8700000000008</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622"/>
      <c r="D101" s="217" t="s">
        <v>39</v>
      </c>
      <c r="E101" s="330">
        <f t="shared" si="7"/>
        <v>7403.75</v>
      </c>
      <c r="F101" s="331"/>
      <c r="G101" s="332">
        <f t="shared" si="8"/>
        <v>5912.54</v>
      </c>
      <c r="H101" s="333">
        <f t="shared" si="9"/>
        <v>5912.54</v>
      </c>
      <c r="I101" s="3319">
        <v>5912.54</v>
      </c>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7403.75</v>
      </c>
      <c r="AZ101" s="330">
        <f t="shared" si="15"/>
        <v>5912.54</v>
      </c>
      <c r="BA101" s="330">
        <f t="shared" si="16"/>
        <v>5912.54</v>
      </c>
      <c r="BB101" s="330">
        <f t="shared" si="17"/>
        <v>5912.54</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619"/>
      <c r="D102" s="217" t="s">
        <v>39</v>
      </c>
      <c r="E102" s="330">
        <f t="shared" si="7"/>
        <v>1260.7</v>
      </c>
      <c r="F102" s="331"/>
      <c r="G102" s="332">
        <f t="shared" si="8"/>
        <v>1006.78</v>
      </c>
      <c r="H102" s="333">
        <f t="shared" si="9"/>
        <v>1006.78</v>
      </c>
      <c r="I102" s="3319">
        <v>1006.78</v>
      </c>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1260.7</v>
      </c>
      <c r="AZ102" s="330">
        <f t="shared" si="15"/>
        <v>1006.78</v>
      </c>
      <c r="BA102" s="330">
        <f t="shared" si="16"/>
        <v>1006.78</v>
      </c>
      <c r="BB102" s="330">
        <f t="shared" si="17"/>
        <v>1006.78</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27">
      <c r="A103" s="303"/>
      <c r="B103" s="329"/>
      <c r="C103" s="3315" t="s">
        <v>3503</v>
      </c>
      <c r="D103" s="217" t="s">
        <v>39</v>
      </c>
      <c r="E103" s="330">
        <f t="shared" si="7"/>
        <v>2615.44</v>
      </c>
      <c r="F103" s="331"/>
      <c r="G103" s="332">
        <f t="shared" si="8"/>
        <v>2088.66</v>
      </c>
      <c r="H103" s="333">
        <f t="shared" si="9"/>
        <v>2088.66</v>
      </c>
      <c r="I103" s="3319">
        <v>2088.66</v>
      </c>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t="str">
        <f t="shared" si="13"/>
        <v>宣武门城楼</v>
      </c>
      <c r="AY103" s="337">
        <f t="shared" si="14"/>
        <v>2615.44</v>
      </c>
      <c r="AZ103" s="330">
        <f t="shared" si="15"/>
        <v>2088.66</v>
      </c>
      <c r="BA103" s="330">
        <f t="shared" si="16"/>
        <v>2088.66</v>
      </c>
      <c r="BB103" s="330">
        <f t="shared" si="17"/>
        <v>2088.66</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27">
      <c r="A104" s="303"/>
      <c r="B104" s="329"/>
      <c r="C104" s="3314" t="s">
        <v>3504</v>
      </c>
      <c r="D104" s="217" t="s">
        <v>39</v>
      </c>
      <c r="E104" s="330">
        <f t="shared" si="7"/>
        <v>6676.33</v>
      </c>
      <c r="F104" s="331"/>
      <c r="G104" s="332">
        <f t="shared" si="8"/>
        <v>5331.63</v>
      </c>
      <c r="H104" s="333">
        <f t="shared" si="9"/>
        <v>5331.63</v>
      </c>
      <c r="I104" s="3319">
        <v>5331.63</v>
      </c>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t="str">
        <f t="shared" si="13"/>
        <v>内城西南角楼</v>
      </c>
      <c r="AY104" s="337">
        <f t="shared" si="14"/>
        <v>6676.33</v>
      </c>
      <c r="AZ104" s="330">
        <f t="shared" si="15"/>
        <v>5331.63</v>
      </c>
      <c r="BA104" s="330">
        <f t="shared" si="16"/>
        <v>5331.63</v>
      </c>
      <c r="BB104" s="330">
        <f t="shared" si="17"/>
        <v>5331.63</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27">
      <c r="A105" s="303"/>
      <c r="B105" s="329"/>
      <c r="C105" s="3314" t="s">
        <v>3505</v>
      </c>
      <c r="D105" s="217" t="s">
        <v>39</v>
      </c>
      <c r="E105" s="330">
        <f t="shared" si="7"/>
        <v>9181.1</v>
      </c>
      <c r="F105" s="331"/>
      <c r="G105" s="332">
        <f t="shared" si="8"/>
        <v>7331.91</v>
      </c>
      <c r="H105" s="333">
        <f t="shared" si="9"/>
        <v>7331.91</v>
      </c>
      <c r="I105" s="3319">
        <v>7331.91</v>
      </c>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t="str">
        <f t="shared" si="13"/>
        <v>德胜门城楼</v>
      </c>
      <c r="AY105" s="337">
        <f t="shared" si="14"/>
        <v>9181.1</v>
      </c>
      <c r="AZ105" s="330">
        <f t="shared" si="15"/>
        <v>7331.91</v>
      </c>
      <c r="BA105" s="330">
        <f t="shared" si="16"/>
        <v>7331.91</v>
      </c>
      <c r="BB105" s="330">
        <f t="shared" si="17"/>
        <v>7331.91</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27">
      <c r="A106" s="303"/>
      <c r="B106" s="329"/>
      <c r="C106" s="3316" t="s">
        <v>3506</v>
      </c>
      <c r="D106" s="217" t="s">
        <v>39</v>
      </c>
      <c r="E106" s="330">
        <f t="shared" si="7"/>
        <v>528.42999999999995</v>
      </c>
      <c r="F106" s="331"/>
      <c r="G106" s="332">
        <f t="shared" si="8"/>
        <v>422</v>
      </c>
      <c r="H106" s="333">
        <f t="shared" si="9"/>
        <v>422</v>
      </c>
      <c r="I106" s="3319">
        <v>422</v>
      </c>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t="str">
        <f t="shared" si="13"/>
        <v>高尔夫练习场</v>
      </c>
      <c r="AY106" s="337">
        <f t="shared" si="14"/>
        <v>528.42999999999995</v>
      </c>
      <c r="AZ106" s="330">
        <f t="shared" si="15"/>
        <v>422</v>
      </c>
      <c r="BA106" s="330">
        <f t="shared" si="16"/>
        <v>422</v>
      </c>
      <c r="BB106" s="330">
        <f t="shared" si="17"/>
        <v>422</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67.5">
      <c r="A107" s="303"/>
      <c r="B107" s="329"/>
      <c r="C107" s="3316" t="s">
        <v>3507</v>
      </c>
      <c r="D107" s="217" t="s">
        <v>39</v>
      </c>
      <c r="E107" s="330">
        <f t="shared" si="7"/>
        <v>653.65</v>
      </c>
      <c r="F107" s="331"/>
      <c r="G107" s="332">
        <f t="shared" si="8"/>
        <v>522</v>
      </c>
      <c r="H107" s="333">
        <f t="shared" si="9"/>
        <v>522</v>
      </c>
      <c r="I107" s="3319">
        <v>522</v>
      </c>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t="str">
        <f t="shared" si="13"/>
        <v>高尔夫球场办公房（德胜门北侧平房）</v>
      </c>
      <c r="AY107" s="337">
        <f t="shared" si="14"/>
        <v>653.65</v>
      </c>
      <c r="AZ107" s="330">
        <f t="shared" si="15"/>
        <v>522</v>
      </c>
      <c r="BA107" s="330">
        <f t="shared" si="16"/>
        <v>522</v>
      </c>
      <c r="BB107" s="330">
        <f t="shared" si="17"/>
        <v>522</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27">
      <c r="A108" s="303"/>
      <c r="B108" s="329"/>
      <c r="C108" s="3317" t="s">
        <v>3508</v>
      </c>
      <c r="D108" s="217" t="s">
        <v>39</v>
      </c>
      <c r="E108" s="330">
        <f t="shared" si="7"/>
        <v>2595.88</v>
      </c>
      <c r="F108" s="331"/>
      <c r="G108" s="332">
        <f t="shared" si="8"/>
        <v>2073.04</v>
      </c>
      <c r="H108" s="333">
        <f t="shared" si="9"/>
        <v>2073.04</v>
      </c>
      <c r="I108" s="3322">
        <v>2073.04</v>
      </c>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t="str">
        <f t="shared" si="13"/>
        <v>7、10、46号公寓</v>
      </c>
      <c r="AY108" s="337">
        <f t="shared" si="14"/>
        <v>2595.88</v>
      </c>
      <c r="AZ108" s="330">
        <f t="shared" si="15"/>
        <v>2073.04</v>
      </c>
      <c r="BA108" s="330">
        <f t="shared" si="16"/>
        <v>2073.04</v>
      </c>
      <c r="BB108" s="330">
        <f t="shared" si="17"/>
        <v>2073.04</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27">
      <c r="A109" s="303"/>
      <c r="B109" s="329"/>
      <c r="C109" s="3314" t="s">
        <v>3509</v>
      </c>
      <c r="D109" s="217" t="s">
        <v>39</v>
      </c>
      <c r="E109" s="330">
        <f t="shared" si="7"/>
        <v>7245.66</v>
      </c>
      <c r="F109" s="331"/>
      <c r="G109" s="332">
        <f t="shared" si="8"/>
        <v>5786.29</v>
      </c>
      <c r="H109" s="333">
        <f t="shared" si="9"/>
        <v>5786.29</v>
      </c>
      <c r="I109" s="3323">
        <v>5786.29</v>
      </c>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t="str">
        <f t="shared" si="13"/>
        <v>西直门城楼</v>
      </c>
      <c r="AY109" s="337">
        <f t="shared" si="14"/>
        <v>7245.66</v>
      </c>
      <c r="AZ109" s="330">
        <f t="shared" si="15"/>
        <v>5786.29</v>
      </c>
      <c r="BA109" s="330">
        <f t="shared" si="16"/>
        <v>5786.29</v>
      </c>
      <c r="BB109" s="330">
        <f t="shared" si="17"/>
        <v>5786.29</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27">
      <c r="A110" s="303"/>
      <c r="B110" s="303"/>
      <c r="C110" s="3314" t="s">
        <v>3510</v>
      </c>
      <c r="D110" s="217" t="s">
        <v>39</v>
      </c>
      <c r="E110" s="330">
        <f t="shared" si="7"/>
        <v>9157.3700000000008</v>
      </c>
      <c r="F110" s="339"/>
      <c r="G110" s="332">
        <f t="shared" ref="G110:G141" si="36">H110+AC110+AT110</f>
        <v>7312.96</v>
      </c>
      <c r="H110" s="333">
        <f t="shared" ref="H110:H141" si="37">SUMIF(I$12:AB$12,"总值",I110:AB110)</f>
        <v>7312.96</v>
      </c>
      <c r="I110" s="3323">
        <v>7312.96</v>
      </c>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t="str">
        <f t="shared" si="13"/>
        <v>53-57号公寓</v>
      </c>
      <c r="AY110" s="337">
        <f t="shared" ref="AY110:AY141" si="39">ROUND($AY$6*AZ110/$AZ$5,2)</f>
        <v>9157.3700000000008</v>
      </c>
      <c r="AZ110" s="330">
        <f t="shared" ref="AZ110:AZ141" si="40">BA110+BL110</f>
        <v>7312.96</v>
      </c>
      <c r="BA110" s="330">
        <f t="shared" ref="BA110:BA141" si="41">SUM(BB110:BK110)</f>
        <v>7312.96</v>
      </c>
      <c r="BB110" s="330">
        <f t="shared" ref="BB110:BB141" si="42">IF($D110="是",I110-J110,0)</f>
        <v>7312.96</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40.5">
      <c r="A111" s="303"/>
      <c r="B111" s="303"/>
      <c r="C111" s="3314" t="s">
        <v>3511</v>
      </c>
      <c r="D111" s="217" t="s">
        <v>39</v>
      </c>
      <c r="E111" s="330">
        <f t="shared" si="7"/>
        <v>5525.77</v>
      </c>
      <c r="F111" s="339"/>
      <c r="G111" s="332">
        <f t="shared" si="36"/>
        <v>4412.8100000000004</v>
      </c>
      <c r="H111" s="333">
        <f t="shared" si="37"/>
        <v>4412.8100000000004</v>
      </c>
      <c r="I111" s="3323">
        <v>4412.8100000000004</v>
      </c>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t="str">
        <f t="shared" si="13"/>
        <v>26-27、58-63号公寓</v>
      </c>
      <c r="AY111" s="337">
        <f t="shared" si="39"/>
        <v>5525.77</v>
      </c>
      <c r="AZ111" s="330">
        <f t="shared" si="40"/>
        <v>4412.8100000000004</v>
      </c>
      <c r="BA111" s="330">
        <f t="shared" si="41"/>
        <v>4412.8100000000004</v>
      </c>
      <c r="BB111" s="330">
        <f t="shared" si="42"/>
        <v>4412.8100000000004</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27">
      <c r="A112" s="303"/>
      <c r="B112" s="303"/>
      <c r="C112" s="3314" t="s">
        <v>3512</v>
      </c>
      <c r="D112" s="217" t="s">
        <v>39</v>
      </c>
      <c r="E112" s="330">
        <f t="shared" si="7"/>
        <v>7088.59</v>
      </c>
      <c r="F112" s="339"/>
      <c r="G112" s="332">
        <f t="shared" si="36"/>
        <v>5660.86</v>
      </c>
      <c r="H112" s="333">
        <f t="shared" si="37"/>
        <v>5660.86</v>
      </c>
      <c r="I112" s="3323">
        <v>5660.86</v>
      </c>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t="str">
        <f t="shared" si="13"/>
        <v>35、48-52号公寓</v>
      </c>
      <c r="AY112" s="337">
        <f t="shared" si="39"/>
        <v>7088.59</v>
      </c>
      <c r="AZ112" s="330">
        <f t="shared" si="40"/>
        <v>5660.86</v>
      </c>
      <c r="BA112" s="330">
        <f t="shared" si="41"/>
        <v>5660.86</v>
      </c>
      <c r="BB112" s="330">
        <f t="shared" si="42"/>
        <v>5660.86</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40.5">
      <c r="A113" s="303"/>
      <c r="B113" s="329"/>
      <c r="C113" s="3314" t="s">
        <v>3513</v>
      </c>
      <c r="D113" s="217" t="s">
        <v>39</v>
      </c>
      <c r="E113" s="330">
        <f t="shared" ref="E113:E144" si="61">IF($C$3="是",ROUND($A$3*G113/$B$3,2),ROUND($A$3*(G113-AT113)/$B$3,2))</f>
        <v>2037.87</v>
      </c>
      <c r="F113" s="331"/>
      <c r="G113" s="332">
        <f t="shared" si="36"/>
        <v>1627.42</v>
      </c>
      <c r="H113" s="333">
        <f t="shared" si="37"/>
        <v>1627.42</v>
      </c>
      <c r="I113" s="3323">
        <v>1627.42</v>
      </c>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t="str">
        <f t="shared" ref="AX113:AX144" si="64">C113</f>
        <v>13、15、19、47号公寓</v>
      </c>
      <c r="AY113" s="337">
        <f t="shared" si="39"/>
        <v>2037.87</v>
      </c>
      <c r="AZ113" s="330">
        <f t="shared" si="40"/>
        <v>1627.42</v>
      </c>
      <c r="BA113" s="330">
        <f t="shared" si="41"/>
        <v>1627.42</v>
      </c>
      <c r="BB113" s="330">
        <f t="shared" si="42"/>
        <v>1627.42</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27">
      <c r="A114" s="303"/>
      <c r="B114" s="329"/>
      <c r="C114" s="3314" t="s">
        <v>3514</v>
      </c>
      <c r="D114" s="217" t="s">
        <v>39</v>
      </c>
      <c r="E114" s="330">
        <f t="shared" si="61"/>
        <v>6905.12</v>
      </c>
      <c r="F114" s="331"/>
      <c r="G114" s="332">
        <f t="shared" si="36"/>
        <v>5514.34</v>
      </c>
      <c r="H114" s="333">
        <f t="shared" si="37"/>
        <v>5514.34</v>
      </c>
      <c r="I114" s="3323">
        <v>5514.34</v>
      </c>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t="str">
        <f t="shared" si="64"/>
        <v>东直门-朝阳门</v>
      </c>
      <c r="AY114" s="337">
        <f t="shared" si="39"/>
        <v>6905.12</v>
      </c>
      <c r="AZ114" s="330">
        <f t="shared" si="40"/>
        <v>5514.34</v>
      </c>
      <c r="BA114" s="330">
        <f t="shared" si="41"/>
        <v>5514.34</v>
      </c>
      <c r="BB114" s="330">
        <f t="shared" si="42"/>
        <v>5514.34</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27">
      <c r="A115" s="303"/>
      <c r="B115" s="329"/>
      <c r="C115" s="3314" t="s">
        <v>3515</v>
      </c>
      <c r="D115" s="217" t="s">
        <v>39</v>
      </c>
      <c r="E115" s="330">
        <f t="shared" si="61"/>
        <v>7621.78</v>
      </c>
      <c r="F115" s="331"/>
      <c r="G115" s="332">
        <f t="shared" si="36"/>
        <v>6086.66</v>
      </c>
      <c r="H115" s="333">
        <f t="shared" si="37"/>
        <v>6086.66</v>
      </c>
      <c r="I115" s="3323">
        <v>6086.66</v>
      </c>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t="str">
        <f t="shared" si="64"/>
        <v>朝阳门-会议中心</v>
      </c>
      <c r="AY115" s="337">
        <f t="shared" si="39"/>
        <v>7621.78</v>
      </c>
      <c r="AZ115" s="330">
        <f t="shared" si="40"/>
        <v>6086.66</v>
      </c>
      <c r="BA115" s="330">
        <f t="shared" si="41"/>
        <v>6086.66</v>
      </c>
      <c r="BB115" s="330">
        <f t="shared" si="42"/>
        <v>6086.66</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27">
      <c r="A116" s="303"/>
      <c r="B116" s="329"/>
      <c r="C116" s="3315" t="s">
        <v>3516</v>
      </c>
      <c r="D116" s="217" t="s">
        <v>39</v>
      </c>
      <c r="E116" s="330">
        <f t="shared" si="61"/>
        <v>2704.71</v>
      </c>
      <c r="F116" s="331"/>
      <c r="G116" s="332">
        <f t="shared" si="36"/>
        <v>2159.9499999999998</v>
      </c>
      <c r="H116" s="333">
        <f t="shared" si="37"/>
        <v>2159.9499999999998</v>
      </c>
      <c r="I116" s="3323">
        <v>2159.9499999999998</v>
      </c>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t="str">
        <f t="shared" si="64"/>
        <v>东直门城楼</v>
      </c>
      <c r="AY116" s="337">
        <f t="shared" si="39"/>
        <v>2704.71</v>
      </c>
      <c r="AZ116" s="330">
        <f t="shared" si="40"/>
        <v>2159.9499999999998</v>
      </c>
      <c r="BA116" s="330">
        <f t="shared" si="41"/>
        <v>2159.9499999999998</v>
      </c>
      <c r="BB116" s="330">
        <f t="shared" si="42"/>
        <v>2159.9499999999998</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27">
      <c r="A117" s="303"/>
      <c r="B117" s="329"/>
      <c r="C117" s="3315" t="s">
        <v>3517</v>
      </c>
      <c r="D117" s="217" t="s">
        <v>39</v>
      </c>
      <c r="E117" s="330">
        <f t="shared" si="61"/>
        <v>583.61</v>
      </c>
      <c r="F117" s="331"/>
      <c r="G117" s="332">
        <f t="shared" si="36"/>
        <v>466.06</v>
      </c>
      <c r="H117" s="333">
        <f t="shared" si="37"/>
        <v>466.06</v>
      </c>
      <c r="I117" s="3323">
        <v>466.06</v>
      </c>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t="str">
        <f t="shared" si="64"/>
        <v>阜成门城楼</v>
      </c>
      <c r="AY117" s="337">
        <f t="shared" si="39"/>
        <v>583.61</v>
      </c>
      <c r="AZ117" s="330">
        <f t="shared" si="40"/>
        <v>466.06</v>
      </c>
      <c r="BA117" s="330">
        <f t="shared" si="41"/>
        <v>466.06</v>
      </c>
      <c r="BB117" s="330">
        <f t="shared" si="42"/>
        <v>466.06</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27">
      <c r="A118" s="303"/>
      <c r="B118" s="329"/>
      <c r="C118" s="3315" t="s">
        <v>3518</v>
      </c>
      <c r="D118" s="217" t="s">
        <v>39</v>
      </c>
      <c r="E118" s="330">
        <f t="shared" si="61"/>
        <v>2028.09</v>
      </c>
      <c r="F118" s="331"/>
      <c r="G118" s="332">
        <f t="shared" si="36"/>
        <v>1619.61</v>
      </c>
      <c r="H118" s="333">
        <f t="shared" si="37"/>
        <v>1619.61</v>
      </c>
      <c r="I118" s="3323">
        <v>1619.61</v>
      </c>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t="str">
        <f t="shared" si="64"/>
        <v>朝阳门城楼</v>
      </c>
      <c r="AY118" s="337">
        <f t="shared" si="39"/>
        <v>2028.09</v>
      </c>
      <c r="AZ118" s="330">
        <f t="shared" si="40"/>
        <v>1619.61</v>
      </c>
      <c r="BA118" s="330">
        <f t="shared" si="41"/>
        <v>1619.61</v>
      </c>
      <c r="BB118" s="330">
        <f t="shared" si="42"/>
        <v>1619.61</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40.5">
      <c r="A119" s="303"/>
      <c r="B119" s="329"/>
      <c r="C119" s="3314" t="s">
        <v>3519</v>
      </c>
      <c r="D119" s="217" t="s">
        <v>39</v>
      </c>
      <c r="E119" s="330">
        <f t="shared" si="61"/>
        <v>2914.53</v>
      </c>
      <c r="F119" s="331"/>
      <c r="G119" s="332">
        <f t="shared" si="36"/>
        <v>2327.5100000000002</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2327.5100000000002</v>
      </c>
      <c r="AD119" s="335"/>
      <c r="AE119" s="335"/>
      <c r="AF119" s="335"/>
      <c r="AG119" s="335"/>
      <c r="AH119" s="335"/>
      <c r="AI119" s="335"/>
      <c r="AJ119" s="335"/>
      <c r="AK119" s="335"/>
      <c r="AL119" s="335">
        <v>2327.5100000000002</v>
      </c>
      <c r="AM119" s="335"/>
      <c r="AN119" s="335"/>
      <c r="AO119" s="335"/>
      <c r="AP119" s="335"/>
      <c r="AQ119" s="335"/>
      <c r="AR119" s="335"/>
      <c r="AS119" s="335"/>
      <c r="AT119" s="336"/>
      <c r="AU119" s="8"/>
      <c r="AV119" s="2219">
        <f t="shared" si="62"/>
        <v>0</v>
      </c>
      <c r="AW119" s="2219">
        <f t="shared" si="63"/>
        <v>0</v>
      </c>
      <c r="AX119" s="2219" t="str">
        <f t="shared" si="64"/>
        <v>锅炉房（城外老锅炉房）</v>
      </c>
      <c r="AY119" s="337">
        <f t="shared" si="39"/>
        <v>2914.53</v>
      </c>
      <c r="AZ119" s="330">
        <f t="shared" si="40"/>
        <v>2327.5100000000002</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2327.5100000000002</v>
      </c>
      <c r="BM119" s="330">
        <f t="shared" si="53"/>
        <v>0</v>
      </c>
      <c r="BN119" s="330">
        <f t="shared" si="54"/>
        <v>0</v>
      </c>
      <c r="BO119" s="330">
        <f t="shared" si="55"/>
        <v>0</v>
      </c>
      <c r="BP119" s="330">
        <f t="shared" si="56"/>
        <v>0</v>
      </c>
      <c r="BQ119" s="330">
        <f t="shared" si="57"/>
        <v>2327.5100000000002</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9" customFormat="1">
      <c r="A588" s="1177"/>
      <c r="B588" s="1177"/>
      <c r="C588" s="1177"/>
      <c r="D588" s="1177"/>
      <c r="E588" s="1178"/>
      <c r="F588" s="1178"/>
      <c r="G588" s="1177"/>
      <c r="H588" s="1178"/>
      <c r="I588" s="1178"/>
      <c r="J588" s="1178"/>
      <c r="K588" s="1178"/>
      <c r="L588" s="1178"/>
      <c r="M588" s="1178"/>
      <c r="N588" s="1178"/>
      <c r="O588" s="1178"/>
      <c r="P588" s="1178"/>
      <c r="Q588" s="1178"/>
      <c r="R588" s="1178"/>
      <c r="S588" s="1178"/>
      <c r="T588" s="1178"/>
      <c r="U588" s="1178"/>
      <c r="V588" s="1178"/>
      <c r="W588" s="1178"/>
      <c r="X588" s="1178"/>
      <c r="Y588" s="1178"/>
      <c r="Z588" s="1178"/>
      <c r="AA588" s="1178"/>
      <c r="AB588" s="1178"/>
      <c r="AC588" s="1178"/>
      <c r="AD588" s="1178"/>
      <c r="AE588" s="1178"/>
      <c r="AF588" s="1178"/>
      <c r="AG588" s="1178"/>
      <c r="AH588" s="1178"/>
      <c r="AI588" s="1178"/>
      <c r="AJ588" s="1178"/>
      <c r="AK588" s="1178"/>
      <c r="AL588" s="1178"/>
      <c r="AM588" s="1178"/>
      <c r="AN588" s="1178"/>
      <c r="AO588" s="1178"/>
      <c r="AP588" s="1178"/>
      <c r="AQ588" s="1178"/>
      <c r="AR588" s="1178"/>
      <c r="AS588" s="1178"/>
      <c r="AT588" s="1178"/>
      <c r="AU588" s="1177"/>
      <c r="AV588" s="1177"/>
      <c r="AW588" s="1177"/>
      <c r="AX588" s="1177"/>
    </row>
    <row r="589" spans="1:72" s="1180" customFormat="1">
      <c r="C589" s="1181"/>
      <c r="D589" s="1181"/>
    </row>
    <row r="590" spans="1:72" s="1180" customFormat="1">
      <c r="C590" s="1181"/>
      <c r="D590" s="1181"/>
    </row>
    <row r="593" spans="2:2">
      <c r="B593" s="1181"/>
    </row>
  </sheetData>
  <sheetProtection password="C66D" sheet="1" objects="1" scenarios="1" formatCells="0" formatColumns="0" formatRows="0"/>
  <mergeCells count="10">
    <mergeCell ref="C93:C94"/>
    <mergeCell ref="C95:C96"/>
    <mergeCell ref="C98:C99"/>
    <mergeCell ref="C100:C102"/>
    <mergeCell ref="C20:C21"/>
    <mergeCell ref="C24:C25"/>
    <mergeCell ref="C37:C38"/>
    <mergeCell ref="C57:C58"/>
    <mergeCell ref="C87:C89"/>
    <mergeCell ref="C91:C92"/>
  </mergeCells>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58" t="s">
        <v>2</v>
      </c>
      <c r="B1" s="3558" t="s">
        <v>37</v>
      </c>
      <c r="C1" s="3558" t="s">
        <v>38</v>
      </c>
      <c r="D1" s="3627" t="s">
        <v>363</v>
      </c>
      <c r="E1" s="3627" t="s">
        <v>364</v>
      </c>
      <c r="F1" s="3627"/>
      <c r="G1" s="3627"/>
      <c r="H1" s="3627"/>
      <c r="I1" s="3627"/>
      <c r="J1" s="3627"/>
      <c r="K1" s="3627"/>
      <c r="L1" s="3627"/>
      <c r="M1" s="3627"/>
    </row>
    <row r="2" spans="1:13" ht="27" customHeight="1">
      <c r="A2" s="3558"/>
      <c r="B2" s="3558"/>
      <c r="C2" s="3558"/>
      <c r="D2" s="3627"/>
      <c r="E2" s="3627" t="s">
        <v>347</v>
      </c>
      <c r="F2" s="3627" t="s">
        <v>348</v>
      </c>
      <c r="G2" s="3627"/>
      <c r="H2" s="3627"/>
      <c r="I2" s="3627"/>
      <c r="J2" s="3627" t="s">
        <v>349</v>
      </c>
      <c r="K2" s="3627"/>
      <c r="L2" s="3627"/>
      <c r="M2" s="3627"/>
    </row>
    <row r="3" spans="1:13" ht="28.5">
      <c r="A3" s="3558"/>
      <c r="B3" s="3558"/>
      <c r="C3" s="3558"/>
      <c r="D3" s="3627"/>
      <c r="E3" s="3627"/>
      <c r="F3" s="269" t="s">
        <v>350</v>
      </c>
      <c r="G3" s="269" t="s">
        <v>345</v>
      </c>
      <c r="H3" s="269" t="s">
        <v>346</v>
      </c>
      <c r="I3" s="269" t="s">
        <v>359</v>
      </c>
      <c r="J3" s="269" t="s">
        <v>350</v>
      </c>
      <c r="K3" s="269" t="s">
        <v>361</v>
      </c>
      <c r="L3" s="269" t="s">
        <v>360</v>
      </c>
      <c r="M3" s="269" t="s">
        <v>362</v>
      </c>
    </row>
    <row r="4" spans="1:13" ht="42.75">
      <c r="A4" s="269" t="s">
        <v>351</v>
      </c>
      <c r="B4" s="269" t="s">
        <v>352</v>
      </c>
      <c r="C4" s="269" t="s">
        <v>353</v>
      </c>
      <c r="D4" s="270">
        <v>3807.94</v>
      </c>
      <c r="E4" s="270">
        <v>20666.91</v>
      </c>
      <c r="F4" s="270">
        <v>19673</v>
      </c>
      <c r="G4" s="270">
        <v>0</v>
      </c>
      <c r="H4" s="270">
        <v>19673</v>
      </c>
      <c r="I4" s="270">
        <v>0</v>
      </c>
      <c r="J4" s="270">
        <v>993.90999999999985</v>
      </c>
      <c r="K4" s="270">
        <v>0</v>
      </c>
      <c r="L4" s="270">
        <v>0</v>
      </c>
      <c r="M4" s="270">
        <v>993.90999999999985</v>
      </c>
    </row>
    <row r="5" spans="1:13" ht="42.75">
      <c r="A5" s="269" t="s">
        <v>351</v>
      </c>
      <c r="B5" s="269" t="s">
        <v>354</v>
      </c>
      <c r="C5" s="269" t="s">
        <v>355</v>
      </c>
      <c r="D5" s="270">
        <v>3667.86</v>
      </c>
      <c r="E5" s="270">
        <v>19906.61</v>
      </c>
      <c r="F5" s="270">
        <v>18792.87</v>
      </c>
      <c r="G5" s="270">
        <v>18792.87</v>
      </c>
      <c r="H5" s="270">
        <v>0</v>
      </c>
      <c r="I5" s="270">
        <v>0</v>
      </c>
      <c r="J5" s="270">
        <v>1113.74</v>
      </c>
      <c r="K5" s="270">
        <v>55.59</v>
      </c>
      <c r="L5" s="270">
        <v>0</v>
      </c>
      <c r="M5" s="270">
        <v>1058.1500000000001</v>
      </c>
    </row>
    <row r="6" spans="1:13" ht="42.75">
      <c r="A6" s="269" t="s">
        <v>351</v>
      </c>
      <c r="B6" s="269" t="s">
        <v>354</v>
      </c>
      <c r="C6" s="269" t="s">
        <v>356</v>
      </c>
      <c r="D6" s="270">
        <v>2067.52</v>
      </c>
      <c r="E6" s="270">
        <v>11221.06</v>
      </c>
      <c r="F6" s="270">
        <v>9934.1299999999992</v>
      </c>
      <c r="G6" s="270">
        <v>9934.1299999999992</v>
      </c>
      <c r="H6" s="270">
        <v>0</v>
      </c>
      <c r="I6" s="270">
        <v>0</v>
      </c>
      <c r="J6" s="270">
        <v>1286.93</v>
      </c>
      <c r="K6" s="270">
        <v>0</v>
      </c>
      <c r="L6" s="270">
        <v>0</v>
      </c>
      <c r="M6" s="270">
        <v>1286.93</v>
      </c>
    </row>
    <row r="7" spans="1:13" ht="42.75">
      <c r="A7" s="269" t="s">
        <v>351</v>
      </c>
      <c r="B7" s="269" t="s">
        <v>354</v>
      </c>
      <c r="C7" s="269" t="s">
        <v>357</v>
      </c>
      <c r="D7" s="270">
        <v>8.18</v>
      </c>
      <c r="E7" s="270">
        <v>44.41</v>
      </c>
      <c r="F7" s="270">
        <v>0</v>
      </c>
      <c r="G7" s="270">
        <v>0</v>
      </c>
      <c r="H7" s="270">
        <v>0</v>
      </c>
      <c r="I7" s="270">
        <v>0</v>
      </c>
      <c r="J7" s="270">
        <v>44.41</v>
      </c>
      <c r="K7" s="270">
        <v>44.41</v>
      </c>
      <c r="L7" s="270">
        <v>0</v>
      </c>
      <c r="M7" s="270">
        <v>0</v>
      </c>
    </row>
    <row r="8" spans="1:13" ht="42.75">
      <c r="A8" s="269" t="s">
        <v>351</v>
      </c>
      <c r="B8" s="269" t="s">
        <v>354</v>
      </c>
      <c r="C8" s="269" t="s">
        <v>358</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627" t="s">
        <v>365</v>
      </c>
      <c r="B9" s="3627"/>
      <c r="C9" s="362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0" sqref="D40"/>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865</v>
      </c>
      <c r="B1" s="2233"/>
      <c r="C1" s="2233"/>
      <c r="D1" s="2233"/>
      <c r="E1" s="2233"/>
      <c r="F1" s="2233"/>
      <c r="G1" s="2233"/>
      <c r="H1" s="2233"/>
      <c r="I1" s="2233"/>
      <c r="J1" s="2233"/>
      <c r="K1" s="2233"/>
      <c r="L1" s="2233"/>
      <c r="M1" s="2233"/>
      <c r="N1" s="2233"/>
      <c r="O1" s="2233"/>
      <c r="P1" s="2233"/>
    </row>
    <row r="2" spans="1:16">
      <c r="A2" s="3637" t="s">
        <v>866</v>
      </c>
      <c r="B2" s="3637"/>
      <c r="C2" s="3637"/>
      <c r="D2" s="2217" t="s">
        <v>867</v>
      </c>
      <c r="E2" s="19" t="s">
        <v>868</v>
      </c>
      <c r="F2" s="2233"/>
      <c r="G2" s="1183"/>
      <c r="H2" s="1184"/>
      <c r="I2" s="2225" t="s">
        <v>869</v>
      </c>
      <c r="J2" s="2233"/>
      <c r="K2" s="2233"/>
      <c r="L2" s="2233"/>
      <c r="M2" s="2233"/>
      <c r="N2" s="2242"/>
      <c r="O2" s="2233"/>
      <c r="P2" s="2233"/>
    </row>
    <row r="3" spans="1:16" ht="15.75" thickBot="1">
      <c r="A3" s="3638" t="s">
        <v>870</v>
      </c>
      <c r="B3" s="3638"/>
      <c r="C3" s="3638"/>
      <c r="D3" s="341">
        <f>'数据-基础表'!AY6</f>
        <v>619634</v>
      </c>
      <c r="E3" s="341">
        <f>'数据-基础表'!AZ5</f>
        <v>494831.87</v>
      </c>
      <c r="F3" s="2233"/>
      <c r="G3" s="445"/>
      <c r="H3" s="443" t="s">
        <v>871</v>
      </c>
      <c r="I3" s="350">
        <f>ROUND('数据-基础表'!B3/'数据-基础表'!A3,2)</f>
        <v>0.8</v>
      </c>
      <c r="J3" s="2233"/>
      <c r="K3" s="2233"/>
      <c r="L3" s="2233"/>
      <c r="M3" s="2233"/>
      <c r="N3" s="2242"/>
      <c r="O3" s="2233"/>
      <c r="P3" s="2233"/>
    </row>
    <row r="4" spans="1:16" ht="14.25">
      <c r="A4" s="3639"/>
      <c r="B4" s="3640"/>
      <c r="C4" s="3641"/>
      <c r="D4" s="20" t="s">
        <v>867</v>
      </c>
      <c r="E4" s="21" t="s">
        <v>868</v>
      </c>
      <c r="F4" s="2233"/>
      <c r="G4" s="1185" t="s">
        <v>2143</v>
      </c>
      <c r="H4" s="443" t="s">
        <v>872</v>
      </c>
      <c r="I4" s="350">
        <f>ROUND(SUMIF('数据-基础表'!I9:AS9,"地上",'数据-基础表'!I5:AS5)/'数据-基础表'!A3,2)</f>
        <v>0.8</v>
      </c>
      <c r="J4" s="2233"/>
      <c r="K4" s="2233"/>
      <c r="L4" s="2233"/>
      <c r="M4" s="2233"/>
      <c r="N4" s="2242"/>
      <c r="O4" s="2233"/>
      <c r="P4" s="2233"/>
    </row>
    <row r="5" spans="1:16" ht="14.25">
      <c r="A5" s="22" t="s">
        <v>873</v>
      </c>
      <c r="B5" s="3642" t="s">
        <v>874</v>
      </c>
      <c r="C5" s="3642"/>
      <c r="D5" s="343">
        <f>ROUND($D$3*E5/$E$3,2)</f>
        <v>0</v>
      </c>
      <c r="E5" s="344">
        <f>SUMIF('数据-基础表'!$11:$11,"住宅",'数据-基础表'!$5:$5)</f>
        <v>0</v>
      </c>
      <c r="F5" s="2233"/>
      <c r="G5" s="445"/>
      <c r="H5" s="443" t="s">
        <v>871</v>
      </c>
      <c r="I5" s="350">
        <f>ROUND(E31/D31,2)</f>
        <v>0.8</v>
      </c>
      <c r="J5" s="2233"/>
      <c r="K5" s="2233"/>
      <c r="L5" s="2233"/>
      <c r="M5" s="2233"/>
      <c r="N5" s="2233"/>
      <c r="O5" s="2233"/>
      <c r="P5" s="2233"/>
    </row>
    <row r="6" spans="1:16" ht="15" thickBot="1">
      <c r="A6" s="24"/>
      <c r="B6" s="3642" t="s">
        <v>875</v>
      </c>
      <c r="C6" s="3642"/>
      <c r="D6" s="343">
        <f>ROUND($D$3*E6/$E$3,2)</f>
        <v>619634</v>
      </c>
      <c r="E6" s="344">
        <f>E3-E5</f>
        <v>494831.87</v>
      </c>
      <c r="F6" s="2233"/>
      <c r="G6" s="1765" t="s">
        <v>2144</v>
      </c>
      <c r="H6" s="445" t="s">
        <v>872</v>
      </c>
      <c r="I6" s="1766">
        <f>ROUND(F31/D31,2)</f>
        <v>0.8</v>
      </c>
      <c r="J6" s="2233"/>
      <c r="K6" s="2233"/>
      <c r="L6" s="2233"/>
      <c r="M6" s="2233"/>
      <c r="N6" s="2233"/>
      <c r="O6" s="2233"/>
      <c r="P6" s="2233"/>
    </row>
    <row r="7" spans="1:16" ht="14.25">
      <c r="A7" s="3634"/>
      <c r="B7" s="3635"/>
      <c r="C7" s="3636"/>
      <c r="D7" s="20" t="s">
        <v>867</v>
      </c>
      <c r="E7" s="25" t="s">
        <v>868</v>
      </c>
      <c r="F7" s="2233"/>
      <c r="G7" s="1183" t="s">
        <v>2228</v>
      </c>
      <c r="H7" s="38"/>
      <c r="I7" s="766">
        <v>4</v>
      </c>
      <c r="J7" s="2233"/>
      <c r="K7" s="2233"/>
      <c r="L7" s="2233"/>
      <c r="M7" s="2233"/>
      <c r="N7" s="2233"/>
      <c r="O7" s="2233"/>
      <c r="P7" s="2233"/>
    </row>
    <row r="8" spans="1:16" ht="14.25">
      <c r="A8" s="22" t="s">
        <v>876</v>
      </c>
      <c r="B8" s="26" t="s">
        <v>877</v>
      </c>
      <c r="C8" s="23" t="s">
        <v>878</v>
      </c>
      <c r="D8" s="343">
        <f t="shared" ref="D8:D15" si="0">ROUND($D$3*E8/$E$3,2)</f>
        <v>605941.88</v>
      </c>
      <c r="E8" s="346">
        <f>SUMIF('数据-基础表'!BB10:BK10,"地上",'数据-基础表'!BB5:BK5)</f>
        <v>483897.51999999996</v>
      </c>
      <c r="F8" s="2233"/>
      <c r="G8" s="2234"/>
      <c r="H8" s="2234"/>
      <c r="I8" s="2233"/>
      <c r="J8" s="2233"/>
      <c r="K8" s="2233"/>
      <c r="L8" s="2233"/>
      <c r="M8" s="2233"/>
      <c r="N8" s="2233"/>
      <c r="O8" s="2233"/>
      <c r="P8" s="2233"/>
    </row>
    <row r="9" spans="1:16" ht="14.25">
      <c r="A9" s="27"/>
      <c r="B9" s="28"/>
      <c r="C9" s="23" t="s">
        <v>879</v>
      </c>
      <c r="D9" s="343">
        <f t="shared" si="0"/>
        <v>0</v>
      </c>
      <c r="E9" s="347">
        <v>0</v>
      </c>
      <c r="F9" s="2233"/>
      <c r="G9" s="2234"/>
      <c r="H9" s="2234"/>
      <c r="I9" s="2233"/>
      <c r="J9" s="2233"/>
      <c r="K9" s="2233"/>
      <c r="L9" s="2233"/>
      <c r="M9" s="2233"/>
      <c r="N9" s="2233"/>
      <c r="O9" s="2233"/>
      <c r="P9" s="2233"/>
    </row>
    <row r="10" spans="1:16" ht="14.25">
      <c r="A10" s="27"/>
      <c r="B10" s="28"/>
      <c r="C10" s="23" t="s">
        <v>880</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2774</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881</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882</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883</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884</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885</v>
      </c>
      <c r="D16" s="345">
        <f>SUM(D8:D15)</f>
        <v>605941.88</v>
      </c>
      <c r="E16" s="348">
        <f>SUM(E8:E15)</f>
        <v>483897.51999999996</v>
      </c>
      <c r="F16" s="2233"/>
      <c r="G16" s="2234"/>
      <c r="H16" s="1182" t="s">
        <v>755</v>
      </c>
      <c r="I16" s="1186"/>
      <c r="J16" s="2233"/>
      <c r="K16" s="3631" t="s">
        <v>755</v>
      </c>
      <c r="L16" s="3632"/>
      <c r="M16" s="3632"/>
      <c r="N16" s="3632"/>
      <c r="O16" s="3632"/>
      <c r="P16" s="3633"/>
    </row>
    <row r="17" spans="1:19" ht="14.25">
      <c r="A17" s="29" t="s">
        <v>886</v>
      </c>
      <c r="B17" s="30" t="s">
        <v>887</v>
      </c>
      <c r="C17" s="34" t="s">
        <v>2765</v>
      </c>
      <c r="D17" s="2082" t="s">
        <v>867</v>
      </c>
      <c r="E17" s="2080" t="s">
        <v>868</v>
      </c>
      <c r="F17" s="36"/>
      <c r="G17" s="37"/>
      <c r="H17" s="1187" t="s">
        <v>888</v>
      </c>
      <c r="I17" s="1188" t="s">
        <v>370</v>
      </c>
      <c r="J17" s="2233"/>
      <c r="K17" s="3628" t="s">
        <v>894</v>
      </c>
      <c r="L17" s="3629"/>
      <c r="M17" s="3630"/>
      <c r="N17" s="3628" t="s">
        <v>3095</v>
      </c>
      <c r="O17" s="3629"/>
      <c r="P17" s="3630"/>
      <c r="R17" s="2494" t="s">
        <v>2766</v>
      </c>
      <c r="S17" s="360"/>
    </row>
    <row r="18" spans="1:19">
      <c r="A18" s="27"/>
      <c r="B18" s="31"/>
      <c r="C18" s="35"/>
      <c r="D18" s="2083"/>
      <c r="E18" s="2081" t="s">
        <v>889</v>
      </c>
      <c r="F18" s="15" t="s">
        <v>890</v>
      </c>
      <c r="G18" s="16" t="s">
        <v>891</v>
      </c>
      <c r="H18" s="1189" t="s">
        <v>892</v>
      </c>
      <c r="I18" s="1190" t="s">
        <v>893</v>
      </c>
      <c r="J18" s="2233"/>
      <c r="K18" s="1189" t="s">
        <v>3088</v>
      </c>
      <c r="L18" s="6" t="s">
        <v>3096</v>
      </c>
      <c r="M18" s="2823" t="s">
        <v>3094</v>
      </c>
      <c r="N18" s="1189" t="s">
        <v>3088</v>
      </c>
      <c r="O18" s="6" t="s">
        <v>3096</v>
      </c>
      <c r="P18" s="2823" t="s">
        <v>3094</v>
      </c>
      <c r="R18" s="2495" t="s">
        <v>2767</v>
      </c>
      <c r="S18" s="2495" t="s">
        <v>2768</v>
      </c>
    </row>
    <row r="19" spans="1:19" ht="14.25">
      <c r="A19" s="32"/>
      <c r="B19" s="26" t="s">
        <v>174</v>
      </c>
      <c r="C19" s="1424" t="s">
        <v>3520</v>
      </c>
      <c r="D19" s="343">
        <f>ROUND($D$3*E19/$E$3,2)</f>
        <v>605941.88</v>
      </c>
      <c r="E19" s="351">
        <f t="shared" ref="E19:E26" si="1">SUM(F19:G19)</f>
        <v>483897.51999999996</v>
      </c>
      <c r="F19" s="352">
        <f>'数据-基础表'!I5</f>
        <v>483897.51999999996</v>
      </c>
      <c r="G19" s="353"/>
      <c r="H19" s="1137">
        <f>ROUND($D$3*I19/$E$3,2)</f>
        <v>13692.12</v>
      </c>
      <c r="I19" s="346">
        <f t="shared" ref="I19:I26" si="2">IF($I$17="自定义",P19,M19)</f>
        <v>10934.35</v>
      </c>
      <c r="J19" s="2233"/>
      <c r="K19" s="2824">
        <f t="shared" ref="K19:K26" si="3">ROUND(E$28*E19/E$27,2)</f>
        <v>10934.35</v>
      </c>
      <c r="L19" s="2496">
        <f t="shared" ref="L19:L26" si="4">ROUND(IF(COUNTIF(C19,"*住宅*")&gt;0,E$29*E19/E$32,0),2)</f>
        <v>0</v>
      </c>
      <c r="M19" s="2842">
        <f>K19+L19</f>
        <v>10934.35</v>
      </c>
      <c r="N19" s="2840"/>
      <c r="O19" s="2822"/>
      <c r="P19" s="2825">
        <f>N19+O19</f>
        <v>0</v>
      </c>
      <c r="R19" s="2496">
        <f t="shared" ref="R19:S26" si="5">D19+H19</f>
        <v>619634</v>
      </c>
      <c r="S19" s="2497">
        <f t="shared" si="5"/>
        <v>494831.86999999994</v>
      </c>
    </row>
    <row r="20" spans="1:19" ht="14.25">
      <c r="A20" s="33"/>
      <c r="B20" s="26" t="s">
        <v>860</v>
      </c>
      <c r="C20" s="1424"/>
      <c r="D20" s="343">
        <f t="shared" ref="D20:D26" si="6">ROUND($D$3*E20/$E$3,2)</f>
        <v>0</v>
      </c>
      <c r="E20" s="351">
        <f t="shared" si="1"/>
        <v>0</v>
      </c>
      <c r="F20" s="352"/>
      <c r="G20" s="353"/>
      <c r="H20" s="1137">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860</v>
      </c>
      <c r="C21" s="1424"/>
      <c r="D21" s="343">
        <f t="shared" si="6"/>
        <v>0</v>
      </c>
      <c r="E21" s="351">
        <f t="shared" si="1"/>
        <v>0</v>
      </c>
      <c r="F21" s="352"/>
      <c r="G21" s="353"/>
      <c r="H21" s="1137">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860</v>
      </c>
      <c r="C22" s="355"/>
      <c r="D22" s="343">
        <f t="shared" si="6"/>
        <v>0</v>
      </c>
      <c r="E22" s="351">
        <f t="shared" si="1"/>
        <v>0</v>
      </c>
      <c r="F22" s="356"/>
      <c r="G22" s="357"/>
      <c r="H22" s="1137">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860</v>
      </c>
      <c r="C23" s="355"/>
      <c r="D23" s="343">
        <f>ROUND($D$3*E23/$E$3,2)</f>
        <v>0</v>
      </c>
      <c r="E23" s="351">
        <f>SUM(F23:G23)</f>
        <v>0</v>
      </c>
      <c r="F23" s="356"/>
      <c r="G23" s="357"/>
      <c r="H23" s="1137">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860</v>
      </c>
      <c r="C24" s="355"/>
      <c r="D24" s="343">
        <f>ROUND($D$3*E24/$E$3,2)</f>
        <v>0</v>
      </c>
      <c r="E24" s="351">
        <f>SUM(F24:G24)</f>
        <v>0</v>
      </c>
      <c r="F24" s="356"/>
      <c r="G24" s="357"/>
      <c r="H24" s="1137">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860</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860</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861</v>
      </c>
      <c r="D27" s="2827">
        <f>SUM(D19:D26)</f>
        <v>605941.88</v>
      </c>
      <c r="E27" s="2828">
        <f>IF(SUM(E19:E26)='数据-基础表'!BA5,SUM(E19:E26),IF(F27="地上面积有误","面积有误","地下面积有误"))</f>
        <v>483897.51999999996</v>
      </c>
      <c r="F27" s="2827">
        <f>IF(SUM(F19:F26)=E8,SUM(F19:F26),"地上面积有误")</f>
        <v>483897.51999999996</v>
      </c>
      <c r="G27" s="2829">
        <f>SUM(G19:G26)</f>
        <v>0</v>
      </c>
      <c r="H27" s="2830">
        <f>SUM(H19:H26)</f>
        <v>13692.12</v>
      </c>
      <c r="I27" s="2831">
        <f>SUM(I19:I26)</f>
        <v>10934.35</v>
      </c>
      <c r="J27" s="2233"/>
      <c r="K27" s="2837">
        <f>SUM(K19:K26)</f>
        <v>10934.35</v>
      </c>
      <c r="L27" s="2838">
        <f>SUM(L19:L26)</f>
        <v>0</v>
      </c>
      <c r="M27" s="2843">
        <f>SUM(M19:M26)</f>
        <v>10934.35</v>
      </c>
      <c r="N27" s="2837">
        <f t="shared" ref="N27:O27" si="10">SUM(N19:N26)</f>
        <v>0</v>
      </c>
      <c r="O27" s="2838">
        <f t="shared" si="10"/>
        <v>0</v>
      </c>
      <c r="P27" s="2839">
        <f>SUM(P19:P26)</f>
        <v>0</v>
      </c>
      <c r="R27" s="2498">
        <f>IF(SUM(R19:R26)=$D$3,SUM(R19:R26),SUM(R19:R26)&amp;"误差"&amp;ROUND(SUM(R19:R26)-$D$3,2))</f>
        <v>619634</v>
      </c>
      <c r="S27" s="2496">
        <f>IF(SUM(S19:S26)=$E$3,SUM(S19:S26),SUM(S19:S26)&amp;"误差"&amp;ROUND(SUM(S19:S26)-E3,2))</f>
        <v>494831.86999999994</v>
      </c>
    </row>
    <row r="28" spans="1:19" ht="14.25">
      <c r="A28" s="33"/>
      <c r="B28" s="26" t="s">
        <v>862</v>
      </c>
      <c r="C28" s="5" t="s">
        <v>863</v>
      </c>
      <c r="D28" s="343">
        <f>ROUND($D$3*E28/$E$3,2)</f>
        <v>13692.12</v>
      </c>
      <c r="E28" s="351">
        <f>SUM(F28:G28)</f>
        <v>10934.35</v>
      </c>
      <c r="F28" s="360">
        <f>'数据-基础表'!BQ5+'数据-基础表'!BS5</f>
        <v>10934.35</v>
      </c>
      <c r="G28" s="361">
        <f>'数据-基础表'!BR5+'数据-基础表'!BT5</f>
        <v>0</v>
      </c>
      <c r="H28" s="2233"/>
      <c r="I28" s="2233"/>
      <c r="J28" s="2233"/>
      <c r="K28" s="2233"/>
      <c r="L28" s="2233"/>
      <c r="M28" s="2233"/>
      <c r="N28" s="2826"/>
      <c r="O28" s="2826"/>
      <c r="P28" s="2233"/>
    </row>
    <row r="29" spans="1:19" ht="14.25">
      <c r="A29" s="33"/>
      <c r="B29" s="26" t="s">
        <v>862</v>
      </c>
      <c r="C29" s="13" t="s">
        <v>2769</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861</v>
      </c>
      <c r="D30" s="2827">
        <f>SUM(D28:D29)</f>
        <v>13692.12</v>
      </c>
      <c r="E30" s="2827">
        <f>SUM(E28:E29)</f>
        <v>10934.35</v>
      </c>
      <c r="F30" s="2827">
        <f>SUM(F28:F29)</f>
        <v>10934.35</v>
      </c>
      <c r="G30" s="2829">
        <f>SUM(G28:G29)</f>
        <v>0</v>
      </c>
      <c r="H30" s="2233"/>
      <c r="I30" s="2233"/>
      <c r="J30" s="2233"/>
      <c r="K30" s="2233"/>
      <c r="L30" s="2233"/>
      <c r="M30" s="2233"/>
      <c r="N30" s="2826"/>
      <c r="O30" s="2826"/>
      <c r="P30" s="2233"/>
    </row>
    <row r="31" spans="1:19" ht="15.75" thickBot="1">
      <c r="A31" s="1191"/>
      <c r="B31" s="2535"/>
      <c r="C31" s="2536" t="s">
        <v>864</v>
      </c>
      <c r="D31" s="1192">
        <f>D27+D30</f>
        <v>619634</v>
      </c>
      <c r="E31" s="1192">
        <f>E27+E30</f>
        <v>494831.86999999994</v>
      </c>
      <c r="F31" s="1193">
        <f>F27+F30</f>
        <v>494831.86999999994</v>
      </c>
      <c r="G31" s="1194">
        <f>G27+G30</f>
        <v>0</v>
      </c>
      <c r="H31" s="2233"/>
      <c r="I31" s="2233"/>
      <c r="J31" s="2233"/>
      <c r="K31" s="2233"/>
      <c r="L31" s="2233"/>
      <c r="M31" s="2233"/>
      <c r="N31" s="2233"/>
      <c r="O31" s="2233"/>
      <c r="P31" s="2233"/>
    </row>
    <row r="32" spans="1:19" ht="14.25">
      <c r="A32" s="1185"/>
      <c r="B32" s="1185" t="s">
        <v>3112</v>
      </c>
      <c r="C32" s="1185"/>
      <c r="D32" s="1185"/>
      <c r="E32" s="2534">
        <f>SUMIF(C19:C26,"*住宅*",E19:E26)</f>
        <v>0</v>
      </c>
      <c r="F32" s="1185"/>
      <c r="G32" s="1185"/>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
  <cols>
    <col min="1" max="1" width="20.875" style="1210" customWidth="1"/>
    <col min="2" max="2" width="12" style="1197" customWidth="1"/>
    <col min="3" max="3" width="10.75" style="1197" customWidth="1"/>
    <col min="4" max="4" width="9.125" style="1211" customWidth="1"/>
    <col min="5" max="5" width="15" style="1197" bestFit="1" customWidth="1"/>
    <col min="6" max="10" width="8.875" style="1197" customWidth="1"/>
    <col min="11" max="12" width="12.375" style="1175"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14" style="1197" customWidth="1"/>
    <col min="22" max="22" width="6.375" style="1197" customWidth="1"/>
    <col min="23" max="30" width="6.75" style="1197" customWidth="1"/>
    <col min="31" max="31" width="8" style="1197" customWidth="1"/>
    <col min="32" max="33" width="7.25" style="1197" customWidth="1"/>
    <col min="34" max="34" width="13.125" style="1197" customWidth="1"/>
    <col min="35" max="39" width="8" style="1197" customWidth="1"/>
    <col min="40" max="40" width="13.75" style="2246"/>
    <col min="41" max="41" width="11.625" style="2246" customWidth="1"/>
    <col min="42" max="42" width="9.75" style="2246" customWidth="1"/>
    <col min="43" max="67" width="13.75" style="2246"/>
    <col min="68" max="16384" width="13.75" style="1197"/>
  </cols>
  <sheetData>
    <row r="1" spans="1:67" ht="19.5" thickBot="1">
      <c r="A1" s="44" t="s">
        <v>895</v>
      </c>
      <c r="B1" s="1196"/>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199" customFormat="1" ht="15" thickBot="1">
      <c r="A2" s="45" t="s">
        <v>896</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199" customFormat="1" ht="14.25" thickBot="1">
      <c r="A3" s="1200"/>
      <c r="B3" s="1198"/>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199" customFormat="1" ht="14.25" thickBot="1">
      <c r="A4" s="46" t="s">
        <v>897</v>
      </c>
      <c r="B4" s="280"/>
      <c r="C4" s="281"/>
      <c r="D4" s="1201"/>
      <c r="E4" s="281" t="s">
        <v>758</v>
      </c>
      <c r="F4" s="281"/>
      <c r="G4" s="281"/>
      <c r="H4" s="281"/>
      <c r="I4" s="281"/>
      <c r="J4" s="282"/>
      <c r="K4" s="1202"/>
      <c r="L4" s="1203"/>
      <c r="M4" s="281"/>
      <c r="N4" s="281" t="s">
        <v>759</v>
      </c>
      <c r="O4" s="281"/>
      <c r="P4" s="281"/>
      <c r="Q4" s="281"/>
      <c r="R4" s="281"/>
      <c r="S4" s="282"/>
      <c r="T4" s="1204" t="str">
        <f>'数据-汇总表'!I17</f>
        <v>按面积比例</v>
      </c>
      <c r="U4" s="280" t="s">
        <v>898</v>
      </c>
      <c r="V4" s="281"/>
      <c r="W4" s="281"/>
      <c r="X4" s="281"/>
      <c r="Y4" s="282"/>
      <c r="Z4" s="34" t="s">
        <v>899</v>
      </c>
      <c r="AA4" s="34"/>
      <c r="AB4" s="34"/>
      <c r="AC4" s="34"/>
      <c r="AD4" s="34"/>
      <c r="AE4" s="29" t="s">
        <v>900</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06" customFormat="1" ht="40.5">
      <c r="A5" s="47" t="s">
        <v>2771</v>
      </c>
      <c r="B5" s="48" t="s">
        <v>901</v>
      </c>
      <c r="C5" s="49" t="s">
        <v>902</v>
      </c>
      <c r="D5" s="50" t="s">
        <v>903</v>
      </c>
      <c r="E5" s="51" t="s">
        <v>904</v>
      </c>
      <c r="F5" s="52" t="s">
        <v>905</v>
      </c>
      <c r="G5" s="51" t="s">
        <v>906</v>
      </c>
      <c r="H5" s="51" t="s">
        <v>907</v>
      </c>
      <c r="I5" s="51" t="s">
        <v>908</v>
      </c>
      <c r="J5" s="53" t="s">
        <v>909</v>
      </c>
      <c r="K5" s="54" t="s">
        <v>910</v>
      </c>
      <c r="L5" s="55" t="s">
        <v>911</v>
      </c>
      <c r="M5" s="56" t="s">
        <v>912</v>
      </c>
      <c r="N5" s="1205" t="s">
        <v>85</v>
      </c>
      <c r="O5" s="55" t="s">
        <v>913</v>
      </c>
      <c r="P5" s="57" t="s">
        <v>914</v>
      </c>
      <c r="Q5" s="58" t="s">
        <v>915</v>
      </c>
      <c r="R5" s="278" t="s">
        <v>916</v>
      </c>
      <c r="S5" s="59" t="s">
        <v>3089</v>
      </c>
      <c r="T5" s="279" t="s">
        <v>917</v>
      </c>
      <c r="U5" s="2526" t="s">
        <v>2777</v>
      </c>
      <c r="V5" s="51" t="s">
        <v>918</v>
      </c>
      <c r="W5" s="2527" t="s">
        <v>2778</v>
      </c>
      <c r="X5" s="62"/>
      <c r="Y5" s="60" t="s">
        <v>919</v>
      </c>
      <c r="Z5" s="61" t="s">
        <v>920</v>
      </c>
      <c r="AA5" s="51" t="s">
        <v>918</v>
      </c>
      <c r="AB5" s="2527" t="s">
        <v>2778</v>
      </c>
      <c r="AC5" s="62"/>
      <c r="AD5" s="62" t="s">
        <v>919</v>
      </c>
      <c r="AE5" s="14" t="s">
        <v>760</v>
      </c>
      <c r="AF5" s="51" t="s">
        <v>921</v>
      </c>
      <c r="AG5" s="60" t="s">
        <v>922</v>
      </c>
      <c r="AH5" s="14" t="s">
        <v>2782</v>
      </c>
      <c r="AI5" s="61" t="s">
        <v>2693</v>
      </c>
      <c r="AJ5" s="61" t="s">
        <v>923</v>
      </c>
      <c r="AK5" s="2527" t="s">
        <v>2779</v>
      </c>
      <c r="AL5" s="2527" t="s">
        <v>2780</v>
      </c>
      <c r="AM5" s="366" t="s">
        <v>2781</v>
      </c>
      <c r="AN5" s="2587" t="s">
        <v>2834</v>
      </c>
      <c r="AO5" s="2019" t="s">
        <v>3080</v>
      </c>
      <c r="AP5" s="2911" t="s">
        <v>3090</v>
      </c>
      <c r="AQ5" s="2912" t="s">
        <v>3204</v>
      </c>
      <c r="AR5" s="2912" t="s">
        <v>3205</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199" customFormat="1" ht="14.25">
      <c r="A6" s="2524" t="str">
        <f>'数据-汇总表'!C19</f>
        <v>地上商业</v>
      </c>
      <c r="B6" s="2502" t="str">
        <f>IF(A6=0,"","经营性")</f>
        <v>经营性</v>
      </c>
      <c r="C6" s="39" t="s">
        <v>43</v>
      </c>
      <c r="D6" s="2063">
        <f>SUMIF(项目基本情况!D$12:I$12,C6,项目基本情况!D$14:I$14)</f>
        <v>40</v>
      </c>
      <c r="E6" s="2057">
        <f>IF(B6="","",SUMIF(项目基本情况!D$12:I$12,C6,项目基本情况!D$13:I$13))</f>
        <v>57506</v>
      </c>
      <c r="F6" s="368">
        <f>SUMIF(项目基本情况!D$12:I$12,C6,项目基本情况!D$15:I$15)</f>
        <v>40</v>
      </c>
      <c r="G6" s="369">
        <f>IF(ISERROR(ROUND(POWER(1+H6,D6-F6)*(POWER(1+H6,F6)-1)/(POWER(1+H6,D6)-1),3)),0,ROUND(POWER(1+H6,D6-F6)*(POWER(1+H6,F6)-1)/(POWER(1+H6,D6)-1),3))</f>
        <v>1</v>
      </c>
      <c r="H6" s="1479">
        <v>0.05</v>
      </c>
      <c r="I6" s="1479">
        <v>5.5E-2</v>
      </c>
      <c r="J6" s="370">
        <v>8.5000000000000006E-2</v>
      </c>
      <c r="K6" s="2505">
        <f>SUMIF('数据-汇总表'!C$19:C$33,A6,'数据-汇总表'!E$19:E$33)</f>
        <v>483897.51999999996</v>
      </c>
      <c r="L6" s="1480">
        <v>5000</v>
      </c>
      <c r="M6" s="371">
        <f t="shared" ref="M6:M14" si="0">ROUND(K6*L6/10000,0)</f>
        <v>241949</v>
      </c>
      <c r="N6" s="3476">
        <f>O21</f>
        <v>0.8</v>
      </c>
      <c r="O6" s="371" t="str">
        <f>IF($N$5="成新度","——",ROUND(M6*N6,0))</f>
        <v>——</v>
      </c>
      <c r="P6" s="372" t="str">
        <f>IF($N$5="成新度","——",M6-O6)</f>
        <v>——</v>
      </c>
      <c r="Q6" s="1481">
        <v>0.15</v>
      </c>
      <c r="R6" s="373">
        <f ca="1">SUMIF('数据-汇总表'!C$19:C$33,A6,'数据-汇总表'!R$19:R$27)</f>
        <v>619634</v>
      </c>
      <c r="S6" s="349">
        <f>IF('数据-汇总表'!$I$17="按面积比例",SUMIF('数据-汇总表'!C$19:C$33,A6,'数据-汇总表'!K$19:K$33),SUMIF('数据-汇总表'!C$19:C$33,A6,'数据-汇总表'!N$19:N$33))</f>
        <v>10934.35</v>
      </c>
      <c r="T6" s="2910">
        <f>ROUND($L$14*S6/10000,0)</f>
        <v>3827</v>
      </c>
      <c r="U6" s="3478">
        <v>1</v>
      </c>
      <c r="V6" s="375">
        <v>3.5000000000000003E-2</v>
      </c>
      <c r="W6" s="375"/>
      <c r="X6" s="2515"/>
      <c r="Y6" s="376">
        <f>N6</f>
        <v>0.8</v>
      </c>
      <c r="Z6" s="377"/>
      <c r="AA6" s="370"/>
      <c r="AB6" s="370"/>
      <c r="AC6" s="2515"/>
      <c r="AD6" s="378"/>
      <c r="AE6" s="2516">
        <f ca="1">IF(AN6="",0,SUMIF(INDIRECT("'"&amp;AN6&amp;"'"&amp;"!E:E"),$AE$5,INDIRECT("'"&amp;AN6&amp;"'"&amp;"!F:F")))</f>
        <v>40</v>
      </c>
      <c r="AF6" s="358"/>
      <c r="AG6" s="481">
        <f>IF(AF6="",0,AE6-AF6)</f>
        <v>0</v>
      </c>
      <c r="AH6" s="3541">
        <f>K6</f>
        <v>483897.51999999996</v>
      </c>
      <c r="AI6" s="381">
        <v>365</v>
      </c>
      <c r="AJ6" s="382"/>
      <c r="AK6" s="383">
        <v>0.01</v>
      </c>
      <c r="AL6" s="384">
        <v>1E-3</v>
      </c>
      <c r="AM6" s="385">
        <v>0.01</v>
      </c>
      <c r="AN6" s="2588" t="s">
        <v>2832</v>
      </c>
      <c r="AO6" s="350">
        <f ca="1">SUMIF(INDIRECT("'"&amp;AN6&amp;"'"&amp;"!A:A"),"总价",INDIRECT("'"&amp;AN6&amp;"'"&amp;"!B:B"))</f>
        <v>239596</v>
      </c>
      <c r="AP6" s="2913">
        <f>IF(C6="住宅",K6*L6,0)</f>
        <v>0</v>
      </c>
      <c r="AQ6" s="350">
        <f>ROUND($L$14*$N$14*S6/10000,0)</f>
        <v>3062</v>
      </c>
      <c r="AR6" s="350">
        <f>ROUND($L$14*(1-$N$14)*S6/10000,0)</f>
        <v>765</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199" customFormat="1" ht="14.25">
      <c r="A7" s="2524">
        <f>'数据-汇总表'!C20</f>
        <v>0</v>
      </c>
      <c r="B7" s="2502" t="str">
        <f t="shared" ref="B7:B13" si="1">IF(A7=0,"","经营性")</f>
        <v/>
      </c>
      <c r="C7" s="39"/>
      <c r="D7" s="2063">
        <f>SUMIF(项目基本情况!D$12:I$12,C7,项目基本情况!D$14:I$14)</f>
        <v>0</v>
      </c>
      <c r="E7" s="2057"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79"/>
      <c r="I7" s="1479"/>
      <c r="J7" s="370"/>
      <c r="K7" s="2505">
        <f>SUMIF('数据-汇总表'!C$19:C$33,A7,'数据-汇总表'!E$19:E$33)</f>
        <v>0</v>
      </c>
      <c r="L7" s="1480"/>
      <c r="M7" s="371">
        <f t="shared" si="0"/>
        <v>0</v>
      </c>
      <c r="N7" s="1478"/>
      <c r="O7" s="371" t="str">
        <f t="shared" ref="O7:O14" si="3">IF($N$5="成新度","——",ROUND(M7*N7,0))</f>
        <v>——</v>
      </c>
      <c r="P7" s="372" t="str">
        <f t="shared" ref="P7:P14" si="4">IF($N$5="成新度","——",M7-O7)</f>
        <v>——</v>
      </c>
      <c r="Q7" s="1481"/>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1">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199" customFormat="1" ht="14.25">
      <c r="A8" s="2524">
        <f>'数据-汇总表'!C21</f>
        <v>0</v>
      </c>
      <c r="B8" s="2502" t="str">
        <f t="shared" si="1"/>
        <v/>
      </c>
      <c r="C8" s="39"/>
      <c r="D8" s="2063">
        <f>SUMIF(项目基本情况!D$12:I$12,C8,项目基本情况!D$14:I$14)</f>
        <v>0</v>
      </c>
      <c r="E8" s="2057" t="str">
        <f>IF(B8="","",SUMIF(项目基本情况!D$12:I$12,C8,项目基本情况!D$13:I$13))</f>
        <v/>
      </c>
      <c r="F8" s="368">
        <f>SUMIF(项目基本情况!D$12:I$12,C8,项目基本情况!D$15:I$15)</f>
        <v>0</v>
      </c>
      <c r="G8" s="369">
        <f t="shared" si="2"/>
        <v>0</v>
      </c>
      <c r="H8" s="1479"/>
      <c r="I8" s="1479"/>
      <c r="J8" s="370"/>
      <c r="K8" s="2505">
        <f>SUMIF('数据-汇总表'!C$19:C$33,A8,'数据-汇总表'!E$19:E$33)</f>
        <v>0</v>
      </c>
      <c r="L8" s="1480"/>
      <c r="M8" s="371">
        <f>ROUND(K8*L8/10000,0)</f>
        <v>0</v>
      </c>
      <c r="N8" s="1478"/>
      <c r="O8" s="371" t="str">
        <f t="shared" si="3"/>
        <v>——</v>
      </c>
      <c r="P8" s="372" t="str">
        <f t="shared" si="4"/>
        <v>——</v>
      </c>
      <c r="Q8" s="1481"/>
      <c r="R8" s="373">
        <f ca="1">SUMIF('数据-汇总表'!C$19:C$33,A8,'数据-汇总表'!R$19:R$27)</f>
        <v>0</v>
      </c>
      <c r="S8" s="349">
        <f>IF('数据-汇总表'!$I$17="按面积比例",SUMIF('数据-汇总表'!C$19:C$33,A8,'数据-汇总表'!K$19:K$33),SUMIF('数据-汇总表'!C$19:C$33,A8,'数据-汇总表'!N$19:N$33))</f>
        <v>0</v>
      </c>
      <c r="T8" s="2910">
        <f t="shared" si="5"/>
        <v>0</v>
      </c>
      <c r="U8" s="1482"/>
      <c r="V8" s="1483"/>
      <c r="W8" s="1483"/>
      <c r="X8" s="2515"/>
      <c r="Y8" s="1484"/>
      <c r="Z8" s="377"/>
      <c r="AA8" s="370"/>
      <c r="AB8" s="370"/>
      <c r="AC8" s="2515"/>
      <c r="AD8" s="378"/>
      <c r="AE8" s="2516">
        <f t="shared" ca="1" si="6"/>
        <v>0</v>
      </c>
      <c r="AF8" s="358"/>
      <c r="AG8" s="481">
        <f t="shared" si="7"/>
        <v>0</v>
      </c>
      <c r="AH8" s="1485"/>
      <c r="AI8" s="381"/>
      <c r="AJ8" s="382"/>
      <c r="AK8" s="1486"/>
      <c r="AL8" s="1487"/>
      <c r="AM8" s="1488"/>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199" customFormat="1" ht="14.25">
      <c r="A9" s="2524">
        <f>'数据-汇总表'!C22</f>
        <v>0</v>
      </c>
      <c r="B9" s="2502" t="str">
        <f t="shared" si="1"/>
        <v/>
      </c>
      <c r="C9" s="39"/>
      <c r="D9" s="2063">
        <f>SUMIF(项目基本情况!D$12:I$12,C9,项目基本情况!D$14:I$14)</f>
        <v>0</v>
      </c>
      <c r="E9" s="2057"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0"/>
      <c r="M9" s="371">
        <f t="shared" si="0"/>
        <v>0</v>
      </c>
      <c r="N9" s="1478"/>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1">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199" customFormat="1" ht="14.25">
      <c r="A10" s="2524">
        <f>'数据-汇总表'!C23</f>
        <v>0</v>
      </c>
      <c r="B10" s="2502" t="str">
        <f t="shared" si="1"/>
        <v/>
      </c>
      <c r="C10" s="39"/>
      <c r="D10" s="2063">
        <f>SUMIF(项目基本情况!D$12:I$12,C10,项目基本情况!D$14:I$14)</f>
        <v>0</v>
      </c>
      <c r="E10" s="2057"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0"/>
      <c r="M10" s="371">
        <f t="shared" si="0"/>
        <v>0</v>
      </c>
      <c r="N10" s="1478"/>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1">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199" customFormat="1" ht="14.25">
      <c r="A11" s="2524">
        <f>'数据-汇总表'!C24</f>
        <v>0</v>
      </c>
      <c r="B11" s="2502" t="str">
        <f t="shared" si="1"/>
        <v/>
      </c>
      <c r="C11" s="39"/>
      <c r="D11" s="2063">
        <f>SUMIF(项目基本情况!D$12:I$12,C11,项目基本情况!D$14:I$14)</f>
        <v>0</v>
      </c>
      <c r="E11" s="2057"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1">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199" customFormat="1" ht="14.25">
      <c r="A12" s="2524">
        <f>'数据-汇总表'!C25</f>
        <v>0</v>
      </c>
      <c r="B12" s="2502" t="str">
        <f t="shared" si="1"/>
        <v/>
      </c>
      <c r="C12" s="39"/>
      <c r="D12" s="2063">
        <f>SUMIF(项目基本情况!D$12:I$12,C12,项目基本情况!D$14:I$14)</f>
        <v>0</v>
      </c>
      <c r="E12" s="205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1">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199" customFormat="1" ht="14.25">
      <c r="A13" s="2524">
        <f>'数据-汇总表'!C26</f>
        <v>0</v>
      </c>
      <c r="B13" s="2502" t="str">
        <f t="shared" si="1"/>
        <v/>
      </c>
      <c r="C13" s="39"/>
      <c r="D13" s="2063">
        <f>SUMIF(项目基本情况!D$12:I$12,C13,项目基本情况!D$14:I$14)</f>
        <v>0</v>
      </c>
      <c r="E13" s="205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1">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199" customFormat="1" ht="14.25">
      <c r="A14" s="2499" t="s">
        <v>757</v>
      </c>
      <c r="B14" s="2502" t="s">
        <v>756</v>
      </c>
      <c r="C14" s="2503" t="s">
        <v>757</v>
      </c>
      <c r="D14" s="2063"/>
      <c r="E14" s="2057"/>
      <c r="F14" s="368"/>
      <c r="G14" s="369"/>
      <c r="H14" s="2504"/>
      <c r="I14" s="2504"/>
      <c r="J14" s="2504"/>
      <c r="K14" s="2505">
        <f>SUMIF('数据-汇总表'!C$19:C$33,A14,'数据-汇总表'!E$19:E$33)</f>
        <v>10934.35</v>
      </c>
      <c r="L14" s="387">
        <v>3500</v>
      </c>
      <c r="M14" s="371">
        <f t="shared" si="0"/>
        <v>3827</v>
      </c>
      <c r="N14" s="388">
        <f>N6</f>
        <v>0.8</v>
      </c>
      <c r="O14" s="371" t="str">
        <f t="shared" si="3"/>
        <v>——</v>
      </c>
      <c r="P14" s="372" t="str">
        <f t="shared" si="4"/>
        <v>——</v>
      </c>
      <c r="Q14" s="2508"/>
      <c r="R14" s="373"/>
      <c r="S14" s="349"/>
      <c r="T14" s="2910"/>
      <c r="U14" s="1137"/>
      <c r="V14" s="2510"/>
      <c r="W14" s="2510"/>
      <c r="X14" s="2511"/>
      <c r="Y14" s="2512"/>
      <c r="Z14" s="2513"/>
      <c r="AA14" s="2514"/>
      <c r="AB14" s="2514"/>
      <c r="AC14" s="2515"/>
      <c r="AD14" s="2511"/>
      <c r="AE14" s="2516"/>
      <c r="AF14" s="350"/>
      <c r="AG14" s="481"/>
      <c r="AH14" s="2516"/>
      <c r="AI14" s="2520"/>
      <c r="AJ14" s="1325"/>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199" customFormat="1" ht="27">
      <c r="A15" s="2499" t="s">
        <v>2770</v>
      </c>
      <c r="B15" s="2502" t="s">
        <v>756</v>
      </c>
      <c r="C15" s="2503" t="s">
        <v>2467</v>
      </c>
      <c r="D15" s="2063"/>
      <c r="E15" s="2057"/>
      <c r="F15" s="368"/>
      <c r="G15" s="369"/>
      <c r="H15" s="2504"/>
      <c r="I15" s="2504"/>
      <c r="J15" s="2504"/>
      <c r="K15" s="2505">
        <f>SUMIF('数据-汇总表'!C$19:C$33,A15,'数据-汇总表'!E$19:E$33)</f>
        <v>0</v>
      </c>
      <c r="L15" s="2506"/>
      <c r="M15" s="371"/>
      <c r="N15" s="2507"/>
      <c r="O15" s="371"/>
      <c r="P15" s="372"/>
      <c r="Q15" s="2508"/>
      <c r="R15" s="373"/>
      <c r="S15" s="349"/>
      <c r="T15" s="2910"/>
      <c r="U15" s="1137"/>
      <c r="V15" s="2510"/>
      <c r="W15" s="2510"/>
      <c r="X15" s="2511"/>
      <c r="Y15" s="2512"/>
      <c r="Z15" s="2513"/>
      <c r="AA15" s="2514"/>
      <c r="AB15" s="2514"/>
      <c r="AC15" s="2515"/>
      <c r="AD15" s="2511"/>
      <c r="AE15" s="2516"/>
      <c r="AF15" s="350"/>
      <c r="AG15" s="481"/>
      <c r="AH15" s="2516"/>
      <c r="AI15" s="2520"/>
      <c r="AJ15" s="1325"/>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199" customFormat="1" ht="15.75" thickBot="1">
      <c r="A16" s="64" t="s">
        <v>4</v>
      </c>
      <c r="B16" s="65"/>
      <c r="C16" s="66"/>
      <c r="D16" s="67"/>
      <c r="E16" s="65"/>
      <c r="F16" s="393"/>
      <c r="G16" s="394">
        <f>ROUND(SUMPRODUCT(G6:G13,K6:K13)/SUMPRODUCT((G6:G13&gt;0)*(K6:K13)),3)</f>
        <v>1</v>
      </c>
      <c r="H16" s="395">
        <f>ROUND(SUMPRODUCT(H6:H13,K6:K13)/SUMPRODUCT((H6:H13&gt;0)*(K6:K13)),3)</f>
        <v>0.05</v>
      </c>
      <c r="I16" s="396"/>
      <c r="J16" s="396"/>
      <c r="K16" s="397">
        <f>SUM(K6:K15)</f>
        <v>494831.86999999994</v>
      </c>
      <c r="L16" s="398">
        <f>ROUND(M16*10000/SUM(K6:K14),0)</f>
        <v>4967</v>
      </c>
      <c r="M16" s="398">
        <f>SUM(M6:M14)</f>
        <v>245776</v>
      </c>
      <c r="N16" s="399">
        <f>ROUND(SUMPRODUCT(M6:M14,N6:N14)/M16,3)</f>
        <v>0.8</v>
      </c>
      <c r="O16" s="398">
        <f>SUM(O6:O14)</f>
        <v>0</v>
      </c>
      <c r="P16" s="398">
        <f>SUM(P6:P14)</f>
        <v>0</v>
      </c>
      <c r="Q16" s="400">
        <f>ROUND(SUMPRODUCT(Q6:Q13,K6:K13)/SUMPRODUCT((Q6:Q13&gt;0)*(K6:K13)),2)</f>
        <v>0.15</v>
      </c>
      <c r="R16" s="2509">
        <f ca="1">SUM(R6:R13)</f>
        <v>619634</v>
      </c>
      <c r="S16" s="401">
        <f>SUM(S6:S13)</f>
        <v>10934.35</v>
      </c>
      <c r="T16" s="402">
        <f>IF(SUMIF(T6:T13,"&lt;9E307")=M14,SUMIF(T6:T13,"&lt;9E307"),"有误，请检查")</f>
        <v>3827</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07"/>
      <c r="B17" s="1196"/>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198"/>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2786</v>
      </c>
      <c r="D19" s="2241"/>
      <c r="E19" s="2240"/>
      <c r="F19" s="2240"/>
      <c r="G19" s="2240"/>
      <c r="H19" s="2240"/>
      <c r="I19" s="2240"/>
      <c r="J19" s="2240"/>
      <c r="K19" s="2239"/>
      <c r="L19" s="2239"/>
      <c r="M19" s="2237"/>
      <c r="N19" s="2237" t="s">
        <v>3521</v>
      </c>
      <c r="O19" s="3325">
        <f>房产证!U11</f>
        <v>0.79001764134553421</v>
      </c>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924</v>
      </c>
      <c r="B20" s="409">
        <v>5</v>
      </c>
      <c r="C20" s="2240" t="s">
        <v>2787</v>
      </c>
      <c r="D20" s="2241"/>
      <c r="E20" s="2240"/>
      <c r="F20" s="2240"/>
      <c r="G20" s="2240"/>
      <c r="H20" s="2240"/>
      <c r="I20" s="2240"/>
      <c r="J20" s="2240"/>
      <c r="K20" s="2239"/>
      <c r="L20" s="2239"/>
      <c r="M20" s="2237"/>
      <c r="N20" s="2237" t="s">
        <v>3522</v>
      </c>
      <c r="O20" s="3324">
        <v>0.8</v>
      </c>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925</v>
      </c>
      <c r="B21" s="409">
        <v>5</v>
      </c>
      <c r="C21" s="2240"/>
      <c r="D21" s="2241"/>
      <c r="E21" s="2240"/>
      <c r="F21" s="2240"/>
      <c r="G21" s="2240"/>
      <c r="H21" s="2240"/>
      <c r="I21" s="2240"/>
      <c r="J21" s="2240"/>
      <c r="K21" s="2239"/>
      <c r="L21" s="2239"/>
      <c r="M21" s="2237"/>
      <c r="N21" s="2237" t="s">
        <v>3523</v>
      </c>
      <c r="O21" s="3324">
        <f>ROUND(AVERAGE(O19:O20),2)</f>
        <v>0.8</v>
      </c>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926</v>
      </c>
      <c r="B22" s="410">
        <f>B19+B20</f>
        <v>5</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927</v>
      </c>
      <c r="B23" s="410">
        <f>B19+B21</f>
        <v>5</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928</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0"/>
      <c r="B25" s="1198"/>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929</v>
      </c>
      <c r="B26" s="72" t="s">
        <v>930</v>
      </c>
      <c r="C26" s="2243" t="s">
        <v>931</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08" customFormat="1" ht="27">
      <c r="A27" s="73" t="s">
        <v>932</v>
      </c>
      <c r="B27" s="3326">
        <v>33.200000000000003</v>
      </c>
      <c r="C27" s="2537" t="s">
        <v>933</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08" customFormat="1" ht="27">
      <c r="A28" s="74" t="s">
        <v>934</v>
      </c>
      <c r="B28" s="3327">
        <v>21.6</v>
      </c>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08" customFormat="1" ht="27.75" thickBot="1">
      <c r="A29" s="285" t="s">
        <v>3092</v>
      </c>
      <c r="B29" s="3328">
        <f>ROUND(B28*K16/10000,0)</f>
        <v>1069</v>
      </c>
      <c r="C29" s="2537" t="s">
        <v>3093</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08" customFormat="1" ht="27">
      <c r="A30" s="284" t="s">
        <v>935</v>
      </c>
      <c r="B30" s="1138">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08" customFormat="1" ht="27">
      <c r="A31" s="74" t="s">
        <v>936</v>
      </c>
      <c r="B31" s="415">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08" customFormat="1" ht="27.75" thickBot="1">
      <c r="A32" s="76" t="s">
        <v>937</v>
      </c>
      <c r="B32" s="1139">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08" customFormat="1" ht="13.5">
      <c r="A33" s="73" t="s">
        <v>938</v>
      </c>
      <c r="B33" s="3481">
        <v>0.05</v>
      </c>
      <c r="C33" s="2539" t="s">
        <v>939</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08" customFormat="1" ht="13.5">
      <c r="A34" s="74" t="s">
        <v>940</v>
      </c>
      <c r="B34" s="416">
        <v>0</v>
      </c>
      <c r="C34" s="2539" t="s">
        <v>941</v>
      </c>
      <c r="D34" s="2241" t="s">
        <v>942</v>
      </c>
      <c r="E34" s="1196"/>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08" customFormat="1" ht="13.5">
      <c r="A35" s="74" t="s">
        <v>943</v>
      </c>
      <c r="B35" s="414">
        <v>200</v>
      </c>
      <c r="C35" s="2539" t="s">
        <v>944</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945</v>
      </c>
      <c r="B36" s="417">
        <v>1.4999999999999999E-2</v>
      </c>
      <c r="C36" s="2539" t="s">
        <v>946</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947</v>
      </c>
      <c r="B37" s="3479">
        <v>0.03</v>
      </c>
      <c r="C37" s="2539" t="s">
        <v>948</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949</v>
      </c>
      <c r="B38" s="3480">
        <v>0.02</v>
      </c>
      <c r="C38" s="2539" t="s">
        <v>948</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2941</v>
      </c>
      <c r="B39" s="702">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3017</v>
      </c>
      <c r="B40" s="2652">
        <f ca="1">存贷款利率!G1</f>
        <v>4.7500000000000001E-2</v>
      </c>
      <c r="C40" s="2539" t="s">
        <v>761</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950</v>
      </c>
      <c r="B41" s="418">
        <f>B42+B43</f>
        <v>5.5000000000000007E-2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09" t="s">
        <v>951</v>
      </c>
      <c r="B42" s="419">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09" t="s">
        <v>952</v>
      </c>
      <c r="B43" s="420">
        <f>B42*(B44+B45+B46)+B47</f>
        <v>5.000000000000001E-3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953</v>
      </c>
      <c r="B44" s="421">
        <v>0.05</v>
      </c>
      <c r="C44" s="2539" t="s">
        <v>762</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954</v>
      </c>
      <c r="B45" s="419">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955</v>
      </c>
      <c r="B46" s="419">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956</v>
      </c>
      <c r="B47" s="422">
        <v>0</v>
      </c>
      <c r="C47" s="2537" t="s">
        <v>957</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958</v>
      </c>
      <c r="B48" s="423">
        <v>0.04</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959</v>
      </c>
      <c r="B49" s="419">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960</v>
      </c>
      <c r="B50" s="424">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961</v>
      </c>
      <c r="B51" s="425">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962</v>
      </c>
      <c r="B52" s="426">
        <f>SUMIF(A54:A63,B53,B54:B63)</f>
        <v>3</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963</v>
      </c>
      <c r="B53" s="41" t="s">
        <v>1888</v>
      </c>
      <c r="C53" s="2245" t="s">
        <v>329</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c r="B54" s="380"/>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c r="B55" s="380"/>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c r="B56" s="380"/>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c r="B57" s="380"/>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325</v>
      </c>
      <c r="B58" s="380">
        <v>3</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c r="B59" s="380"/>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27"/>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56"/>
      <c r="D64" s="2251"/>
      <c r="K64" s="2252"/>
      <c r="L64" s="2252"/>
    </row>
    <row r="65" spans="1:12" s="2250" customFormat="1">
      <c r="A65" s="1456"/>
      <c r="D65" s="2251"/>
      <c r="K65" s="2252"/>
      <c r="L65" s="2252"/>
    </row>
    <row r="66" spans="1:12" s="2250" customFormat="1">
      <c r="A66" s="1456"/>
      <c r="D66" s="2251"/>
      <c r="K66" s="2252"/>
      <c r="L66" s="2252"/>
    </row>
    <row r="67" spans="1:12" s="2250" customFormat="1">
      <c r="A67" s="1456"/>
      <c r="D67" s="2251"/>
      <c r="K67" s="2252"/>
      <c r="L67" s="2252"/>
    </row>
    <row r="68" spans="1:12" s="2250" customFormat="1">
      <c r="A68" s="1456"/>
      <c r="D68" s="2251"/>
      <c r="K68" s="2252"/>
      <c r="L68" s="2252"/>
    </row>
    <row r="69" spans="1:12" s="2250" customFormat="1">
      <c r="A69" s="1456"/>
      <c r="D69" s="2251"/>
      <c r="K69" s="2252"/>
      <c r="L69" s="2252"/>
    </row>
    <row r="70" spans="1:12" s="2250" customFormat="1">
      <c r="A70" s="1456"/>
      <c r="D70" s="2251"/>
      <c r="K70" s="2252"/>
      <c r="L70" s="2252"/>
    </row>
    <row r="71" spans="1:12" s="2250" customFormat="1">
      <c r="A71" s="1456"/>
      <c r="D71" s="2251"/>
      <c r="K71" s="2252"/>
      <c r="L71" s="2252"/>
    </row>
    <row r="72" spans="1:12" s="2250" customFormat="1">
      <c r="A72" s="1456"/>
      <c r="D72" s="2251"/>
      <c r="K72" s="2252"/>
      <c r="L72" s="2252"/>
    </row>
    <row r="73" spans="1:12" s="2250" customFormat="1">
      <c r="A73" s="1456"/>
      <c r="D73" s="2251"/>
      <c r="K73" s="2252"/>
      <c r="L73" s="2252"/>
    </row>
    <row r="74" spans="1:12" s="2250" customFormat="1">
      <c r="A74" s="1456"/>
      <c r="D74" s="2251"/>
      <c r="K74" s="2252"/>
      <c r="L74" s="2252"/>
    </row>
    <row r="75" spans="1:12" s="2250" customFormat="1">
      <c r="A75" s="1456"/>
      <c r="D75" s="2251"/>
      <c r="K75" s="2252"/>
      <c r="L75" s="2252"/>
    </row>
    <row r="76" spans="1:12" s="2250" customFormat="1">
      <c r="A76" s="1456"/>
      <c r="D76" s="2251"/>
      <c r="K76" s="2252"/>
      <c r="L76" s="2252"/>
    </row>
    <row r="77" spans="1:12" s="2250" customFormat="1">
      <c r="A77" s="1456"/>
      <c r="D77" s="2251"/>
      <c r="K77" s="2252"/>
      <c r="L77" s="2252"/>
    </row>
    <row r="78" spans="1:12" s="2250" customFormat="1">
      <c r="A78" s="1456"/>
      <c r="D78" s="2251"/>
      <c r="K78" s="2252"/>
      <c r="L78" s="2252"/>
    </row>
    <row r="79" spans="1:12" s="2250" customFormat="1">
      <c r="A79" s="1456"/>
      <c r="D79" s="2251"/>
      <c r="K79" s="2252"/>
      <c r="L79" s="2252"/>
    </row>
    <row r="80" spans="1:12" s="2250" customFormat="1">
      <c r="A80" s="1456"/>
      <c r="D80" s="2251"/>
      <c r="K80" s="2252"/>
      <c r="L80" s="2252"/>
    </row>
    <row r="81" spans="1:12" s="2250" customFormat="1">
      <c r="A81" s="1456"/>
      <c r="D81" s="2251"/>
      <c r="K81" s="2252"/>
      <c r="L81" s="2252"/>
    </row>
    <row r="82" spans="1:12" s="2250" customFormat="1">
      <c r="A82" s="1456"/>
      <c r="D82" s="2251"/>
      <c r="K82" s="2252"/>
      <c r="L82" s="2252"/>
    </row>
    <row r="83" spans="1:12" s="2250" customFormat="1">
      <c r="A83" s="1456"/>
      <c r="D83" s="2251"/>
      <c r="K83" s="2252"/>
      <c r="L83" s="2252"/>
    </row>
    <row r="84" spans="1:12" s="2250" customFormat="1">
      <c r="A84" s="1456"/>
      <c r="D84" s="2251"/>
      <c r="K84" s="2252"/>
      <c r="L84" s="2252"/>
    </row>
    <row r="85" spans="1:12" s="2250" customFormat="1">
      <c r="A85" s="1456"/>
      <c r="D85" s="2251"/>
      <c r="K85" s="2252"/>
      <c r="L85" s="2252"/>
    </row>
    <row r="86" spans="1:12" s="2250" customFormat="1">
      <c r="A86" s="1456"/>
      <c r="D86" s="2251"/>
      <c r="K86" s="2252"/>
      <c r="L86" s="2252"/>
    </row>
    <row r="87" spans="1:12" s="2250" customFormat="1">
      <c r="A87" s="1456"/>
      <c r="D87" s="2251"/>
      <c r="K87" s="2252"/>
      <c r="L87" s="2252"/>
    </row>
    <row r="88" spans="1:12" s="2250" customFormat="1">
      <c r="A88" s="1456"/>
      <c r="D88" s="2251"/>
      <c r="K88" s="2252"/>
      <c r="L88" s="2252"/>
    </row>
    <row r="89" spans="1:12" s="2250" customFormat="1">
      <c r="A89" s="1456"/>
      <c r="D89" s="2251"/>
      <c r="K89" s="2252"/>
      <c r="L89" s="2252"/>
    </row>
    <row r="90" spans="1:12" s="2250" customFormat="1">
      <c r="A90" s="1456"/>
      <c r="D90" s="2251"/>
      <c r="K90" s="2252"/>
      <c r="L90" s="2252"/>
    </row>
    <row r="91" spans="1:12" s="2250" customFormat="1">
      <c r="A91" s="1456"/>
      <c r="D91" s="2251"/>
      <c r="K91" s="2252"/>
      <c r="L91" s="2252"/>
    </row>
    <row r="92" spans="1:12" s="2250" customFormat="1">
      <c r="A92" s="1456"/>
      <c r="D92" s="2251"/>
      <c r="K92" s="2252"/>
      <c r="L92" s="2252"/>
    </row>
    <row r="93" spans="1:12" s="2250" customFormat="1">
      <c r="A93" s="1456"/>
      <c r="D93" s="2251"/>
      <c r="K93" s="2252"/>
      <c r="L93" s="2252"/>
    </row>
    <row r="94" spans="1:12" s="2250" customFormat="1">
      <c r="A94" s="1456"/>
      <c r="D94" s="2251"/>
      <c r="K94" s="2252"/>
      <c r="L94" s="2252"/>
    </row>
    <row r="95" spans="1:12" s="2250" customFormat="1">
      <c r="A95" s="1456"/>
      <c r="D95" s="2251"/>
      <c r="K95" s="2252"/>
      <c r="L95" s="2252"/>
    </row>
    <row r="96" spans="1:12" s="2250" customFormat="1">
      <c r="A96" s="1456"/>
      <c r="D96" s="2251"/>
      <c r="K96" s="2252"/>
      <c r="L96" s="2252"/>
    </row>
    <row r="97" spans="1:12" s="2250" customFormat="1">
      <c r="A97" s="1456"/>
      <c r="D97" s="2251"/>
      <c r="K97" s="2252"/>
      <c r="L97" s="2252"/>
    </row>
    <row r="98" spans="1:12" s="2250" customFormat="1">
      <c r="A98" s="1456"/>
      <c r="D98" s="2251"/>
      <c r="K98" s="2252"/>
      <c r="L98" s="2252"/>
    </row>
    <row r="99" spans="1:12" s="2250" customFormat="1">
      <c r="A99" s="1456"/>
      <c r="D99" s="2251"/>
      <c r="K99" s="2252"/>
      <c r="L99" s="2252"/>
    </row>
    <row r="100" spans="1:12" s="2250" customFormat="1">
      <c r="A100" s="1456"/>
      <c r="D100" s="2251"/>
      <c r="K100" s="2252"/>
      <c r="L100" s="2252"/>
    </row>
    <row r="101" spans="1:12" s="2250" customFormat="1">
      <c r="A101" s="1456"/>
      <c r="D101" s="2251"/>
      <c r="K101" s="2252"/>
      <c r="L101" s="2252"/>
    </row>
    <row r="102" spans="1:12" s="2250" customFormat="1">
      <c r="A102" s="1456"/>
      <c r="D102" s="2251"/>
      <c r="K102" s="2252"/>
      <c r="L102" s="2252"/>
    </row>
    <row r="103" spans="1:12" s="2250" customFormat="1">
      <c r="A103" s="1456"/>
      <c r="D103" s="2251"/>
      <c r="K103" s="2252"/>
      <c r="L103" s="2252"/>
    </row>
    <row r="104" spans="1:12" s="2250" customFormat="1">
      <c r="A104" s="1456"/>
      <c r="D104" s="2251"/>
      <c r="K104" s="2252"/>
      <c r="L104" s="2252"/>
    </row>
    <row r="105" spans="1:12" s="2250" customFormat="1">
      <c r="A105" s="1456"/>
      <c r="D105" s="2251"/>
      <c r="K105" s="2252"/>
      <c r="L105" s="2252"/>
    </row>
    <row r="106" spans="1:12" s="2250" customFormat="1">
      <c r="A106" s="1456"/>
      <c r="D106" s="2251"/>
      <c r="K106" s="2252"/>
      <c r="L106" s="2252"/>
    </row>
    <row r="107" spans="1:12" s="2250" customFormat="1">
      <c r="A107" s="1456"/>
      <c r="D107" s="2251"/>
      <c r="K107" s="2252"/>
      <c r="L107" s="2252"/>
    </row>
    <row r="108" spans="1:12" s="2250" customFormat="1">
      <c r="A108" s="1456"/>
      <c r="D108" s="2251"/>
      <c r="K108" s="2252"/>
      <c r="L108" s="2252"/>
    </row>
    <row r="109" spans="1:12" s="2250" customFormat="1">
      <c r="A109" s="1456"/>
      <c r="D109" s="2251"/>
      <c r="K109" s="2252"/>
      <c r="L109" s="2252"/>
    </row>
    <row r="110" spans="1:12" s="2250" customFormat="1">
      <c r="A110" s="1456"/>
      <c r="D110" s="2251"/>
      <c r="K110" s="2252"/>
      <c r="L110" s="2252"/>
    </row>
    <row r="111" spans="1:12" s="2250" customFormat="1">
      <c r="A111" s="1456"/>
      <c r="D111" s="2251"/>
      <c r="K111" s="2252"/>
      <c r="L111" s="2252"/>
    </row>
    <row r="112" spans="1:12" s="2250" customFormat="1">
      <c r="A112" s="1456"/>
      <c r="D112" s="2251"/>
      <c r="K112" s="2252"/>
      <c r="L112" s="2252"/>
    </row>
    <row r="113" spans="1:12" s="2250" customFormat="1">
      <c r="A113" s="1456"/>
      <c r="D113" s="2251"/>
      <c r="K113" s="2252"/>
      <c r="L113" s="2252"/>
    </row>
    <row r="114" spans="1:12" s="2250" customFormat="1">
      <c r="A114" s="1456"/>
      <c r="D114" s="2251"/>
      <c r="K114" s="2252"/>
      <c r="L114" s="2252"/>
    </row>
    <row r="115" spans="1:12" s="2250" customFormat="1">
      <c r="A115" s="1456"/>
      <c r="D115" s="2251"/>
      <c r="K115" s="2252"/>
      <c r="L115" s="2252"/>
    </row>
    <row r="116" spans="1:12" s="2250" customFormat="1">
      <c r="A116" s="1456"/>
      <c r="D116" s="2251"/>
      <c r="K116" s="2252"/>
      <c r="L116" s="2252"/>
    </row>
    <row r="117" spans="1:12" s="2250" customFormat="1">
      <c r="A117" s="1456"/>
      <c r="D117" s="2251"/>
      <c r="K117" s="2252"/>
      <c r="L117" s="2252"/>
    </row>
    <row r="118" spans="1:12" s="2250" customFormat="1">
      <c r="A118" s="1456"/>
      <c r="D118" s="2251"/>
      <c r="K118" s="2252"/>
      <c r="L118" s="2252"/>
    </row>
    <row r="119" spans="1:12" s="2250" customFormat="1">
      <c r="A119" s="1456"/>
      <c r="D119" s="2251"/>
      <c r="K119" s="2252"/>
      <c r="L119" s="2252"/>
    </row>
    <row r="120" spans="1:12" s="2250" customFormat="1">
      <c r="A120" s="1456"/>
      <c r="D120" s="2251"/>
      <c r="K120" s="2252"/>
      <c r="L120" s="2252"/>
    </row>
    <row r="121" spans="1:12" s="2250" customFormat="1">
      <c r="A121" s="1456"/>
      <c r="D121" s="2251"/>
      <c r="K121" s="2252"/>
      <c r="L121" s="2252"/>
    </row>
    <row r="122" spans="1:12" s="2250" customFormat="1">
      <c r="A122" s="1456"/>
      <c r="D122" s="2251"/>
      <c r="K122" s="2252"/>
      <c r="L122" s="2252"/>
    </row>
    <row r="123" spans="1:12" s="2250" customFormat="1">
      <c r="A123" s="1456"/>
      <c r="D123" s="2251"/>
      <c r="K123" s="2252"/>
      <c r="L123" s="2252"/>
    </row>
    <row r="124" spans="1:12" s="2250" customFormat="1">
      <c r="A124" s="1456"/>
      <c r="D124" s="2251"/>
      <c r="K124" s="2252"/>
      <c r="L124" s="2252"/>
    </row>
    <row r="125" spans="1:12" s="2250" customFormat="1">
      <c r="A125" s="1456"/>
      <c r="D125" s="2251"/>
      <c r="K125" s="2252"/>
      <c r="L125" s="2252"/>
    </row>
    <row r="126" spans="1:12" s="2250" customFormat="1">
      <c r="A126" s="1456"/>
      <c r="D126" s="2251"/>
      <c r="K126" s="2252"/>
      <c r="L126" s="2252"/>
    </row>
    <row r="127" spans="1:12" s="2250" customFormat="1">
      <c r="A127" s="1456"/>
      <c r="D127" s="2251"/>
      <c r="K127" s="2252"/>
      <c r="L127" s="2252"/>
    </row>
    <row r="128" spans="1:12" s="2250" customFormat="1">
      <c r="A128" s="1456"/>
      <c r="D128" s="2251"/>
      <c r="K128" s="2252"/>
      <c r="L128" s="2252"/>
    </row>
    <row r="129" spans="1:12" s="2250" customFormat="1">
      <c r="A129" s="1456"/>
      <c r="D129" s="2251"/>
      <c r="K129" s="2252"/>
      <c r="L129" s="2252"/>
    </row>
    <row r="130" spans="1:12" s="2250" customFormat="1">
      <c r="A130" s="1456"/>
      <c r="D130" s="2251"/>
      <c r="K130" s="2252"/>
      <c r="L130" s="2252"/>
    </row>
    <row r="131" spans="1:12" s="2250" customFormat="1">
      <c r="A131" s="1456"/>
      <c r="D131" s="2251"/>
      <c r="K131" s="2252"/>
      <c r="L131" s="2252"/>
    </row>
    <row r="132" spans="1:12" s="2250" customFormat="1">
      <c r="A132" s="1456"/>
      <c r="D132" s="2251"/>
      <c r="K132" s="2252"/>
      <c r="L132" s="2252"/>
    </row>
    <row r="133" spans="1:12" s="2250" customFormat="1">
      <c r="A133" s="1456"/>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643" t="s">
        <v>980</v>
      </c>
      <c r="B1" s="3644"/>
      <c r="C1" s="3644"/>
      <c r="D1" s="3644"/>
      <c r="E1" s="3644"/>
      <c r="F1" s="3644"/>
      <c r="G1" s="3644"/>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2"/>
      <c r="B2" s="1213"/>
      <c r="C2" s="1214" t="s">
        <v>981</v>
      </c>
      <c r="D2" s="1215"/>
      <c r="E2" s="1216"/>
      <c r="F2" s="1203"/>
      <c r="G2" s="1214" t="s">
        <v>982</v>
      </c>
      <c r="H2" s="2263"/>
      <c r="I2" s="2263"/>
      <c r="J2" s="2263"/>
      <c r="K2" s="2263"/>
      <c r="L2" s="2263"/>
      <c r="M2" s="2263"/>
      <c r="N2" s="2263"/>
      <c r="O2" s="2263"/>
      <c r="P2" s="2263"/>
      <c r="Q2" s="2263"/>
      <c r="R2" s="2263"/>
    </row>
    <row r="3" spans="1:29" ht="41.25" thickBot="1">
      <c r="A3" s="1024" t="s">
        <v>983</v>
      </c>
      <c r="B3" s="51" t="s">
        <v>55</v>
      </c>
      <c r="C3" s="271"/>
      <c r="D3" s="2264"/>
      <c r="E3" s="1033" t="s">
        <v>983</v>
      </c>
      <c r="F3" s="1217" t="s">
        <v>104</v>
      </c>
      <c r="G3" s="288" t="s">
        <v>984</v>
      </c>
      <c r="H3" s="2263"/>
      <c r="I3" s="2263"/>
      <c r="J3" s="2263"/>
      <c r="K3" s="2263"/>
      <c r="L3" s="2263"/>
      <c r="M3" s="2263"/>
      <c r="N3" s="2263"/>
      <c r="O3" s="2263"/>
      <c r="P3" s="2263"/>
      <c r="Q3" s="2263"/>
      <c r="R3" s="2263"/>
    </row>
    <row r="4" spans="1:29" ht="68.25" thickBot="1">
      <c r="A4" s="1033"/>
      <c r="B4" s="2219" t="s">
        <v>985</v>
      </c>
      <c r="C4" s="271" t="s">
        <v>3524</v>
      </c>
      <c r="D4" s="2264"/>
      <c r="E4" s="1218"/>
      <c r="F4" s="2223" t="s">
        <v>986</v>
      </c>
      <c r="G4" s="273" t="s">
        <v>987</v>
      </c>
      <c r="H4" s="2263"/>
      <c r="I4" s="2263"/>
      <c r="J4" s="2263"/>
      <c r="K4" s="2263"/>
      <c r="L4" s="2263"/>
      <c r="M4" s="2263"/>
      <c r="N4" s="2263"/>
      <c r="O4" s="2263"/>
      <c r="P4" s="2263"/>
      <c r="Q4" s="2263"/>
      <c r="R4" s="2263"/>
    </row>
    <row r="5" spans="1:29" ht="27">
      <c r="A5" s="1033"/>
      <c r="B5" s="2219" t="s">
        <v>988</v>
      </c>
      <c r="C5" s="271"/>
      <c r="D5" s="2264"/>
      <c r="E5" s="1218"/>
      <c r="F5" s="2761" t="s">
        <v>3034</v>
      </c>
      <c r="G5" s="273" t="s">
        <v>3036</v>
      </c>
      <c r="H5" s="2263"/>
      <c r="I5" s="2263"/>
      <c r="J5" s="2263"/>
      <c r="K5" s="2263"/>
      <c r="L5" s="2263"/>
      <c r="M5" s="2263"/>
      <c r="N5" s="2263"/>
      <c r="O5" s="2263"/>
      <c r="P5" s="2263"/>
      <c r="Q5" s="2263"/>
      <c r="R5" s="2263"/>
    </row>
    <row r="6" spans="1:29" ht="94.5">
      <c r="A6" s="1033"/>
      <c r="B6" s="2219" t="s">
        <v>77</v>
      </c>
      <c r="C6" s="273" t="s">
        <v>4035</v>
      </c>
      <c r="D6" s="2264"/>
      <c r="E6" s="1218"/>
      <c r="F6" s="2761" t="s">
        <v>3033</v>
      </c>
      <c r="G6" s="273" t="s">
        <v>3035</v>
      </c>
      <c r="H6" s="2263"/>
      <c r="I6" s="2263"/>
      <c r="J6" s="2263"/>
      <c r="K6" s="2263"/>
      <c r="L6" s="2263"/>
      <c r="M6" s="2263"/>
      <c r="N6" s="2263"/>
      <c r="O6" s="2263"/>
      <c r="P6" s="2263"/>
      <c r="Q6" s="2263"/>
      <c r="R6" s="2263"/>
    </row>
    <row r="7" spans="1:29" ht="41.25" thickBot="1">
      <c r="A7" s="1033"/>
      <c r="B7" s="2219" t="s">
        <v>3034</v>
      </c>
      <c r="C7" s="273" t="s">
        <v>3525</v>
      </c>
      <c r="D7" s="2265"/>
      <c r="E7" s="1219"/>
      <c r="F7" s="1220" t="s">
        <v>964</v>
      </c>
      <c r="G7" s="275" t="s">
        <v>965</v>
      </c>
      <c r="H7" s="2263"/>
      <c r="I7" s="2263"/>
      <c r="J7" s="2263"/>
      <c r="K7" s="2263"/>
      <c r="L7" s="2263"/>
      <c r="M7" s="2263"/>
      <c r="N7" s="2263"/>
      <c r="O7" s="2263"/>
      <c r="P7" s="2263"/>
      <c r="Q7" s="2263"/>
      <c r="R7" s="2263"/>
    </row>
    <row r="8" spans="1:29" ht="27">
      <c r="A8" s="1033"/>
      <c r="B8" s="2761" t="s">
        <v>3033</v>
      </c>
      <c r="C8" s="273" t="s">
        <v>3526</v>
      </c>
      <c r="D8" s="2265"/>
      <c r="E8" s="2265"/>
      <c r="F8" s="2266"/>
      <c r="G8" s="2266"/>
      <c r="H8" s="2263"/>
      <c r="I8" s="2263"/>
      <c r="J8" s="2263"/>
      <c r="K8" s="2263"/>
      <c r="L8" s="2263"/>
      <c r="M8" s="2263"/>
      <c r="N8" s="2263"/>
      <c r="O8" s="2263"/>
      <c r="P8" s="2263"/>
      <c r="Q8" s="2263"/>
      <c r="R8" s="2263"/>
    </row>
    <row r="9" spans="1:29" ht="54">
      <c r="A9" s="1033"/>
      <c r="B9" s="2219" t="s">
        <v>78</v>
      </c>
      <c r="C9" s="272" t="s">
        <v>4036</v>
      </c>
      <c r="D9" s="2264"/>
      <c r="E9" s="2265"/>
      <c r="F9" s="2266"/>
      <c r="G9" s="2266"/>
      <c r="H9" s="2263"/>
      <c r="I9" s="2263"/>
      <c r="J9" s="2263"/>
      <c r="K9" s="2263"/>
      <c r="L9" s="2263"/>
      <c r="M9" s="2263"/>
      <c r="N9" s="2263"/>
      <c r="O9" s="2263"/>
      <c r="P9" s="2263"/>
      <c r="Q9" s="2263"/>
      <c r="R9" s="2263"/>
    </row>
    <row r="10" spans="1:29" s="40" customFormat="1" ht="14.25" thickBot="1">
      <c r="A10" s="1222"/>
      <c r="B10" s="1223" t="s">
        <v>966</v>
      </c>
      <c r="C10" s="274" t="s">
        <v>3527</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1"/>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1"/>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967</v>
      </c>
      <c r="B13" s="2759"/>
      <c r="C13" s="2759"/>
      <c r="D13" s="2262"/>
      <c r="E13" s="2759"/>
      <c r="F13" s="2759"/>
      <c r="G13" s="2759"/>
    </row>
    <row r="14" spans="1:29" ht="14.25" thickBot="1">
      <c r="A14" s="1224"/>
      <c r="B14" s="1225"/>
      <c r="C14" s="1226" t="s">
        <v>968</v>
      </c>
      <c r="D14" s="2264"/>
      <c r="E14" s="1227"/>
      <c r="F14" s="1227"/>
      <c r="G14" s="1214" t="s">
        <v>969</v>
      </c>
    </row>
    <row r="15" spans="1:29" ht="40.5">
      <c r="A15" s="46" t="s">
        <v>970</v>
      </c>
      <c r="B15" s="14" t="s">
        <v>55</v>
      </c>
      <c r="C15" s="1228">
        <f>C3</f>
        <v>0</v>
      </c>
      <c r="D15" s="2264"/>
      <c r="E15" s="2774" t="s">
        <v>971</v>
      </c>
      <c r="F15" s="14" t="s">
        <v>972</v>
      </c>
      <c r="G15" s="1026" t="str">
        <f>G3</f>
        <v>估价对象位于北京经济技术开发区，园区建设成熟，产业集聚程度较好</v>
      </c>
    </row>
    <row r="16" spans="1:29" ht="67.5">
      <c r="A16" s="2777"/>
      <c r="B16" s="1229" t="s">
        <v>973</v>
      </c>
      <c r="C16" s="1230" t="str">
        <f>C4</f>
        <v>估价对象自身商业用地较多，周边较少，周边仅有平安超市等住宅配套商业，商业规模较小，综合评价商业繁华度较差</v>
      </c>
      <c r="D16" s="2264"/>
      <c r="E16" s="2775"/>
      <c r="F16" s="1231" t="s">
        <v>974</v>
      </c>
      <c r="G16" s="1028" t="str">
        <f>G4</f>
        <v>估价对象周边道路状况、公共交通通达情况、停车便捷程度，综合评价交通便捷度较好</v>
      </c>
    </row>
    <row r="17" spans="1:18" ht="27">
      <c r="A17" s="2777"/>
      <c r="B17" s="1229" t="s">
        <v>975</v>
      </c>
      <c r="C17" s="1230">
        <f>C5</f>
        <v>0</v>
      </c>
      <c r="D17" s="2265"/>
      <c r="E17" s="2775"/>
      <c r="F17" s="1231" t="s">
        <v>976</v>
      </c>
      <c r="G17" s="276" t="s">
        <v>2200</v>
      </c>
    </row>
    <row r="18" spans="1:18" ht="94.5">
      <c r="A18" s="2777"/>
      <c r="B18" s="1231" t="s">
        <v>77</v>
      </c>
      <c r="C18" s="1028" t="str">
        <f>C6</f>
        <v>估价对象周边有938、香河1路等公交线路，大香线等城市次干道，公共交通通达情况一般；项目自身有停车位、停车便捷程度一般，综合评价交通便捷度一般</v>
      </c>
      <c r="D18" s="2265"/>
      <c r="E18" s="2775"/>
      <c r="F18" s="1231" t="s">
        <v>964</v>
      </c>
      <c r="G18" s="1028" t="str">
        <f>G7</f>
        <v>该园区内无污染型企业，绿化较好，卫生条件良好，整体环境状况较好</v>
      </c>
    </row>
    <row r="19" spans="1:18" ht="27">
      <c r="A19" s="2777"/>
      <c r="B19" s="1231" t="s">
        <v>96</v>
      </c>
      <c r="C19" s="276" t="s">
        <v>2200</v>
      </c>
      <c r="D19" s="2264"/>
      <c r="E19" s="2775"/>
      <c r="F19" s="2761" t="s">
        <v>3034</v>
      </c>
      <c r="G19" s="1028" t="str">
        <f>G5</f>
        <v>估价对象所在区域公共配套设施齐备情况</v>
      </c>
    </row>
    <row r="20" spans="1:18" ht="54">
      <c r="A20" s="2777"/>
      <c r="B20" s="1231" t="s">
        <v>95</v>
      </c>
      <c r="C20" s="1230" t="str">
        <f>C9</f>
        <v>区域自然环境：无；人文环境：亚太中医哮喘病研究所；综合评价环境状况一般</v>
      </c>
      <c r="D20" s="2265"/>
      <c r="E20" s="2775"/>
      <c r="F20" s="2761" t="s">
        <v>3033</v>
      </c>
      <c r="G20" s="1028" t="str">
        <f>G6</f>
        <v>估价对象所在区域基础设施水平</v>
      </c>
    </row>
    <row r="21" spans="1:18" ht="40.5">
      <c r="A21" s="2777"/>
      <c r="B21" s="2761" t="s">
        <v>3034</v>
      </c>
      <c r="C21" s="1028" t="str">
        <f>C7</f>
        <v>估价对象所在区域公共配套，有银行、医院、邮局等，设施齐备度较好</v>
      </c>
      <c r="D21" s="2264"/>
      <c r="E21" s="2775"/>
      <c r="F21" s="1231" t="s">
        <v>94</v>
      </c>
      <c r="G21" s="289" t="s">
        <v>94</v>
      </c>
    </row>
    <row r="22" spans="1:18" ht="13.5" customHeight="1">
      <c r="A22" s="2777"/>
      <c r="B22" s="2761" t="s">
        <v>3033</v>
      </c>
      <c r="C22" s="1028" t="str">
        <f>C8</f>
        <v>估价对象所在区域基础设施水平七通一平</v>
      </c>
      <c r="D22" s="2264"/>
      <c r="E22" s="2775"/>
      <c r="F22" s="1231" t="s">
        <v>977</v>
      </c>
      <c r="G22" s="276" t="s">
        <v>2229</v>
      </c>
    </row>
    <row r="23" spans="1:18" s="2263" customFormat="1" ht="14.25" thickBot="1">
      <c r="A23" s="2777"/>
      <c r="B23" s="1231" t="s">
        <v>94</v>
      </c>
      <c r="C23" s="289" t="s">
        <v>273</v>
      </c>
      <c r="D23" s="2276"/>
      <c r="E23" s="2776"/>
      <c r="F23" s="1232" t="s">
        <v>978</v>
      </c>
      <c r="G23" s="290" t="s">
        <v>979</v>
      </c>
      <c r="H23" s="2276"/>
      <c r="I23" s="2277"/>
      <c r="J23" s="2276"/>
      <c r="K23" s="2276"/>
      <c r="L23" s="2277"/>
      <c r="M23" s="2276"/>
      <c r="N23" s="2276"/>
      <c r="O23" s="2277"/>
      <c r="P23" s="2276"/>
      <c r="Q23" s="2276"/>
      <c r="R23" s="2278"/>
    </row>
    <row r="24" spans="1:18" s="2263" customFormat="1" ht="14.25" thickBot="1">
      <c r="A24" s="2778"/>
      <c r="B24" s="1232" t="s">
        <v>93</v>
      </c>
      <c r="C24" s="1233" t="str">
        <f>C10</f>
        <v>城市次干道——大香线</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4" customWidth="1"/>
    <col min="2" max="9" width="15.75" style="3274" customWidth="1"/>
    <col min="10" max="16384" width="9" style="3274"/>
  </cols>
  <sheetData>
    <row r="1" spans="1:10" ht="16.5">
      <c r="A1" s="3279" t="s">
        <v>3397</v>
      </c>
      <c r="B1" s="3279">
        <f>SUM(B14:B23)</f>
        <v>494831.87</v>
      </c>
      <c r="C1" s="3278"/>
      <c r="D1" s="3278"/>
      <c r="E1" s="3278"/>
      <c r="F1" s="3278"/>
      <c r="G1" s="3276"/>
    </row>
    <row r="2" spans="1:10" ht="16.5">
      <c r="A2" s="3279" t="s">
        <v>3385</v>
      </c>
      <c r="B2" s="3279">
        <f>SUM(C14:C23)</f>
        <v>619634</v>
      </c>
      <c r="C2" s="3278"/>
      <c r="D2" s="3278"/>
      <c r="E2" s="3278"/>
      <c r="F2" s="3278"/>
      <c r="G2" s="3276"/>
    </row>
    <row r="3" spans="1:10" ht="16.5">
      <c r="A3" s="3279" t="s">
        <v>3394</v>
      </c>
      <c r="B3" s="3280">
        <f>项目基本情况!D3</f>
        <v>42906</v>
      </c>
      <c r="C3" s="3278"/>
      <c r="D3" s="3278"/>
      <c r="E3" s="3278"/>
      <c r="F3" s="3278"/>
      <c r="G3" s="3276"/>
    </row>
    <row r="4" spans="1:10" ht="33">
      <c r="A4" s="3279" t="s">
        <v>3393</v>
      </c>
      <c r="B4" s="3279" t="s">
        <v>3392</v>
      </c>
      <c r="C4" s="3279" t="s">
        <v>3391</v>
      </c>
      <c r="D4" s="3279" t="s">
        <v>3390</v>
      </c>
      <c r="E4" s="3278"/>
      <c r="F4" s="3276"/>
      <c r="G4" s="3276"/>
    </row>
    <row r="5" spans="1:10" ht="16.5">
      <c r="A5" s="3279" t="s">
        <v>3389</v>
      </c>
      <c r="B5" s="3279">
        <f ca="1">SUM(D14:D23)</f>
        <v>544105</v>
      </c>
      <c r="C5" s="3279">
        <f ca="1">ROUND(B5*10000/$B$1,0)</f>
        <v>10996</v>
      </c>
      <c r="D5" s="3279">
        <f ca="1">ROUND(B5*10000/$B$2,0)</f>
        <v>8781</v>
      </c>
      <c r="E5" s="3278"/>
      <c r="F5" s="3276"/>
      <c r="G5" s="3276"/>
    </row>
    <row r="6" spans="1:10" ht="16.5">
      <c r="A6" s="3279" t="s">
        <v>3388</v>
      </c>
      <c r="B6" s="3279">
        <f ca="1">SUM(G14:G23)</f>
        <v>522206</v>
      </c>
      <c r="C6" s="3279">
        <f ca="1">ROUND(B6*10000/$B$1,0)</f>
        <v>10553</v>
      </c>
      <c r="D6" s="3279">
        <f ca="1">ROUND(B6*10000/$B$2,0)</f>
        <v>8428</v>
      </c>
      <c r="E6" s="3278"/>
      <c r="F6" s="3276"/>
      <c r="G6" s="3276"/>
    </row>
    <row r="7" spans="1:10" ht="16.5">
      <c r="A7" s="3279" t="s">
        <v>3396</v>
      </c>
      <c r="B7" s="3279">
        <f>SUM(H14:H23)</f>
        <v>0</v>
      </c>
      <c r="C7" s="3279">
        <f>ROUND(B7*10000/$B$1,0)</f>
        <v>0</v>
      </c>
      <c r="D7" s="3279">
        <f>ROUND(B7*10000/$B$2,0)</f>
        <v>0</v>
      </c>
      <c r="E7" s="3278"/>
      <c r="F7" s="3276"/>
      <c r="G7" s="3276"/>
    </row>
    <row r="8" spans="1:10" ht="16.5">
      <c r="A8" s="3279" t="s">
        <v>3281</v>
      </c>
      <c r="B8" s="3279">
        <f>SUM(I14:I23)</f>
        <v>0</v>
      </c>
      <c r="C8" s="3279">
        <f>ROUND(B8*10000/$B$1,0)</f>
        <v>0</v>
      </c>
      <c r="D8" s="3279">
        <f>ROUND(B8*10000/$B$2,0)</f>
        <v>0</v>
      </c>
      <c r="E8" s="3278"/>
      <c r="F8" s="3276"/>
      <c r="G8" s="3276"/>
    </row>
    <row r="9" spans="1:10" ht="16.5">
      <c r="A9" s="3279" t="s">
        <v>3387</v>
      </c>
      <c r="B9" s="3281"/>
      <c r="C9" s="3278"/>
      <c r="D9" s="3278"/>
      <c r="E9" s="3278"/>
      <c r="F9" s="3276"/>
      <c r="G9" s="3276"/>
    </row>
    <row r="10" spans="1:10" ht="16.5">
      <c r="A10" s="3279" t="s">
        <v>3386</v>
      </c>
      <c r="B10" s="3281"/>
      <c r="C10" s="3278"/>
      <c r="D10" s="3278"/>
      <c r="E10" s="3278"/>
      <c r="F10" s="3276"/>
      <c r="G10" s="3276"/>
    </row>
    <row r="11" spans="1:10" ht="16.5">
      <c r="A11" s="3279" t="s">
        <v>3402</v>
      </c>
      <c r="B11" s="3281"/>
      <c r="C11" s="3278"/>
      <c r="D11" s="3278"/>
      <c r="E11" s="3278"/>
      <c r="F11" s="3276"/>
      <c r="G11" s="3276"/>
    </row>
    <row r="12" spans="1:10" ht="16.5">
      <c r="A12" s="3278"/>
      <c r="B12" s="3278"/>
      <c r="C12" s="3278"/>
      <c r="D12" s="3278"/>
      <c r="E12" s="3278"/>
      <c r="F12" s="3276"/>
      <c r="G12" s="3276"/>
    </row>
    <row r="13" spans="1:10" ht="33">
      <c r="A13" s="3284" t="s">
        <v>3401</v>
      </c>
      <c r="B13" s="3277" t="s">
        <v>3398</v>
      </c>
      <c r="C13" s="3277" t="s">
        <v>3400</v>
      </c>
      <c r="D13" s="3277" t="s">
        <v>3399</v>
      </c>
      <c r="E13" s="3279" t="s">
        <v>3391</v>
      </c>
      <c r="F13" s="3279" t="s">
        <v>3390</v>
      </c>
      <c r="G13" s="3277" t="s">
        <v>3384</v>
      </c>
      <c r="H13" s="3277" t="s">
        <v>3395</v>
      </c>
      <c r="I13" s="3277" t="s">
        <v>3383</v>
      </c>
      <c r="J13" s="3276"/>
    </row>
    <row r="14" spans="1:10" ht="16.5">
      <c r="A14" s="3275" t="s">
        <v>3382</v>
      </c>
      <c r="B14" s="3277">
        <f>'数据-汇总表'!E3</f>
        <v>494831.87</v>
      </c>
      <c r="C14" s="3277">
        <f>'数据-汇总表'!D3</f>
        <v>619634</v>
      </c>
      <c r="D14" s="3277">
        <f ca="1">结果表!H118</f>
        <v>544105</v>
      </c>
      <c r="E14" s="3277">
        <f ca="1">ROUND(D14*10000/B14,0)</f>
        <v>10996</v>
      </c>
      <c r="F14" s="3277">
        <f ca="1">ROUND(D14*10000/C14,0)</f>
        <v>8781</v>
      </c>
      <c r="G14" s="3277">
        <f ca="1">结果表!D122</f>
        <v>522206</v>
      </c>
      <c r="H14" s="3277" t="str">
        <f>结果表!D124</f>
        <v>——</v>
      </c>
      <c r="I14" s="3277" t="str">
        <f>结果表!D126</f>
        <v>——</v>
      </c>
      <c r="J14" s="3276"/>
    </row>
    <row r="15" spans="1:10" ht="16.5">
      <c r="A15" s="3275" t="s">
        <v>3381</v>
      </c>
      <c r="B15" s="3282"/>
      <c r="C15" s="3282"/>
      <c r="D15" s="3282"/>
      <c r="E15" s="3277" t="e">
        <f t="shared" ref="E15:E23" si="0">ROUND(D15*10000/B15,0)</f>
        <v>#DIV/0!</v>
      </c>
      <c r="F15" s="3277" t="e">
        <f t="shared" ref="F15:F23" si="1">ROUND(D15*10000/C15,0)</f>
        <v>#DIV/0!</v>
      </c>
      <c r="G15" s="3283"/>
      <c r="H15" s="3283"/>
      <c r="I15" s="3282"/>
      <c r="J15" s="3276"/>
    </row>
    <row r="16" spans="1:10" ht="16.5">
      <c r="A16" s="3275" t="s">
        <v>3380</v>
      </c>
      <c r="B16" s="3282"/>
      <c r="C16" s="3282"/>
      <c r="D16" s="3282"/>
      <c r="E16" s="3277" t="e">
        <f t="shared" si="0"/>
        <v>#DIV/0!</v>
      </c>
      <c r="F16" s="3277" t="e">
        <f t="shared" si="1"/>
        <v>#DIV/0!</v>
      </c>
      <c r="G16" s="3283"/>
      <c r="H16" s="3283"/>
      <c r="I16" s="3282"/>
    </row>
    <row r="17" spans="1:9" ht="16.5">
      <c r="A17" s="3275" t="s">
        <v>3379</v>
      </c>
      <c r="B17" s="3282"/>
      <c r="C17" s="3282"/>
      <c r="D17" s="3282"/>
      <c r="E17" s="3277" t="e">
        <f t="shared" si="0"/>
        <v>#DIV/0!</v>
      </c>
      <c r="F17" s="3277" t="e">
        <f t="shared" si="1"/>
        <v>#DIV/0!</v>
      </c>
      <c r="G17" s="3283"/>
      <c r="H17" s="3283"/>
      <c r="I17" s="3282"/>
    </row>
    <row r="18" spans="1:9" ht="16.5">
      <c r="A18" s="3275" t="s">
        <v>3378</v>
      </c>
      <c r="B18" s="3282"/>
      <c r="C18" s="3282"/>
      <c r="D18" s="3282"/>
      <c r="E18" s="3277" t="e">
        <f t="shared" si="0"/>
        <v>#DIV/0!</v>
      </c>
      <c r="F18" s="3277" t="e">
        <f t="shared" si="1"/>
        <v>#DIV/0!</v>
      </c>
      <c r="G18" s="3282"/>
      <c r="H18" s="3282"/>
      <c r="I18" s="3282"/>
    </row>
    <row r="19" spans="1:9" ht="16.5">
      <c r="A19" s="3275" t="s">
        <v>3377</v>
      </c>
      <c r="B19" s="3282"/>
      <c r="C19" s="3282"/>
      <c r="D19" s="3282"/>
      <c r="E19" s="3277" t="e">
        <f t="shared" si="0"/>
        <v>#DIV/0!</v>
      </c>
      <c r="F19" s="3277" t="e">
        <f t="shared" si="1"/>
        <v>#DIV/0!</v>
      </c>
      <c r="G19" s="3282"/>
      <c r="H19" s="3282"/>
      <c r="I19" s="3282"/>
    </row>
    <row r="20" spans="1:9" ht="16.5">
      <c r="A20" s="3275" t="s">
        <v>3376</v>
      </c>
      <c r="B20" s="3282"/>
      <c r="C20" s="3282"/>
      <c r="D20" s="3282"/>
      <c r="E20" s="3277" t="e">
        <f t="shared" si="0"/>
        <v>#DIV/0!</v>
      </c>
      <c r="F20" s="3277" t="e">
        <f t="shared" si="1"/>
        <v>#DIV/0!</v>
      </c>
      <c r="G20" s="3282"/>
      <c r="H20" s="3282"/>
      <c r="I20" s="3282"/>
    </row>
    <row r="21" spans="1:9" ht="16.5">
      <c r="A21" s="3275" t="s">
        <v>3375</v>
      </c>
      <c r="B21" s="3282"/>
      <c r="C21" s="3282"/>
      <c r="D21" s="3282"/>
      <c r="E21" s="3277" t="e">
        <f t="shared" si="0"/>
        <v>#DIV/0!</v>
      </c>
      <c r="F21" s="3277" t="e">
        <f t="shared" si="1"/>
        <v>#DIV/0!</v>
      </c>
      <c r="G21" s="3282"/>
      <c r="H21" s="3282"/>
      <c r="I21" s="3282"/>
    </row>
    <row r="22" spans="1:9" ht="16.5">
      <c r="A22" s="3275" t="s">
        <v>3374</v>
      </c>
      <c r="B22" s="3282"/>
      <c r="C22" s="3282"/>
      <c r="D22" s="3282"/>
      <c r="E22" s="3277" t="e">
        <f t="shared" si="0"/>
        <v>#DIV/0!</v>
      </c>
      <c r="F22" s="3277" t="e">
        <f t="shared" si="1"/>
        <v>#DIV/0!</v>
      </c>
      <c r="G22" s="3282"/>
      <c r="H22" s="3282"/>
      <c r="I22" s="3282"/>
    </row>
    <row r="23" spans="1:9" ht="16.5">
      <c r="A23" s="3275" t="s">
        <v>3373</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9" zoomScaleNormal="100" zoomScaleSheetLayoutView="100" zoomScalePageLayoutView="80" workbookViewId="0">
      <selection activeCell="H134" sqref="H134"/>
    </sheetView>
  </sheetViews>
  <sheetFormatPr defaultColWidth="12.625" defaultRowHeight="21.75" customHeight="1"/>
  <cols>
    <col min="1" max="2" width="12.625" style="1247"/>
    <col min="3" max="4" width="12.625" style="1247" customWidth="1"/>
    <col min="5" max="9" width="12.625" style="1247"/>
    <col min="10" max="11" width="12.625" style="1449" customWidth="1"/>
    <col min="12" max="12" width="12.625" style="1449"/>
    <col min="13" max="13" width="14.125" style="1449" bestFit="1" customWidth="1"/>
    <col min="14" max="26" width="12.625" style="1449"/>
    <col min="27" max="35" width="12.625" style="1437"/>
    <col min="36" max="16384" width="12.625" style="1247"/>
  </cols>
  <sheetData>
    <row r="1" spans="1:12" ht="21.75" customHeight="1" thickBot="1">
      <c r="A1" s="17" t="s">
        <v>989</v>
      </c>
      <c r="B1" s="1246"/>
      <c r="C1" s="2104"/>
      <c r="D1" s="1246"/>
      <c r="E1" s="1246"/>
      <c r="F1" s="2088" t="s">
        <v>2476</v>
      </c>
      <c r="G1" s="2061" t="s">
        <v>2221</v>
      </c>
      <c r="H1" s="2117" t="str">
        <f>IF(G1="现房","——","估价对象范围")</f>
        <v>——</v>
      </c>
      <c r="I1" s="2094" t="s">
        <v>2788</v>
      </c>
    </row>
    <row r="2" spans="1:12" ht="21.75" customHeight="1" thickBot="1">
      <c r="A2" s="3722" t="str">
        <f>项目基本情况!S2</f>
        <v>香河香河开发区第一城城内房地产</v>
      </c>
      <c r="B2" s="3723"/>
      <c r="C2" s="3723"/>
      <c r="D2" s="3723"/>
      <c r="E2" s="3723"/>
      <c r="F2" s="3723"/>
      <c r="G2" s="3723"/>
      <c r="H2" s="3723"/>
      <c r="I2" s="3724"/>
    </row>
    <row r="3" spans="1:12" ht="12">
      <c r="A3" s="3726" t="s">
        <v>10</v>
      </c>
      <c r="B3" s="3727"/>
      <c r="C3" s="3727"/>
      <c r="D3" s="3727"/>
      <c r="E3" s="3727"/>
      <c r="F3" s="3727"/>
      <c r="G3" s="3727"/>
      <c r="H3" s="3727"/>
      <c r="I3" s="3727"/>
    </row>
    <row r="4" spans="1:12" ht="13.5">
      <c r="A4" s="432" t="s">
        <v>11</v>
      </c>
      <c r="B4" s="433" t="s">
        <v>12</v>
      </c>
      <c r="C4" s="434" t="s">
        <v>2789</v>
      </c>
      <c r="D4" s="434" t="s">
        <v>2832</v>
      </c>
      <c r="E4" s="3731" t="s">
        <v>990</v>
      </c>
      <c r="F4" s="3732"/>
      <c r="G4" s="3732"/>
      <c r="H4" s="3732"/>
      <c r="I4" s="3733"/>
      <c r="K4" s="2190" t="str">
        <f>IF(ISNUMBER(FIND("比较法",结果表!C4)),"比较法",IF(ISNUMBER(FIND("成本法",结果表!C4)),"成本法",IF(ISNUMBER(FIND("假设开发法",结果表!C4)),"假设开发法",IF(ISNUMBER(FIND("收益法",结果表!C4)),"收益法","基准地价系数修正法"))))</f>
        <v>成本法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697" t="s">
        <v>13</v>
      </c>
      <c r="B5" s="3725">
        <v>25</v>
      </c>
      <c r="C5" s="3728">
        <v>24</v>
      </c>
      <c r="D5" s="3715">
        <v>10</v>
      </c>
      <c r="E5" s="474" t="s">
        <v>1032</v>
      </c>
      <c r="F5" s="435"/>
      <c r="G5" s="435"/>
      <c r="H5" s="435"/>
      <c r="I5" s="436"/>
    </row>
    <row r="6" spans="1:12" ht="12.75">
      <c r="A6" s="3697"/>
      <c r="B6" s="3725"/>
      <c r="C6" s="3730"/>
      <c r="D6" s="3715"/>
      <c r="E6" s="474" t="s">
        <v>1033</v>
      </c>
      <c r="F6" s="435"/>
      <c r="G6" s="435"/>
      <c r="H6" s="435"/>
      <c r="I6" s="436"/>
    </row>
    <row r="7" spans="1:12" ht="12.75">
      <c r="A7" s="3697"/>
      <c r="B7" s="3725"/>
      <c r="C7" s="3729"/>
      <c r="D7" s="3715"/>
      <c r="E7" s="474" t="s">
        <v>1034</v>
      </c>
      <c r="F7" s="435"/>
      <c r="G7" s="435"/>
      <c r="H7" s="435"/>
      <c r="I7" s="436"/>
    </row>
    <row r="8" spans="1:12" ht="12.75">
      <c r="A8" s="3697" t="s">
        <v>14</v>
      </c>
      <c r="B8" s="3725">
        <v>15</v>
      </c>
      <c r="C8" s="3728">
        <v>14</v>
      </c>
      <c r="D8" s="3715">
        <v>7</v>
      </c>
      <c r="E8" s="474" t="s">
        <v>1035</v>
      </c>
      <c r="F8" s="435"/>
      <c r="G8" s="435"/>
      <c r="H8" s="435"/>
      <c r="I8" s="436"/>
    </row>
    <row r="9" spans="1:12" ht="12.75">
      <c r="A9" s="3697"/>
      <c r="B9" s="3725"/>
      <c r="C9" s="3729"/>
      <c r="D9" s="3715"/>
      <c r="E9" s="474" t="s">
        <v>1036</v>
      </c>
      <c r="F9" s="435"/>
      <c r="G9" s="435"/>
      <c r="H9" s="435"/>
      <c r="I9" s="436"/>
    </row>
    <row r="10" spans="1:12" ht="12.75">
      <c r="A10" s="3697" t="s">
        <v>15</v>
      </c>
      <c r="B10" s="3725">
        <v>15</v>
      </c>
      <c r="C10" s="3728">
        <v>14</v>
      </c>
      <c r="D10" s="3715">
        <v>6</v>
      </c>
      <c r="E10" s="474" t="s">
        <v>1037</v>
      </c>
      <c r="F10" s="435"/>
      <c r="G10" s="435"/>
      <c r="H10" s="435"/>
      <c r="I10" s="436"/>
    </row>
    <row r="11" spans="1:12" ht="12.75">
      <c r="A11" s="3697"/>
      <c r="B11" s="3725"/>
      <c r="C11" s="3729"/>
      <c r="D11" s="3715"/>
      <c r="E11" s="474" t="s">
        <v>1038</v>
      </c>
      <c r="F11" s="435"/>
      <c r="G11" s="435"/>
      <c r="H11" s="435"/>
      <c r="I11" s="436"/>
    </row>
    <row r="12" spans="1:12" ht="12.75">
      <c r="A12" s="3697" t="s">
        <v>16</v>
      </c>
      <c r="B12" s="3725">
        <v>15</v>
      </c>
      <c r="C12" s="3728">
        <v>14</v>
      </c>
      <c r="D12" s="3715">
        <v>6</v>
      </c>
      <c r="E12" s="474" t="s">
        <v>1039</v>
      </c>
      <c r="F12" s="435"/>
      <c r="G12" s="435"/>
      <c r="H12" s="435"/>
      <c r="I12" s="436"/>
    </row>
    <row r="13" spans="1:12" ht="12.75">
      <c r="A13" s="3697"/>
      <c r="B13" s="3725"/>
      <c r="C13" s="3729"/>
      <c r="D13" s="3715"/>
      <c r="E13" s="474" t="s">
        <v>1040</v>
      </c>
      <c r="F13" s="435"/>
      <c r="G13" s="435"/>
      <c r="H13" s="435"/>
      <c r="I13" s="436"/>
    </row>
    <row r="14" spans="1:12" ht="12.75">
      <c r="A14" s="3697" t="s">
        <v>17</v>
      </c>
      <c r="B14" s="3725">
        <v>30</v>
      </c>
      <c r="C14" s="3728">
        <v>25</v>
      </c>
      <c r="D14" s="3715">
        <v>10</v>
      </c>
      <c r="E14" s="474" t="s">
        <v>1041</v>
      </c>
      <c r="F14" s="435"/>
      <c r="G14" s="435"/>
      <c r="H14" s="435"/>
      <c r="I14" s="436"/>
    </row>
    <row r="15" spans="1:12" ht="12.75">
      <c r="A15" s="3697"/>
      <c r="B15" s="3725"/>
      <c r="C15" s="3730"/>
      <c r="D15" s="3715"/>
      <c r="E15" s="474" t="s">
        <v>1042</v>
      </c>
      <c r="F15" s="435"/>
      <c r="G15" s="435"/>
      <c r="H15" s="435"/>
      <c r="I15" s="436"/>
    </row>
    <row r="16" spans="1:12" ht="12.75">
      <c r="A16" s="3697"/>
      <c r="B16" s="3725"/>
      <c r="C16" s="3729"/>
      <c r="D16" s="3715"/>
      <c r="E16" s="474" t="s">
        <v>1043</v>
      </c>
      <c r="F16" s="435"/>
      <c r="G16" s="435"/>
      <c r="H16" s="435"/>
      <c r="I16" s="436"/>
    </row>
    <row r="17" spans="1:35" ht="14.25">
      <c r="A17" s="437" t="s">
        <v>18</v>
      </c>
      <c r="B17" s="38"/>
      <c r="C17" s="475">
        <f>SUM(C5:C16)</f>
        <v>91</v>
      </c>
      <c r="D17" s="475">
        <f>SUM(D5:D16)</f>
        <v>39</v>
      </c>
      <c r="E17" s="2284"/>
      <c r="F17" s="2284"/>
      <c r="G17" s="2284"/>
      <c r="H17" s="2284"/>
      <c r="I17" s="2284"/>
      <c r="K17" s="2190"/>
      <c r="L17" s="2191" t="s">
        <v>2685</v>
      </c>
      <c r="M17" s="2191" t="s">
        <v>2686</v>
      </c>
    </row>
    <row r="18" spans="1:35" ht="15" thickBot="1">
      <c r="A18" s="438" t="s">
        <v>19</v>
      </c>
      <c r="B18" s="18"/>
      <c r="C18" s="476">
        <f>ROUND(C17/SUM(C17:D17),2)</f>
        <v>0.7</v>
      </c>
      <c r="D18" s="476">
        <f>1-C18</f>
        <v>0.30000000000000004</v>
      </c>
      <c r="E18" s="2284"/>
      <c r="F18" s="2284"/>
      <c r="G18" s="2284"/>
      <c r="H18" s="2284"/>
      <c r="I18" s="2284"/>
      <c r="K18" s="2190" t="s">
        <v>2499</v>
      </c>
      <c r="L18" s="2190">
        <f>IF(C1="",'数据-汇总表'!E3,SUMIF(项目类型,C1,'数据-汇总表'!E17:E26)+SUMIF(项目类型,C1,'数据-汇总表'!I17:I26))</f>
        <v>494831.87</v>
      </c>
      <c r="M18" s="2190">
        <f>IF(C1="",'数据-汇总表'!E3,SUMIF(项目类型,C1,'数据-汇总表'!E17:E26))</f>
        <v>494831.87</v>
      </c>
    </row>
    <row r="19" spans="1:35" ht="14.25">
      <c r="A19" s="439" t="s">
        <v>343</v>
      </c>
      <c r="B19" s="440" t="s">
        <v>20</v>
      </c>
      <c r="C19" s="477">
        <f ca="1">SUMIF(INDIRECT("'"&amp;C4&amp;"'"&amp;"!A:A"),结果表!B19,INDIRECT("'"&amp;C4&amp;"'"&amp;"!B:B"))</f>
        <v>674609</v>
      </c>
      <c r="D19" s="478">
        <f ca="1">SUMIF(INDIRECT("'"&amp;D4&amp;"'"&amp;"!A:A"),结果表!B19,INDIRECT("'"&amp;D4&amp;"'"&amp;"!B:B"))</f>
        <v>239596</v>
      </c>
      <c r="E19" s="439" t="s">
        <v>342</v>
      </c>
      <c r="F19" s="440" t="s">
        <v>20</v>
      </c>
      <c r="G19" s="479">
        <f ca="1">ROUND(C19*$C$18+D19*$D$18,0)</f>
        <v>544105</v>
      </c>
      <c r="H19" s="441" t="s">
        <v>391</v>
      </c>
      <c r="I19" s="2284"/>
      <c r="K19" s="2190" t="s">
        <v>2500</v>
      </c>
      <c r="L19" s="2190">
        <f>IF(C1="",'数据-汇总表'!D3,SUMIF(项目类型,C1,'数据-汇总表'!D17:D26)+SUMIF(项目类型,C1,'数据-汇总表'!H17:H27))</f>
        <v>619634</v>
      </c>
      <c r="M19" s="2190">
        <f>IF(C1="",'数据-汇总表'!D3,SUMIF(项目类型,C1,'数据-汇总表'!D17:D26))</f>
        <v>619634</v>
      </c>
    </row>
    <row r="20" spans="1:35" ht="14.25">
      <c r="A20" s="442"/>
      <c r="B20" s="443" t="s">
        <v>21</v>
      </c>
      <c r="C20" s="480">
        <f ca="1">SUMIF(INDIRECT("'"&amp;C4&amp;"'"&amp;"!A:A"),结果表!B20,INDIRECT("'"&amp;C4&amp;"'"&amp;"!B:B"))</f>
        <v>13633</v>
      </c>
      <c r="D20" s="481">
        <f ca="1">SUMIF(INDIRECT("'"&amp;D4&amp;"'"&amp;"!A:A"),结果表!B20,INDIRECT("'"&amp;D4&amp;"'"&amp;"!B:B"))</f>
        <v>4951</v>
      </c>
      <c r="E20" s="442"/>
      <c r="F20" s="443" t="s">
        <v>21</v>
      </c>
      <c r="G20" s="482">
        <f ca="1">ROUND(C20*$C$18+D20*$D$18,0)</f>
        <v>11028</v>
      </c>
      <c r="H20" s="444" t="s">
        <v>390</v>
      </c>
      <c r="I20" s="2284"/>
    </row>
    <row r="21" spans="1:35" ht="15" customHeight="1" thickBot="1">
      <c r="A21" s="446"/>
      <c r="B21" s="447" t="s">
        <v>22</v>
      </c>
      <c r="C21" s="1425">
        <f ca="1">ROUND(C19*10000/L19,0)</f>
        <v>10887</v>
      </c>
      <c r="D21" s="1426">
        <f ca="1">ROUND(D19*10000/L19,0)</f>
        <v>3867</v>
      </c>
      <c r="E21" s="446"/>
      <c r="F21" s="447" t="s">
        <v>22</v>
      </c>
      <c r="G21" s="483">
        <f ca="1">ROUND(G19*10000/L19,0)</f>
        <v>8781</v>
      </c>
      <c r="H21" s="448" t="s">
        <v>390</v>
      </c>
      <c r="I21" s="2284"/>
    </row>
    <row r="22" spans="1:35" ht="15" thickBot="1">
      <c r="A22" s="280" t="s">
        <v>344</v>
      </c>
      <c r="B22" s="1427"/>
      <c r="C22" s="1428"/>
      <c r="D22" s="1429">
        <f ca="1">IF(C19&lt;D19,D19/C19-1,C19/D19-1)</f>
        <v>1.8156104442478171</v>
      </c>
      <c r="E22" s="2284"/>
      <c r="F22" s="2284"/>
      <c r="G22" s="2284"/>
      <c r="H22" s="2284"/>
      <c r="I22" s="2284"/>
    </row>
    <row r="23" spans="1:35" ht="12.75" thickBot="1">
      <c r="A23" s="1246"/>
      <c r="B23" s="1246"/>
      <c r="C23" s="1246"/>
      <c r="D23" s="1246"/>
      <c r="E23" s="2284"/>
      <c r="F23" s="2284"/>
      <c r="G23" s="2284"/>
      <c r="H23" s="2284"/>
      <c r="I23" s="2284"/>
    </row>
    <row r="24" spans="1:35" ht="14.25">
      <c r="A24" s="3740" t="s">
        <v>340</v>
      </c>
      <c r="B24" s="440" t="s">
        <v>20</v>
      </c>
      <c r="C24" s="479">
        <f>IF(B30=0,0,D30)</f>
        <v>0</v>
      </c>
      <c r="D24" s="449"/>
      <c r="E24" s="2284"/>
      <c r="F24" s="2284"/>
      <c r="G24" s="2284"/>
      <c r="H24" s="2284"/>
      <c r="I24" s="2284"/>
    </row>
    <row r="25" spans="1:35" ht="14.25">
      <c r="A25" s="3741"/>
      <c r="B25" s="443" t="s">
        <v>21</v>
      </c>
      <c r="C25" s="484">
        <f>IF(B30=0,0,C30)</f>
        <v>0</v>
      </c>
      <c r="D25" s="450"/>
      <c r="E25" s="2284"/>
      <c r="F25" s="2284"/>
      <c r="G25" s="2284"/>
      <c r="H25" s="2284"/>
      <c r="I25" s="2284"/>
      <c r="J25" s="1449" t="s">
        <v>4080</v>
      </c>
      <c r="K25" s="1449">
        <f ca="1">G19-年期修正系数!H15</f>
        <v>522206</v>
      </c>
    </row>
    <row r="26" spans="1:35" ht="13.5" customHeight="1">
      <c r="A26" s="451" t="s">
        <v>341</v>
      </c>
      <c r="B26" s="452" t="s">
        <v>175</v>
      </c>
      <c r="C26" s="452" t="s">
        <v>176</v>
      </c>
      <c r="D26" s="453" t="s">
        <v>177</v>
      </c>
      <c r="E26" s="2284"/>
      <c r="F26" s="2284"/>
      <c r="G26" s="2284"/>
      <c r="H26" s="2284"/>
      <c r="I26" s="2284"/>
    </row>
    <row r="27" spans="1:35" ht="14.25">
      <c r="A27" s="451"/>
      <c r="B27" s="485">
        <v>0</v>
      </c>
      <c r="C27" s="485">
        <v>0</v>
      </c>
      <c r="D27" s="486">
        <f>ROUND(C27*B27/10000,0)</f>
        <v>0</v>
      </c>
      <c r="E27" s="2284"/>
      <c r="F27" s="2284"/>
      <c r="G27" s="2284"/>
      <c r="H27" s="2284"/>
      <c r="I27" s="2284"/>
      <c r="J27" s="1449" t="s">
        <v>4081</v>
      </c>
      <c r="K27" s="1449">
        <f ca="1">ROUND(成本法!C51/成本法!C52*结果表!K25,0)</f>
        <v>239210</v>
      </c>
      <c r="L27" s="1449">
        <f ca="1">ROUND(成本法!C51/成本法!C52*结果表!G19,0)</f>
        <v>249241</v>
      </c>
    </row>
    <row r="28" spans="1:35" ht="14.25">
      <c r="A28" s="451"/>
      <c r="B28" s="485"/>
      <c r="C28" s="485"/>
      <c r="D28" s="486"/>
      <c r="E28" s="2284"/>
      <c r="F28" s="2284"/>
      <c r="G28" s="2284"/>
      <c r="H28" s="2284"/>
      <c r="I28" s="2284"/>
    </row>
    <row r="29" spans="1:35" ht="14.25">
      <c r="A29" s="451"/>
      <c r="B29" s="485"/>
      <c r="C29" s="485"/>
      <c r="D29" s="486"/>
      <c r="E29" s="2284"/>
      <c r="F29" s="2284"/>
      <c r="G29" s="2284"/>
      <c r="H29" s="2284"/>
      <c r="I29" s="2284"/>
      <c r="J29" s="1449" t="s">
        <v>4082</v>
      </c>
      <c r="K29" s="1449">
        <f ca="1">K25-K27</f>
        <v>282996</v>
      </c>
      <c r="L29" s="1449">
        <f ca="1">K25-L27</f>
        <v>272965</v>
      </c>
    </row>
    <row r="30" spans="1:35" ht="14.25">
      <c r="A30" s="454" t="s">
        <v>339</v>
      </c>
      <c r="B30" s="487">
        <f>SUM(B27:B29)</f>
        <v>0</v>
      </c>
      <c r="C30" s="487" t="e">
        <f>ROUND(D30*10000/B30,0)</f>
        <v>#DIV/0!</v>
      </c>
      <c r="D30" s="487">
        <f>SUM(D27:D29)</f>
        <v>0</v>
      </c>
      <c r="E30" s="2284"/>
      <c r="F30" s="2284"/>
      <c r="G30" s="2284"/>
      <c r="H30" s="2284"/>
      <c r="I30" s="2284"/>
    </row>
    <row r="31" spans="1:35" s="1248" customFormat="1" ht="14.25" thickBot="1">
      <c r="A31" s="455"/>
      <c r="B31" s="455"/>
      <c r="C31" s="455"/>
      <c r="D31" s="455"/>
      <c r="E31" s="2284"/>
      <c r="F31" s="2284"/>
      <c r="G31" s="2284"/>
      <c r="H31" s="2284"/>
      <c r="I31" s="2284"/>
      <c r="J31" s="1449"/>
      <c r="K31" s="1449"/>
      <c r="L31" s="1449"/>
      <c r="M31" s="1449"/>
      <c r="N31" s="1449"/>
      <c r="O31" s="1449"/>
      <c r="P31" s="1449"/>
      <c r="Q31" s="1449"/>
      <c r="R31" s="1449"/>
      <c r="S31" s="1449"/>
      <c r="T31" s="1449"/>
      <c r="U31" s="1449"/>
      <c r="V31" s="1449"/>
      <c r="W31" s="1449"/>
      <c r="X31" s="1449"/>
      <c r="Y31" s="1449"/>
      <c r="Z31" s="1449"/>
      <c r="AA31" s="1437"/>
      <c r="AB31" s="1437"/>
      <c r="AC31" s="1437"/>
      <c r="AD31" s="1437"/>
      <c r="AE31" s="1437"/>
      <c r="AF31" s="1437"/>
      <c r="AG31" s="1437"/>
      <c r="AH31" s="1437"/>
      <c r="AI31" s="1437"/>
    </row>
    <row r="32" spans="1:35" ht="15" thickBot="1">
      <c r="A32" s="456" t="s">
        <v>338</v>
      </c>
      <c r="B32" s="457"/>
      <c r="C32" s="488">
        <f ca="1">IF(D32="总价",G19-C24,G20-C25)</f>
        <v>544105</v>
      </c>
      <c r="D32" s="2098" t="s">
        <v>373</v>
      </c>
      <c r="E32" s="2284"/>
      <c r="F32" s="2284"/>
      <c r="G32" s="2284"/>
      <c r="H32" s="2284"/>
      <c r="I32" s="2284"/>
    </row>
    <row r="33" spans="1:15" ht="13.5">
      <c r="A33" s="460" t="s">
        <v>991</v>
      </c>
      <c r="B33" s="2097"/>
      <c r="C33" s="2893" t="s">
        <v>3102</v>
      </c>
      <c r="D33" s="2896" t="s">
        <v>2789</v>
      </c>
      <c r="E33" s="2095" t="s">
        <v>2478</v>
      </c>
      <c r="F33" s="2096" t="str">
        <f>IF(D32="楼面单价","取值（单价）","取值（总价）")</f>
        <v>取值（总价）</v>
      </c>
      <c r="G33" s="2284"/>
      <c r="H33" s="2284"/>
      <c r="I33" s="2284"/>
    </row>
    <row r="34" spans="1:15" ht="15">
      <c r="A34" s="461"/>
      <c r="B34" s="462" t="s">
        <v>994</v>
      </c>
      <c r="C34" s="492">
        <f ca="1">IF(C33="自定义",F34,C32-C35)</f>
        <v>294905</v>
      </c>
      <c r="D34" s="2099">
        <f ca="1">IF(C33="自定义",ROUND(C34/C32,3),IF(C33="收益比率",SUMIF(INDIRECT("'"&amp;D33&amp;"'"&amp;"!b:b"),"土地收益比率",INDIRECT("'"&amp;D33&amp;"'"&amp;"!c:c")),SUMIF(INDIRECT("'"&amp;D33&amp;"'"&amp;"!b:b"),"土地成本比率",INDIRECT("'"&amp;D33&amp;"'"&amp;"!c:c"))))</f>
        <v>0.54200000000000004</v>
      </c>
      <c r="E34" s="2894" t="s">
        <v>2479</v>
      </c>
      <c r="F34" s="3272"/>
      <c r="G34" s="2284"/>
      <c r="H34" s="2284"/>
      <c r="I34" s="2284"/>
    </row>
    <row r="35" spans="1:15" ht="15.75" thickBot="1">
      <c r="A35" s="464"/>
      <c r="B35" s="2897" t="s">
        <v>996</v>
      </c>
      <c r="C35" s="2898">
        <f ca="1">IF(C33="自定义",F35,ROUND(C32*D35,0))</f>
        <v>249200</v>
      </c>
      <c r="D35" s="2899">
        <f ca="1">IF(C33="自定义",ROUND(C35/C32,3),IF(C33="收益比率",SUMIF(INDIRECT("'"&amp;D33&amp;"'"&amp;"!b:b"),"建筑物收益比率",INDIRECT("'"&amp;D33&amp;"'"&amp;"!c:c")),SUMIF(INDIRECT("'"&amp;D33&amp;"'"&amp;"!b:b"),"建筑物成本比率",INDIRECT("'"&amp;D33&amp;"'"&amp;"!c:c"))))</f>
        <v>0.45800000000000002</v>
      </c>
      <c r="E35" s="2895" t="s">
        <v>2480</v>
      </c>
      <c r="F35" s="498"/>
      <c r="G35" s="2284"/>
      <c r="H35" s="2284"/>
      <c r="I35" s="2284"/>
    </row>
    <row r="36" spans="1:15" ht="15.75" thickBot="1">
      <c r="A36" s="3716" t="s">
        <v>992</v>
      </c>
      <c r="B36" s="458" t="s">
        <v>993</v>
      </c>
      <c r="C36" s="489"/>
      <c r="D36" s="459" t="s">
        <v>2405</v>
      </c>
      <c r="E36" s="1249"/>
      <c r="F36" s="2285"/>
      <c r="G36" s="2284"/>
      <c r="H36" s="2284"/>
      <c r="I36" s="2284"/>
    </row>
    <row r="37" spans="1:15" ht="15.75" thickBot="1">
      <c r="A37" s="3717"/>
      <c r="B37" s="13" t="s">
        <v>995</v>
      </c>
      <c r="C37" s="491"/>
      <c r="D37" s="2233"/>
      <c r="E37" s="2233"/>
      <c r="F37" s="2285"/>
      <c r="G37" s="2284"/>
      <c r="H37" s="2284"/>
      <c r="I37" s="2284"/>
    </row>
    <row r="38" spans="1:15" ht="15.75" thickBot="1">
      <c r="A38" s="3718"/>
      <c r="B38" s="463" t="s">
        <v>997</v>
      </c>
      <c r="C38" s="1140">
        <f>年期修正系数!H15</f>
        <v>21899</v>
      </c>
      <c r="D38" s="1250" t="s">
        <v>998</v>
      </c>
      <c r="E38" s="2233"/>
      <c r="F38" s="2285"/>
      <c r="G38" s="2284"/>
      <c r="H38" s="2284"/>
      <c r="I38" s="2284"/>
    </row>
    <row r="39" spans="1:15" ht="13.5">
      <c r="A39" s="442" t="s">
        <v>999</v>
      </c>
      <c r="B39" s="465" t="s">
        <v>1000</v>
      </c>
      <c r="C39" s="466" t="s">
        <v>1001</v>
      </c>
      <c r="D39" s="466" t="s">
        <v>1002</v>
      </c>
      <c r="E39" s="467" t="s">
        <v>1003</v>
      </c>
      <c r="F39" s="2285"/>
      <c r="G39" s="2284"/>
      <c r="H39" s="2284"/>
      <c r="I39" s="2284"/>
    </row>
    <row r="40" spans="1:15" ht="13.5">
      <c r="A40" s="1251" t="s">
        <v>1004</v>
      </c>
      <c r="B40" s="493"/>
      <c r="C40" s="494"/>
      <c r="D40" s="494"/>
      <c r="E40" s="495"/>
      <c r="F40" s="2285"/>
      <c r="G40" s="2284"/>
      <c r="H40" s="2284"/>
      <c r="I40" s="2284"/>
    </row>
    <row r="41" spans="1:15" ht="13.5">
      <c r="A41" s="1251" t="s">
        <v>1005</v>
      </c>
      <c r="B41" s="493"/>
      <c r="C41" s="494"/>
      <c r="D41" s="494"/>
      <c r="E41" s="495"/>
      <c r="F41" s="2285"/>
      <c r="G41" s="2284"/>
      <c r="H41" s="2284"/>
      <c r="I41" s="2284"/>
    </row>
    <row r="42" spans="1:15" ht="14.25" thickBot="1">
      <c r="A42" s="1252"/>
      <c r="B42" s="496"/>
      <c r="C42" s="497"/>
      <c r="D42" s="497"/>
      <c r="E42" s="498"/>
      <c r="F42" s="2285"/>
      <c r="G42" s="2284"/>
      <c r="H42" s="2284"/>
      <c r="I42" s="2284"/>
    </row>
    <row r="43" spans="1:15" ht="12">
      <c r="A43" s="241"/>
      <c r="B43" s="241"/>
      <c r="C43" s="241"/>
      <c r="D43" s="241"/>
      <c r="E43" s="241"/>
      <c r="F43" s="1253"/>
      <c r="G43" s="1253"/>
      <c r="H43" s="1253"/>
      <c r="I43" s="1254"/>
    </row>
    <row r="44" spans="1:15" ht="18.75">
      <c r="A44" s="1255" t="s">
        <v>1006</v>
      </c>
      <c r="B44" s="1256"/>
      <c r="C44" s="1256"/>
      <c r="D44" s="1257"/>
      <c r="E44" s="1257"/>
      <c r="F44" s="1258"/>
      <c r="G44" s="1258"/>
      <c r="H44" s="1258"/>
      <c r="I44" s="1258"/>
      <c r="J44" s="3289" t="s">
        <v>377</v>
      </c>
      <c r="K44" s="3290"/>
      <c r="L44" s="3290"/>
      <c r="M44" s="3290"/>
      <c r="N44" s="3290"/>
      <c r="O44" s="3290"/>
    </row>
    <row r="45" spans="1:15" ht="14.25" customHeight="1" thickBot="1">
      <c r="A45" s="3737" t="s">
        <v>1024</v>
      </c>
      <c r="B45" s="3738"/>
      <c r="C45" s="3739"/>
      <c r="D45" s="499">
        <f ca="1">ROUND(H101*F45,0)</f>
        <v>544105</v>
      </c>
      <c r="E45" s="500" t="s">
        <v>1025</v>
      </c>
      <c r="F45" s="501">
        <v>1</v>
      </c>
      <c r="G45" s="502" t="s">
        <v>1026</v>
      </c>
      <c r="H45" s="2284"/>
      <c r="I45" s="2284"/>
      <c r="J45" s="3647" t="s">
        <v>378</v>
      </c>
      <c r="K45" s="3647"/>
      <c r="L45" s="3647"/>
      <c r="M45" s="3647"/>
      <c r="N45" s="3647"/>
      <c r="O45" s="3647"/>
    </row>
    <row r="46" spans="1:15" ht="14.25" customHeight="1">
      <c r="A46" s="3734" t="s">
        <v>450</v>
      </c>
      <c r="B46" s="3735"/>
      <c r="C46" s="3735"/>
      <c r="D46" s="3735"/>
      <c r="E46" s="3735"/>
      <c r="F46" s="3735"/>
      <c r="G46" s="3736"/>
      <c r="H46" s="2286"/>
      <c r="I46" s="2239"/>
      <c r="J46" s="1504">
        <v>1</v>
      </c>
      <c r="K46" s="3647" t="s">
        <v>379</v>
      </c>
      <c r="L46" s="3647"/>
      <c r="M46" s="3648"/>
      <c r="N46" s="3648"/>
      <c r="O46" s="3648"/>
    </row>
    <row r="47" spans="1:15" ht="12" customHeight="1">
      <c r="A47" s="504" t="s">
        <v>451</v>
      </c>
      <c r="B47" s="505"/>
      <c r="C47" s="506"/>
      <c r="D47" s="507" t="s">
        <v>452</v>
      </c>
      <c r="E47" s="319" t="s">
        <v>453</v>
      </c>
      <c r="F47" s="508" t="s">
        <v>1027</v>
      </c>
      <c r="G47" s="509" t="s">
        <v>1028</v>
      </c>
      <c r="H47" s="2286"/>
      <c r="I47" s="2239"/>
      <c r="J47" s="1504">
        <v>2</v>
      </c>
      <c r="K47" s="3647" t="s">
        <v>380</v>
      </c>
      <c r="L47" s="3647"/>
      <c r="M47" s="3649">
        <f>'数据-取费表'!B2</f>
        <v>42906</v>
      </c>
      <c r="N47" s="3649"/>
      <c r="O47" s="3649"/>
    </row>
    <row r="48" spans="1:15" ht="25.5">
      <c r="A48" s="3720" t="s">
        <v>454</v>
      </c>
      <c r="B48" s="3721"/>
      <c r="C48" s="3721"/>
      <c r="D48" s="474">
        <f>IF(H48="情况1",0,IF(H48="情况2",D52,IF(H48="情况3",D53,IF(H48="情况4",D54))))</f>
        <v>0</v>
      </c>
      <c r="E48" s="1928" t="str">
        <f>IF(H48="情况4","(销售额-原购置价)×税（费）率","销售额×税（费）率")</f>
        <v>销售额×税（费）率</v>
      </c>
      <c r="F48" s="510" t="str">
        <f>IF(H48="情况1","免征",'数据-取费表'!B41)</f>
        <v>免征</v>
      </c>
      <c r="G48" s="468" t="s">
        <v>1007</v>
      </c>
      <c r="H48" s="1435" t="s">
        <v>2790</v>
      </c>
      <c r="I48" s="2286"/>
      <c r="J48" s="1504">
        <v>3</v>
      </c>
      <c r="K48" s="3647" t="s">
        <v>1008</v>
      </c>
      <c r="L48" s="3647"/>
      <c r="M48" s="3650">
        <f ca="1">H101</f>
        <v>544105</v>
      </c>
      <c r="N48" s="3650"/>
      <c r="O48" s="3650"/>
    </row>
    <row r="49" spans="1:35" ht="25.5" customHeight="1">
      <c r="A49" s="511" t="s">
        <v>1029</v>
      </c>
      <c r="B49" s="3700" t="s">
        <v>1030</v>
      </c>
      <c r="C49" s="3700"/>
      <c r="D49" s="512">
        <v>0</v>
      </c>
      <c r="E49" s="318" t="s">
        <v>1031</v>
      </c>
      <c r="F49" s="323" t="s">
        <v>334</v>
      </c>
      <c r="G49" s="3679"/>
      <c r="H49" s="2284"/>
      <c r="I49" s="2287"/>
      <c r="J49" s="1504">
        <v>4</v>
      </c>
      <c r="K49" s="3647" t="str">
        <f>IF(项目基本情况!E8="房地产抵押价值","房地产抵押价值","抵押担保权已注销时的房地产抵押价值")</f>
        <v>房地产抵押价值</v>
      </c>
      <c r="L49" s="3647"/>
      <c r="M49" s="3650">
        <f ca="1">IF(项目基本情况!E8="房地产抵押价值",H107,H109)</f>
        <v>522206</v>
      </c>
      <c r="N49" s="3650"/>
      <c r="O49" s="3650"/>
    </row>
    <row r="50" spans="1:35" ht="25.5" customHeight="1">
      <c r="A50" s="513"/>
      <c r="B50" s="3700" t="s">
        <v>457</v>
      </c>
      <c r="C50" s="3700"/>
      <c r="D50" s="514"/>
      <c r="E50" s="326"/>
      <c r="F50" s="515"/>
      <c r="G50" s="3680"/>
      <c r="H50" s="2284"/>
      <c r="I50" s="2287"/>
      <c r="J50" s="3647" t="s">
        <v>381</v>
      </c>
      <c r="K50" s="3647"/>
      <c r="L50" s="3647"/>
      <c r="M50" s="3647"/>
      <c r="N50" s="3647"/>
      <c r="O50" s="3647"/>
    </row>
    <row r="51" spans="1:35" ht="12" customHeight="1">
      <c r="A51" s="516"/>
      <c r="B51" s="3700" t="s">
        <v>458</v>
      </c>
      <c r="C51" s="3700"/>
      <c r="D51" s="517"/>
      <c r="E51" s="325"/>
      <c r="F51" s="515"/>
      <c r="G51" s="3681"/>
      <c r="H51" s="2284"/>
      <c r="I51" s="2287"/>
      <c r="J51" s="3291" t="s">
        <v>382</v>
      </c>
      <c r="K51" s="3647" t="s">
        <v>383</v>
      </c>
      <c r="L51" s="3647"/>
      <c r="M51" s="3291" t="s">
        <v>3410</v>
      </c>
      <c r="N51" s="3291" t="s">
        <v>384</v>
      </c>
      <c r="O51" s="3291" t="s">
        <v>385</v>
      </c>
    </row>
    <row r="52" spans="1:35" ht="24" customHeight="1">
      <c r="A52" s="518" t="s">
        <v>459</v>
      </c>
      <c r="B52" s="3700" t="s">
        <v>460</v>
      </c>
      <c r="C52" s="3700"/>
      <c r="D52" s="517">
        <f ca="1">ROUND(D45*'数据-取费表'!B41/(1+'数据-取费表'!B42),0)</f>
        <v>28501</v>
      </c>
      <c r="E52" s="305" t="s">
        <v>461</v>
      </c>
      <c r="F52" s="519">
        <f>'数据-取费表'!B41</f>
        <v>5.5000000000000007E-2</v>
      </c>
      <c r="G52" s="469"/>
      <c r="H52" s="2284"/>
      <c r="I52" s="2287"/>
      <c r="J52" s="1504">
        <v>1</v>
      </c>
      <c r="K52" s="3673" t="s">
        <v>1009</v>
      </c>
      <c r="L52" s="3673"/>
      <c r="M52" s="3292">
        <f>D48</f>
        <v>0</v>
      </c>
      <c r="N52" s="1503" t="str">
        <f>E48</f>
        <v>销售额×税（费）率</v>
      </c>
      <c r="O52" s="3293" t="str">
        <f>F48</f>
        <v>免征</v>
      </c>
    </row>
    <row r="53" spans="1:35" ht="12" customHeight="1">
      <c r="A53" s="518" t="s">
        <v>462</v>
      </c>
      <c r="B53" s="3701" t="s">
        <v>463</v>
      </c>
      <c r="C53" s="3702"/>
      <c r="D53" s="517">
        <f ca="1">ROUND(D45*'数据-取费表'!B41/(1+'数据-取费表'!B42),0)</f>
        <v>28501</v>
      </c>
      <c r="E53" s="305" t="s">
        <v>461</v>
      </c>
      <c r="F53" s="519">
        <f>'数据-取费表'!B41</f>
        <v>5.5000000000000007E-2</v>
      </c>
      <c r="G53" s="469"/>
      <c r="H53" s="2284"/>
      <c r="I53" s="2287"/>
      <c r="J53" s="1504">
        <v>2</v>
      </c>
      <c r="K53" s="3673" t="s">
        <v>1010</v>
      </c>
      <c r="L53" s="3673"/>
      <c r="M53" s="3292">
        <f t="shared" ref="M53:O54" ca="1" si="0">D55</f>
        <v>272</v>
      </c>
      <c r="N53" s="1503" t="str">
        <f t="shared" si="0"/>
        <v>销售额×税（费）率</v>
      </c>
      <c r="O53" s="3293">
        <f t="shared" si="0"/>
        <v>5.0000000000000001E-4</v>
      </c>
    </row>
    <row r="54" spans="1:35" ht="12" customHeight="1">
      <c r="A54" s="518" t="s">
        <v>464</v>
      </c>
      <c r="B54" s="3701" t="s">
        <v>465</v>
      </c>
      <c r="C54" s="3702"/>
      <c r="D54" s="517">
        <f ca="1">C68</f>
        <v>27951</v>
      </c>
      <c r="E54" s="325" t="s">
        <v>466</v>
      </c>
      <c r="F54" s="519">
        <f>'数据-取费表'!B41</f>
        <v>5.5000000000000007E-2</v>
      </c>
      <c r="G54" s="469"/>
      <c r="H54" s="2288"/>
      <c r="I54" s="2287"/>
      <c r="J54" s="1504">
        <v>3</v>
      </c>
      <c r="K54" s="3673" t="s">
        <v>1011</v>
      </c>
      <c r="L54" s="3673"/>
      <c r="M54" s="3292">
        <f t="shared" ca="1" si="0"/>
        <v>301659</v>
      </c>
      <c r="N54" s="1503" t="str">
        <f t="shared" si="0"/>
        <v>增值额×税（费）率</v>
      </c>
      <c r="O54" s="3294" t="str">
        <f t="shared" si="0"/>
        <v>——</v>
      </c>
    </row>
    <row r="55" spans="1:35" ht="24" customHeight="1">
      <c r="A55" s="3743" t="s">
        <v>467</v>
      </c>
      <c r="B55" s="3721"/>
      <c r="C55" s="3721"/>
      <c r="D55" s="520">
        <f ca="1">IF(H55="个人住宅",0,ROUND(D45*I55,0))</f>
        <v>272</v>
      </c>
      <c r="E55" s="305" t="s">
        <v>468</v>
      </c>
      <c r="F55" s="519">
        <f>IF(H55="正常",I55,"免征")</f>
        <v>5.0000000000000001E-4</v>
      </c>
      <c r="G55" s="469"/>
      <c r="H55" s="1435" t="s">
        <v>260</v>
      </c>
      <c r="I55" s="521">
        <f>'数据-取费表'!B49</f>
        <v>5.0000000000000001E-4</v>
      </c>
      <c r="J55" s="1504" t="str">
        <f>IF(H59="非个人房产","",4)</f>
        <v/>
      </c>
      <c r="K55" s="3673" t="str">
        <f>IF(H59="非个人房产","——","个人所得税")</f>
        <v>——</v>
      </c>
      <c r="L55" s="3673"/>
      <c r="M55" s="3295" t="str">
        <f>D59</f>
        <v>——</v>
      </c>
      <c r="N55" s="3296" t="str">
        <f>E59</f>
        <v>——</v>
      </c>
      <c r="O55" s="3297" t="str">
        <f>F59</f>
        <v>——</v>
      </c>
    </row>
    <row r="56" spans="1:35" ht="24.75">
      <c r="A56" s="3743" t="s">
        <v>469</v>
      </c>
      <c r="B56" s="3721"/>
      <c r="C56" s="3721"/>
      <c r="D56" s="520">
        <f ca="1">IF(H56="个人住宅",D57,D58)</f>
        <v>301659</v>
      </c>
      <c r="E56" s="305" t="s">
        <v>470</v>
      </c>
      <c r="F56" s="519" t="str">
        <f>IF(H56="正常",F58,"免征")</f>
        <v>——</v>
      </c>
      <c r="G56" s="1259" t="s">
        <v>1012</v>
      </c>
      <c r="H56" s="1434" t="s">
        <v>260</v>
      </c>
      <c r="I56" s="2289"/>
      <c r="J56" s="1504" t="str">
        <f>IF(项目基本情况!K6="上海银行",IF(J55="",4,J55+1),"")</f>
        <v/>
      </c>
      <c r="K56" s="3653" t="str">
        <f>IF(项目基本情况!K6="上海银行","其他处置费用","")</f>
        <v/>
      </c>
      <c r="L56" s="3654"/>
      <c r="M56" s="3292" t="str">
        <f>IF(项目基本情况!K6="上海银行",M69,"")</f>
        <v/>
      </c>
      <c r="N56" s="3656" t="str">
        <f>IF(项目基本情况!K6="上海银行","包含处置中涉及的律师、诉讼、拍卖、评估等费用","")</f>
        <v/>
      </c>
      <c r="O56" s="3657"/>
    </row>
    <row r="57" spans="1:35" ht="12.75">
      <c r="A57" s="518" t="s">
        <v>455</v>
      </c>
      <c r="B57" s="3706" t="s">
        <v>471</v>
      </c>
      <c r="C57" s="3707"/>
      <c r="D57" s="522">
        <v>0</v>
      </c>
      <c r="E57" s="318" t="s">
        <v>456</v>
      </c>
      <c r="F57" s="490"/>
      <c r="G57" s="469"/>
      <c r="H57" s="2289"/>
      <c r="I57" s="2289"/>
      <c r="J57" s="3685">
        <f>IF(AND(J55="",J56=""),4,IF(项目基本情况!K6="上海银行",结果表!J56+1,结果表!J55+1))</f>
        <v>4</v>
      </c>
      <c r="K57" s="3673" t="s">
        <v>1013</v>
      </c>
      <c r="L57" s="3298" t="s">
        <v>386</v>
      </c>
      <c r="M57" s="3299"/>
      <c r="N57" s="3300">
        <f ca="1">SUMIF(M52:M56,"&lt;9e307")</f>
        <v>301931</v>
      </c>
      <c r="O57" s="3301"/>
      <c r="P57" s="3288">
        <f ca="1">N57/M49</f>
        <v>0.57818370528105767</v>
      </c>
    </row>
    <row r="58" spans="1:35" ht="24.75">
      <c r="A58" s="518" t="s">
        <v>459</v>
      </c>
      <c r="B58" s="3706" t="s">
        <v>472</v>
      </c>
      <c r="C58" s="3719"/>
      <c r="D58" s="520">
        <f ca="1">IF(H58="转让取得",C81,C97)</f>
        <v>301659</v>
      </c>
      <c r="E58" s="305" t="s">
        <v>470</v>
      </c>
      <c r="F58" s="319" t="s">
        <v>334</v>
      </c>
      <c r="G58" s="469"/>
      <c r="H58" s="1434" t="s">
        <v>1482</v>
      </c>
      <c r="I58" s="2289"/>
      <c r="J58" s="3685"/>
      <c r="K58" s="3673"/>
      <c r="L58" s="3298" t="s">
        <v>387</v>
      </c>
      <c r="M58" s="3302"/>
      <c r="N58" s="3303" t="str">
        <f ca="1">NUMBERSTRING(INT(N57*10000),2)&amp;"元整"</f>
        <v>叁拾亿壹仟玖佰叁拾壹万元整</v>
      </c>
      <c r="O58" s="3304"/>
    </row>
    <row r="59" spans="1:35" ht="24.75" thickBot="1">
      <c r="A59" s="3677" t="s">
        <v>473</v>
      </c>
      <c r="B59" s="3678"/>
      <c r="C59" s="3678"/>
      <c r="D59" s="523" t="str">
        <f>IF(H59="非个人房产","——",IF(H59="个人住宅",0,ROUND(D45*I59,0)))</f>
        <v>——</v>
      </c>
      <c r="E59" s="524" t="str">
        <f>IF(H59="非个人房产","——","销售额×税（费）率")</f>
        <v>——</v>
      </c>
      <c r="F59" s="525" t="str">
        <f>IF(H59="非个人房产","——",IF(H59="个人住宅","免征",I59))</f>
        <v>——</v>
      </c>
      <c r="G59" s="1260" t="s">
        <v>333</v>
      </c>
      <c r="H59" s="1434" t="s">
        <v>1481</v>
      </c>
      <c r="I59" s="526">
        <v>0.01</v>
      </c>
      <c r="J59" s="3675">
        <f>J57+1</f>
        <v>5</v>
      </c>
      <c r="K59" s="3673" t="s">
        <v>335</v>
      </c>
      <c r="L59" s="1503" t="s">
        <v>386</v>
      </c>
      <c r="M59" s="3305"/>
      <c r="N59" s="3306">
        <f ca="1">M49-N57</f>
        <v>220275</v>
      </c>
      <c r="O59" s="3307"/>
    </row>
    <row r="60" spans="1:35" ht="12" customHeight="1">
      <c r="A60" s="1261"/>
      <c r="B60" s="1246"/>
      <c r="C60" s="1246"/>
      <c r="D60" s="1246"/>
      <c r="E60" s="229"/>
      <c r="F60" s="2289"/>
      <c r="G60" s="2289"/>
      <c r="H60" s="2290"/>
      <c r="I60" s="2284"/>
      <c r="J60" s="3676"/>
      <c r="K60" s="3673"/>
      <c r="L60" s="3298" t="s">
        <v>387</v>
      </c>
      <c r="M60" s="3302"/>
      <c r="N60" s="3303" t="str">
        <f ca="1">NUMBERSTRING(INT(N59*10000),2)&amp;"元整"</f>
        <v>贰拾贰亿零贰佰柒拾伍万元整</v>
      </c>
      <c r="O60" s="3304"/>
    </row>
    <row r="61" spans="1:35" ht="13.5" thickBot="1">
      <c r="A61" s="3742" t="s">
        <v>474</v>
      </c>
      <c r="B61" s="3742"/>
      <c r="C61" s="3742"/>
      <c r="D61" s="3742"/>
      <c r="E61" s="3742"/>
      <c r="F61" s="2289"/>
      <c r="G61" s="2289"/>
      <c r="H61" s="2290"/>
      <c r="I61" s="2284"/>
      <c r="J61" s="1504">
        <f>J59+1</f>
        <v>6</v>
      </c>
      <c r="K61" s="3673" t="s">
        <v>388</v>
      </c>
      <c r="L61" s="3673"/>
      <c r="M61" s="3308"/>
      <c r="N61" s="3309">
        <f ca="1">ROUND(N59*10000/'数据-汇总表'!E3,0)</f>
        <v>4452</v>
      </c>
      <c r="O61" s="3310"/>
    </row>
    <row r="62" spans="1:35" ht="12.75">
      <c r="A62" s="3694" t="s">
        <v>475</v>
      </c>
      <c r="B62" s="3695"/>
      <c r="C62" s="1922"/>
      <c r="D62" s="1922" t="s">
        <v>483</v>
      </c>
      <c r="E62" s="527" t="s">
        <v>484</v>
      </c>
      <c r="F62" s="2289"/>
      <c r="G62" s="2289"/>
      <c r="H62" s="2290"/>
      <c r="I62" s="2284"/>
    </row>
    <row r="63" spans="1:35" ht="12.75">
      <c r="A63" s="538" t="s">
        <v>2252</v>
      </c>
      <c r="B63" s="528" t="s">
        <v>476</v>
      </c>
      <c r="C63" s="529">
        <f ca="1">ROUND((C64+C65)/(1+'数据-取费表'!B42),0)</f>
        <v>518195</v>
      </c>
      <c r="D63" s="530"/>
      <c r="E63" s="531"/>
      <c r="F63" s="2289"/>
      <c r="G63" s="2289"/>
      <c r="H63" s="2290"/>
      <c r="I63" s="2284"/>
      <c r="J63" s="3655" t="s">
        <v>3403</v>
      </c>
      <c r="K63" s="3287" t="s">
        <v>3404</v>
      </c>
      <c r="L63" s="3285">
        <f ca="1">IF(M49&gt;10000,M49*0.5%,IF(AND(M49&gt;1000,M49&lt;=10000),M49*1%,IF(AND(M49&gt;100,M49&lt;=1000),M49*3%,IF(AND(M49&gt;10,M49&lt;=100),M49*5%,M49*8%))))</f>
        <v>2611.0300000000002</v>
      </c>
      <c r="M63" s="319">
        <f ca="1">ROUND(L63,1)</f>
        <v>2611</v>
      </c>
      <c r="Z63" s="1437"/>
      <c r="AI63" s="1247"/>
    </row>
    <row r="64" spans="1:35" ht="14.25" customHeight="1">
      <c r="A64" s="532" t="s">
        <v>2247</v>
      </c>
      <c r="B64" s="533" t="s">
        <v>477</v>
      </c>
      <c r="C64" s="534">
        <f ca="1">D45</f>
        <v>544105</v>
      </c>
      <c r="D64" s="535" t="s">
        <v>330</v>
      </c>
      <c r="E64" s="536"/>
      <c r="F64" s="2289"/>
      <c r="G64" s="2289"/>
      <c r="H64" s="2290"/>
      <c r="I64" s="2284"/>
      <c r="J64" s="3655"/>
      <c r="K64" s="3287" t="s">
        <v>3405</v>
      </c>
      <c r="L64" s="3285">
        <f ca="1">IF(M49&gt;2000,M49*0.5%,IF(AND(M49&gt;1000,M49&lt;=2000),M49*0.6%,IF(AND(M49&gt;500,M49&lt;=1000),M49*0.7%,IF(AND(M49&gt;200,M49&lt;=500),M49*0.8%,IF(AND(M49&gt;100,M49&lt;=200),M49*0.9%,IF(AND(M49&gt;50,M49&lt;=100),M49*1%,IF(AND(M49&gt;20,M49&lt;=50),M49*1.5%,IF(AND(M49&gt;10,M49&lt;=20),M49*2%,IF(AND(M49&gt;1,M49&lt;=10),M49*2.5%)))))))))</f>
        <v>2611.0300000000002</v>
      </c>
      <c r="M64" s="319">
        <f t="shared" ref="M64:M65" ca="1" si="1">ROUND(L64,1)</f>
        <v>2611</v>
      </c>
      <c r="N64" s="472" t="s">
        <v>3411</v>
      </c>
      <c r="Z64" s="1437"/>
      <c r="AI64" s="1247"/>
    </row>
    <row r="65" spans="1:35" ht="14.25" customHeight="1">
      <c r="A65" s="532" t="s">
        <v>2248</v>
      </c>
      <c r="B65" s="533" t="s">
        <v>478</v>
      </c>
      <c r="C65" s="537">
        <v>0</v>
      </c>
      <c r="D65" s="535"/>
      <c r="E65" s="536"/>
      <c r="F65" s="2289"/>
      <c r="G65" s="2289"/>
      <c r="H65" s="2290"/>
      <c r="I65" s="2284"/>
      <c r="J65" s="3655"/>
      <c r="K65" s="3287" t="s">
        <v>3406</v>
      </c>
      <c r="L65" s="3285">
        <f ca="1">IF(M49&gt;1000,M49*0.1%,IF(AND(M49&gt;500,M49&lt;=1000),M49*0.5%,IF(AND(M49&gt;50,M49&lt;=500),M49*1%,IF(AND(M49&gt;1,M49&lt;=50),M49*1.5%))))</f>
        <v>522.20600000000002</v>
      </c>
      <c r="M65" s="319">
        <f t="shared" ca="1" si="1"/>
        <v>522.20000000000005</v>
      </c>
      <c r="N65" s="472" t="s">
        <v>3412</v>
      </c>
      <c r="Z65" s="1437"/>
      <c r="AI65" s="1247"/>
    </row>
    <row r="66" spans="1:35" ht="14.25" customHeight="1">
      <c r="A66" s="538" t="s">
        <v>2249</v>
      </c>
      <c r="B66" s="539" t="s">
        <v>479</v>
      </c>
      <c r="C66" s="540">
        <v>10000</v>
      </c>
      <c r="D66" s="541" t="s">
        <v>330</v>
      </c>
      <c r="E66" s="536"/>
      <c r="F66" s="2289"/>
      <c r="G66" s="2289"/>
      <c r="H66" s="2290"/>
      <c r="I66" s="2284"/>
      <c r="J66" s="3655"/>
      <c r="K66" s="3287" t="s">
        <v>3407</v>
      </c>
      <c r="L66" s="3285">
        <f ca="1">M49*0.5%</f>
        <v>2611.0300000000002</v>
      </c>
      <c r="M66" s="319">
        <f ca="1">IF(L66&gt;0.5,0.5,ROUND(L66,0))</f>
        <v>0.5</v>
      </c>
      <c r="N66" s="472" t="s">
        <v>3413</v>
      </c>
      <c r="Z66" s="1437"/>
      <c r="AI66" s="1247"/>
    </row>
    <row r="67" spans="1:35" ht="14.25" customHeight="1">
      <c r="A67" s="538" t="s">
        <v>2250</v>
      </c>
      <c r="B67" s="539" t="s">
        <v>480</v>
      </c>
      <c r="C67" s="542">
        <f ca="1">C63-C66</f>
        <v>508195</v>
      </c>
      <c r="D67" s="535" t="s">
        <v>330</v>
      </c>
      <c r="E67" s="536"/>
      <c r="F67" s="2289"/>
      <c r="G67" s="2289"/>
      <c r="H67" s="2290"/>
      <c r="I67" s="2284"/>
      <c r="J67" s="3655"/>
      <c r="K67" s="3287" t="s">
        <v>3408</v>
      </c>
      <c r="L67" s="3285">
        <f ca="1">IF(M49&gt;=10000,(8.25+(M49-10000)*0.01%),IF(AND(M49&gt;=8000,M49&lt;10000),(7.85+(M49-8000)*0.02%),IF(AND(M49&gt;=5000,M49&lt;8000),(6.65+(M49-5000)*0.04%),IF(AND(M49&gt;=2000,M49&lt;5000),(4.25+(PM49-2000)*0.08%),IF(AND(M49&gt;=1000,M49&lt;2000),(2.75+(M49-1000)*0.15%),IF(AND(M49&gt;=100,M49&lt;1000),(0.5+(M49-100)*0.25%),IF(AND(M49&gt;0,M49&lt;100),M49*0.5%)))))))</f>
        <v>59.470600000000005</v>
      </c>
      <c r="M67" s="319">
        <f ca="1">ROUND(L67*0.9,1)</f>
        <v>53.5</v>
      </c>
      <c r="Z67" s="1437"/>
      <c r="AI67" s="1247"/>
    </row>
    <row r="68" spans="1:35" ht="14.25" customHeight="1" thickBot="1">
      <c r="A68" s="543" t="s">
        <v>2251</v>
      </c>
      <c r="B68" s="544" t="s">
        <v>481</v>
      </c>
      <c r="C68" s="545">
        <f ca="1">IF(C67&lt;=0,0,ROUND(C67*D68,0))</f>
        <v>27951</v>
      </c>
      <c r="D68" s="546">
        <f>'数据-取费表'!B41</f>
        <v>5.5000000000000007E-2</v>
      </c>
      <c r="E68" s="547"/>
      <c r="F68" s="2289"/>
      <c r="G68" s="2289"/>
      <c r="H68" s="2290"/>
      <c r="I68" s="2284"/>
      <c r="J68" s="3655"/>
      <c r="K68" s="3287" t="s">
        <v>3409</v>
      </c>
      <c r="L68" s="3285">
        <f ca="1">IF(M49&gt;10000,M49*0.5%,IF(AND(M49&gt;5000,M49&lt;=10000),M49*1%,IF(AND(M49&gt;1000,M49&lt;=5000),M49*2%,IF(AND(M49&gt;200,M49&lt;=1000),M49*3%,M49*5%))))</f>
        <v>2611.0300000000002</v>
      </c>
      <c r="M68" s="319">
        <f ca="1">ROUND(L68,1)</f>
        <v>2611</v>
      </c>
      <c r="Z68" s="1437"/>
      <c r="AI68" s="1247"/>
    </row>
    <row r="69" spans="1:35" s="1248" customFormat="1" ht="16.5" customHeight="1">
      <c r="A69" s="1262"/>
      <c r="B69" s="1263"/>
      <c r="C69" s="1264"/>
      <c r="D69" s="1265"/>
      <c r="E69" s="1266"/>
      <c r="F69" s="229"/>
      <c r="G69" s="229"/>
      <c r="H69" s="241"/>
      <c r="I69" s="1246"/>
      <c r="J69" s="3655"/>
      <c r="K69" s="3287" t="s">
        <v>350</v>
      </c>
      <c r="L69" s="3286"/>
      <c r="M69" s="319">
        <f ca="1">ROUND(SUM(M63:M68),0)</f>
        <v>8409</v>
      </c>
      <c r="N69" s="3288">
        <f ca="1">M69/M49</f>
        <v>1.6102840641432692E-2</v>
      </c>
      <c r="O69" s="1449"/>
      <c r="P69" s="1449"/>
      <c r="Q69" s="1449"/>
      <c r="R69" s="1449"/>
      <c r="S69" s="1449"/>
      <c r="T69" s="1449"/>
      <c r="U69" s="1449"/>
      <c r="V69" s="1449"/>
      <c r="W69" s="1449"/>
      <c r="X69" s="1449"/>
      <c r="Y69" s="1449"/>
      <c r="Z69" s="1437"/>
      <c r="AA69" s="1437"/>
      <c r="AB69" s="1437"/>
      <c r="AC69" s="1437"/>
      <c r="AD69" s="1437"/>
      <c r="AE69" s="1437"/>
      <c r="AF69" s="1437"/>
      <c r="AG69" s="1437"/>
      <c r="AH69" s="1437"/>
    </row>
    <row r="70" spans="1:35" s="1268" customFormat="1" ht="14.25" thickBot="1">
      <c r="A70" s="3704" t="s">
        <v>482</v>
      </c>
      <c r="B70" s="3705"/>
      <c r="C70" s="3705"/>
      <c r="D70" s="3705"/>
      <c r="E70" s="3705"/>
      <c r="F70" s="3705"/>
      <c r="G70" s="3705"/>
      <c r="H70" s="3705"/>
      <c r="I70" s="1267"/>
      <c r="N70" s="2141"/>
      <c r="O70" s="2141"/>
      <c r="P70" s="2141"/>
      <c r="Q70" s="2141"/>
      <c r="R70" s="2141"/>
      <c r="S70" s="2141"/>
      <c r="T70" s="2141"/>
      <c r="U70" s="2141"/>
      <c r="V70" s="2141"/>
      <c r="W70" s="2141"/>
      <c r="X70" s="2141"/>
      <c r="Y70" s="2141"/>
      <c r="Z70" s="2141"/>
      <c r="AA70" s="1438"/>
      <c r="AB70" s="1438"/>
      <c r="AC70" s="1438"/>
      <c r="AD70" s="1438"/>
      <c r="AE70" s="1438"/>
      <c r="AF70" s="1438"/>
      <c r="AG70" s="1438"/>
      <c r="AH70" s="1438"/>
      <c r="AI70" s="1438"/>
    </row>
    <row r="71" spans="1:35" s="1268" customFormat="1" ht="14.25">
      <c r="A71" s="3694" t="s">
        <v>475</v>
      </c>
      <c r="B71" s="3695"/>
      <c r="C71" s="1922"/>
      <c r="D71" s="1922" t="s">
        <v>483</v>
      </c>
      <c r="E71" s="548" t="s">
        <v>484</v>
      </c>
      <c r="F71" s="549"/>
      <c r="G71" s="549"/>
      <c r="H71" s="550"/>
      <c r="I71" s="2291"/>
      <c r="N71" s="2141"/>
      <c r="O71" s="2141"/>
      <c r="P71" s="2141"/>
      <c r="Q71" s="2141"/>
      <c r="R71" s="2141"/>
      <c r="S71" s="2141"/>
      <c r="T71" s="2141"/>
      <c r="U71" s="2141"/>
      <c r="V71" s="2141"/>
      <c r="W71" s="2141"/>
      <c r="X71" s="2141"/>
      <c r="Y71" s="2141"/>
      <c r="Z71" s="2141"/>
      <c r="AA71" s="1438"/>
      <c r="AB71" s="1438"/>
      <c r="AC71" s="1438"/>
      <c r="AD71" s="1438"/>
      <c r="AE71" s="1438"/>
      <c r="AF71" s="1438"/>
      <c r="AG71" s="1438"/>
      <c r="AH71" s="1438"/>
      <c r="AI71" s="1438"/>
    </row>
    <row r="72" spans="1:35" s="1268" customFormat="1" ht="14.25">
      <c r="A72" s="538" t="s">
        <v>2252</v>
      </c>
      <c r="B72" s="539" t="s">
        <v>485</v>
      </c>
      <c r="C72" s="542">
        <f ca="1">ROUND(D45/(1+'数据-取费表'!B42),0)</f>
        <v>518195</v>
      </c>
      <c r="D72" s="535" t="s">
        <v>330</v>
      </c>
      <c r="E72" s="1925"/>
      <c r="F72" s="1926"/>
      <c r="G72" s="1926"/>
      <c r="H72" s="551"/>
      <c r="I72" s="2291"/>
      <c r="N72" s="2141"/>
      <c r="O72" s="2141"/>
      <c r="P72" s="2141"/>
      <c r="Q72" s="2141"/>
      <c r="R72" s="2141"/>
      <c r="S72" s="2141"/>
      <c r="T72" s="2141"/>
      <c r="U72" s="2141"/>
      <c r="V72" s="2141"/>
      <c r="W72" s="2141"/>
      <c r="X72" s="2141"/>
      <c r="Y72" s="2141"/>
      <c r="Z72" s="2141"/>
      <c r="AA72" s="1438"/>
      <c r="AB72" s="1438"/>
      <c r="AC72" s="1438"/>
      <c r="AD72" s="1438"/>
      <c r="AE72" s="1438"/>
      <c r="AF72" s="1438"/>
      <c r="AG72" s="1438"/>
      <c r="AH72" s="1438"/>
      <c r="AI72" s="1438"/>
    </row>
    <row r="73" spans="1:35" s="1268" customFormat="1" ht="14.25">
      <c r="A73" s="538" t="s">
        <v>2249</v>
      </c>
      <c r="B73" s="508" t="s">
        <v>486</v>
      </c>
      <c r="C73" s="542">
        <f ca="1">C74+C78</f>
        <v>12977</v>
      </c>
      <c r="D73" s="535" t="s">
        <v>330</v>
      </c>
      <c r="E73" s="1925"/>
      <c r="F73" s="1926"/>
      <c r="G73" s="1926"/>
      <c r="H73" s="551"/>
      <c r="I73" s="2291"/>
      <c r="J73" s="2141"/>
      <c r="K73" s="2141"/>
      <c r="L73" s="2141"/>
      <c r="M73" s="2141"/>
      <c r="N73" s="2141"/>
      <c r="O73" s="2141"/>
      <c r="P73" s="2141"/>
      <c r="Q73" s="2141"/>
      <c r="R73" s="2141"/>
      <c r="S73" s="2141"/>
      <c r="T73" s="2141"/>
      <c r="U73" s="2141"/>
      <c r="V73" s="2141"/>
      <c r="W73" s="2141"/>
      <c r="X73" s="2141"/>
      <c r="Y73" s="2141"/>
      <c r="Z73" s="2141"/>
      <c r="AA73" s="1438"/>
      <c r="AB73" s="1438"/>
      <c r="AC73" s="1438"/>
      <c r="AD73" s="1438"/>
      <c r="AE73" s="1438"/>
      <c r="AF73" s="1438"/>
      <c r="AG73" s="1438"/>
      <c r="AH73" s="1438"/>
      <c r="AI73" s="1438"/>
    </row>
    <row r="74" spans="1:35" s="1268" customFormat="1" ht="24">
      <c r="A74" s="552" t="s">
        <v>2253</v>
      </c>
      <c r="B74" s="533" t="s">
        <v>487</v>
      </c>
      <c r="C74" s="535">
        <f>C75+C76+C77</f>
        <v>10386</v>
      </c>
      <c r="D74" s="535" t="s">
        <v>330</v>
      </c>
      <c r="E74" s="1925"/>
      <c r="F74" s="1926"/>
      <c r="G74" s="1926"/>
      <c r="H74" s="551"/>
      <c r="I74" s="2291"/>
      <c r="J74" s="2141"/>
      <c r="K74" s="2141"/>
      <c r="L74" s="2141"/>
      <c r="M74" s="2141"/>
      <c r="N74" s="2141"/>
      <c r="O74" s="2141"/>
      <c r="P74" s="2141"/>
      <c r="Q74" s="2141"/>
      <c r="R74" s="2141"/>
      <c r="S74" s="2141"/>
      <c r="T74" s="2141"/>
      <c r="U74" s="2141"/>
      <c r="V74" s="2141"/>
      <c r="W74" s="2141"/>
      <c r="X74" s="2141"/>
      <c r="Y74" s="2141"/>
      <c r="Z74" s="2141"/>
      <c r="AA74" s="1438"/>
      <c r="AB74" s="1438"/>
      <c r="AC74" s="1438"/>
      <c r="AD74" s="1438"/>
      <c r="AE74" s="1438"/>
      <c r="AF74" s="1438"/>
      <c r="AG74" s="1438"/>
      <c r="AH74" s="1438"/>
      <c r="AI74" s="1438"/>
    </row>
    <row r="75" spans="1:35" s="1268" customFormat="1" ht="13.5">
      <c r="A75" s="552" t="s">
        <v>2254</v>
      </c>
      <c r="B75" s="533" t="s">
        <v>488</v>
      </c>
      <c r="C75" s="553">
        <v>10000</v>
      </c>
      <c r="D75" s="535" t="s">
        <v>330</v>
      </c>
      <c r="E75" s="554" t="s">
        <v>489</v>
      </c>
      <c r="F75" s="1430" t="s">
        <v>2791</v>
      </c>
      <c r="G75" s="554" t="s">
        <v>1021</v>
      </c>
      <c r="H75" s="555">
        <v>5</v>
      </c>
      <c r="I75" s="2292"/>
      <c r="J75" s="2141"/>
      <c r="K75" s="2141"/>
      <c r="L75" s="2141"/>
      <c r="M75" s="2141"/>
      <c r="N75" s="2141"/>
      <c r="O75" s="2141"/>
      <c r="P75" s="2141"/>
      <c r="Q75" s="2141"/>
      <c r="R75" s="2141"/>
      <c r="S75" s="2141"/>
      <c r="T75" s="2141"/>
      <c r="U75" s="2141"/>
      <c r="V75" s="2141"/>
      <c r="W75" s="2141"/>
      <c r="X75" s="2141"/>
      <c r="Y75" s="2141"/>
      <c r="Z75" s="2141"/>
      <c r="AA75" s="1438"/>
      <c r="AB75" s="1438"/>
      <c r="AC75" s="1438"/>
      <c r="AD75" s="1438"/>
      <c r="AE75" s="1438"/>
      <c r="AF75" s="1438"/>
      <c r="AG75" s="1438"/>
      <c r="AH75" s="1438"/>
      <c r="AI75" s="1438"/>
    </row>
    <row r="76" spans="1:35" s="1268" customFormat="1" ht="24.75" customHeight="1">
      <c r="A76" s="552" t="s">
        <v>2256</v>
      </c>
      <c r="B76" s="556" t="s">
        <v>490</v>
      </c>
      <c r="C76" s="535">
        <f>IF(F75="购房发票",ROUND(C75*H75*5%,0),0)</f>
        <v>0</v>
      </c>
      <c r="D76" s="557">
        <v>0.05</v>
      </c>
      <c r="E76" s="3701" t="s">
        <v>491</v>
      </c>
      <c r="F76" s="3700"/>
      <c r="G76" s="3700"/>
      <c r="H76" s="3703"/>
      <c r="I76" s="2291"/>
      <c r="J76" s="2141"/>
      <c r="K76" s="2141"/>
      <c r="L76" s="2141"/>
      <c r="M76" s="2141"/>
      <c r="N76" s="2141"/>
      <c r="O76" s="2141"/>
      <c r="P76" s="2141"/>
      <c r="Q76" s="2141"/>
      <c r="R76" s="2141"/>
      <c r="S76" s="2141"/>
      <c r="T76" s="2141"/>
      <c r="U76" s="2141"/>
      <c r="V76" s="2141"/>
      <c r="W76" s="2141"/>
      <c r="X76" s="2141"/>
      <c r="Y76" s="2141"/>
      <c r="Z76" s="2141"/>
      <c r="AA76" s="1438"/>
      <c r="AB76" s="1438"/>
      <c r="AC76" s="1438"/>
      <c r="AD76" s="1438"/>
      <c r="AE76" s="1438"/>
      <c r="AF76" s="1438"/>
      <c r="AG76" s="1438"/>
      <c r="AH76" s="1438"/>
      <c r="AI76" s="1438"/>
    </row>
    <row r="77" spans="1:35" s="1268" customFormat="1" ht="24.75" customHeight="1">
      <c r="A77" s="552" t="s">
        <v>2257</v>
      </c>
      <c r="B77" s="533" t="s">
        <v>492</v>
      </c>
      <c r="C77" s="535">
        <f>ROUND(IF(G77="个人住宅",0,IF(G77="2016年5月1日前购买",C75*D77,C75*D77/(1+'数据-取费表'!B42))),0)</f>
        <v>386</v>
      </c>
      <c r="D77" s="558">
        <f>'数据-取费表'!B48+'数据-取费表'!B49</f>
        <v>4.0500000000000001E-2</v>
      </c>
      <c r="E77" s="309" t="s">
        <v>1022</v>
      </c>
      <c r="F77" s="559"/>
      <c r="G77" s="1431" t="s">
        <v>2905</v>
      </c>
      <c r="H77" s="1927"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38"/>
      <c r="AB77" s="1438"/>
      <c r="AC77" s="1438"/>
      <c r="AD77" s="1438"/>
      <c r="AE77" s="1438"/>
      <c r="AF77" s="1438"/>
      <c r="AG77" s="1438"/>
      <c r="AH77" s="1438"/>
      <c r="AI77" s="1438"/>
    </row>
    <row r="78" spans="1:35" s="1268" customFormat="1" ht="24.75" customHeight="1">
      <c r="A78" s="552" t="s">
        <v>2255</v>
      </c>
      <c r="B78" s="533" t="s">
        <v>493</v>
      </c>
      <c r="C78" s="560">
        <f ca="1">ROUND(D45*D78/(1+'数据-取费表'!B42),0)</f>
        <v>2591</v>
      </c>
      <c r="D78" s="561">
        <f>'数据-取费表'!B43</f>
        <v>5.000000000000001E-3</v>
      </c>
      <c r="E78" s="3696" t="s">
        <v>2906</v>
      </c>
      <c r="F78" s="3692"/>
      <c r="G78" s="3692"/>
      <c r="H78" s="3693"/>
      <c r="I78" s="2293"/>
      <c r="J78" s="2141"/>
      <c r="K78" s="2141"/>
      <c r="L78" s="2141"/>
      <c r="M78" s="2141"/>
      <c r="N78" s="2141"/>
      <c r="O78" s="2141"/>
      <c r="P78" s="2141"/>
      <c r="Q78" s="2141"/>
      <c r="R78" s="2141"/>
      <c r="S78" s="2141"/>
      <c r="T78" s="2141"/>
      <c r="U78" s="2141"/>
      <c r="V78" s="2141"/>
      <c r="W78" s="2141"/>
      <c r="X78" s="2141"/>
      <c r="Y78" s="2141"/>
      <c r="Z78" s="2141"/>
      <c r="AA78" s="1438"/>
      <c r="AB78" s="1438"/>
      <c r="AC78" s="1438"/>
      <c r="AD78" s="1438"/>
      <c r="AE78" s="1438"/>
      <c r="AF78" s="1438"/>
      <c r="AG78" s="1438"/>
      <c r="AH78" s="1438"/>
      <c r="AI78" s="1438"/>
    </row>
    <row r="79" spans="1:35" s="1268" customFormat="1" ht="14.25">
      <c r="A79" s="1804" t="s">
        <v>2258</v>
      </c>
      <c r="B79" s="539" t="s">
        <v>494</v>
      </c>
      <c r="C79" s="542">
        <f ca="1">C72-C73</f>
        <v>505218</v>
      </c>
      <c r="D79" s="535" t="s">
        <v>330</v>
      </c>
      <c r="E79" s="1925"/>
      <c r="F79" s="1926"/>
      <c r="G79" s="1926"/>
      <c r="H79" s="551"/>
      <c r="I79" s="2291"/>
      <c r="J79" s="2141"/>
      <c r="K79" s="2141"/>
      <c r="L79" s="2141"/>
      <c r="M79" s="2141"/>
      <c r="N79" s="2141"/>
      <c r="O79" s="2141"/>
      <c r="P79" s="2141"/>
      <c r="Q79" s="2141"/>
      <c r="R79" s="2141"/>
      <c r="S79" s="2141"/>
      <c r="T79" s="2141"/>
      <c r="U79" s="2141"/>
      <c r="V79" s="2141"/>
      <c r="W79" s="2141"/>
      <c r="X79" s="2141"/>
      <c r="Y79" s="2141"/>
      <c r="Z79" s="2141"/>
      <c r="AA79" s="1438"/>
      <c r="AB79" s="1438"/>
      <c r="AC79" s="1438"/>
      <c r="AD79" s="1438"/>
      <c r="AE79" s="1438"/>
      <c r="AF79" s="1438"/>
      <c r="AG79" s="1438"/>
      <c r="AH79" s="1438"/>
      <c r="AI79" s="1438"/>
    </row>
    <row r="80" spans="1:35" s="1268" customFormat="1" ht="24">
      <c r="A80" s="1804" t="s">
        <v>2259</v>
      </c>
      <c r="B80" s="539" t="s">
        <v>495</v>
      </c>
      <c r="C80" s="562">
        <f ca="1">IF(C79&lt;=0,0,C79/C73)</f>
        <v>38.931802419665566</v>
      </c>
      <c r="D80" s="535" t="s">
        <v>330</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6"/>
      <c r="G80" s="1926"/>
      <c r="H80" s="551"/>
      <c r="I80" s="2291"/>
      <c r="J80" s="2141"/>
      <c r="K80" s="2141"/>
      <c r="L80" s="2141"/>
      <c r="M80" s="2141"/>
      <c r="N80" s="2141"/>
      <c r="O80" s="2141"/>
      <c r="P80" s="2141"/>
      <c r="Q80" s="2141"/>
      <c r="R80" s="2141"/>
      <c r="S80" s="2141"/>
      <c r="T80" s="2141"/>
      <c r="U80" s="2141"/>
      <c r="V80" s="2141"/>
      <c r="W80" s="2141"/>
      <c r="X80" s="2141"/>
      <c r="Y80" s="2141"/>
      <c r="Z80" s="2141"/>
      <c r="AA80" s="1438"/>
      <c r="AB80" s="1438"/>
      <c r="AC80" s="1438"/>
      <c r="AD80" s="1438"/>
      <c r="AE80" s="1438"/>
      <c r="AF80" s="1438"/>
      <c r="AG80" s="1438"/>
      <c r="AH80" s="1438"/>
      <c r="AI80" s="1438"/>
    </row>
    <row r="81" spans="1:35" s="1268" customFormat="1" ht="24.75" thickBot="1">
      <c r="A81" s="1805" t="s">
        <v>2260</v>
      </c>
      <c r="B81" s="544" t="s">
        <v>496</v>
      </c>
      <c r="C81" s="563">
        <f ca="1">ROUND(IF(C79&lt;=0,0,IF(C80&gt;=200%,C79*60%-C73*35%,IF(C80&gt;=100%,C79*50%-C73*15%,IF(C80&gt;=50%,C79*40%-C73*5%,IF(C80&lt;50%,C79*30%,0))))),0)</f>
        <v>298589</v>
      </c>
      <c r="D81" s="564" t="s">
        <v>330</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291"/>
      <c r="J81" s="2141"/>
      <c r="K81" s="2141"/>
      <c r="L81" s="2141"/>
      <c r="M81" s="2141"/>
      <c r="N81" s="2141"/>
      <c r="O81" s="2141"/>
      <c r="P81" s="2141"/>
      <c r="Q81" s="2141"/>
      <c r="R81" s="2141"/>
      <c r="S81" s="2141"/>
      <c r="T81" s="2141"/>
      <c r="U81" s="2141"/>
      <c r="V81" s="2141"/>
      <c r="W81" s="2141"/>
      <c r="X81" s="2141"/>
      <c r="Y81" s="2141"/>
      <c r="Z81" s="2141"/>
      <c r="AA81" s="1438"/>
      <c r="AB81" s="1438"/>
      <c r="AC81" s="1438"/>
      <c r="AD81" s="1438"/>
      <c r="AE81" s="1438"/>
      <c r="AF81" s="1438"/>
      <c r="AG81" s="1438"/>
      <c r="AH81" s="1438"/>
      <c r="AI81" s="1438"/>
    </row>
    <row r="82" spans="1:35" s="1268" customFormat="1" ht="7.5" customHeight="1">
      <c r="A82" s="1235"/>
      <c r="B82" s="1236"/>
      <c r="C82" s="300"/>
      <c r="D82" s="300"/>
      <c r="E82" s="1236"/>
      <c r="F82" s="1236"/>
      <c r="G82" s="1236"/>
      <c r="H82" s="1237"/>
      <c r="I82" s="2293"/>
      <c r="J82" s="2141"/>
      <c r="K82" s="2141"/>
      <c r="L82" s="2141"/>
      <c r="M82" s="2141"/>
      <c r="N82" s="2141"/>
      <c r="O82" s="2141"/>
      <c r="P82" s="2141"/>
      <c r="Q82" s="2141"/>
      <c r="R82" s="2141"/>
      <c r="S82" s="2141"/>
      <c r="T82" s="2141"/>
      <c r="U82" s="2141"/>
      <c r="V82" s="2141"/>
      <c r="W82" s="2141"/>
      <c r="X82" s="2141"/>
      <c r="Y82" s="2141"/>
      <c r="Z82" s="2141"/>
      <c r="AA82" s="1438"/>
      <c r="AB82" s="1438"/>
      <c r="AC82" s="1438"/>
      <c r="AD82" s="1438"/>
      <c r="AE82" s="1438"/>
      <c r="AF82" s="1438"/>
      <c r="AG82" s="1438"/>
      <c r="AH82" s="1438"/>
      <c r="AI82" s="1438"/>
    </row>
    <row r="83" spans="1:35" s="1268" customFormat="1" ht="14.25" thickBot="1">
      <c r="A83" s="3704" t="s">
        <v>497</v>
      </c>
      <c r="B83" s="3705"/>
      <c r="C83" s="3705"/>
      <c r="D83" s="3705"/>
      <c r="E83" s="3705"/>
      <c r="F83" s="3705"/>
      <c r="G83" s="3705"/>
      <c r="H83" s="3705"/>
      <c r="I83" s="2292"/>
      <c r="J83" s="2141"/>
      <c r="K83" s="2141"/>
      <c r="L83" s="2141"/>
      <c r="M83" s="2141"/>
      <c r="N83" s="2141"/>
      <c r="O83" s="2141"/>
      <c r="P83" s="2141"/>
      <c r="Q83" s="2141"/>
      <c r="R83" s="2141"/>
      <c r="S83" s="2141"/>
      <c r="T83" s="2141"/>
      <c r="U83" s="2141"/>
      <c r="V83" s="2141"/>
      <c r="W83" s="2141"/>
      <c r="X83" s="2141"/>
      <c r="Y83" s="2141"/>
      <c r="Z83" s="2141"/>
      <c r="AA83" s="1438"/>
      <c r="AB83" s="1438"/>
      <c r="AC83" s="1438"/>
      <c r="AD83" s="1438"/>
      <c r="AE83" s="1438"/>
      <c r="AF83" s="1438"/>
      <c r="AG83" s="1438"/>
      <c r="AH83" s="1438"/>
      <c r="AI83" s="1438"/>
    </row>
    <row r="84" spans="1:35" s="1268" customFormat="1" ht="13.5">
      <c r="A84" s="3694" t="s">
        <v>475</v>
      </c>
      <c r="B84" s="3695"/>
      <c r="C84" s="1922"/>
      <c r="D84" s="1922" t="s">
        <v>483</v>
      </c>
      <c r="E84" s="548" t="s">
        <v>484</v>
      </c>
      <c r="F84" s="549"/>
      <c r="G84" s="549"/>
      <c r="H84" s="568"/>
      <c r="I84" s="2292"/>
      <c r="J84" s="2141"/>
      <c r="K84" s="2141"/>
      <c r="L84" s="2141"/>
      <c r="M84" s="2141"/>
      <c r="N84" s="2141"/>
      <c r="O84" s="2141"/>
      <c r="P84" s="2141"/>
      <c r="Q84" s="2141"/>
      <c r="R84" s="2141"/>
      <c r="S84" s="2141"/>
      <c r="T84" s="2141"/>
      <c r="U84" s="2141"/>
      <c r="V84" s="2141"/>
      <c r="W84" s="2141"/>
      <c r="X84" s="2141"/>
      <c r="Y84" s="2141"/>
      <c r="Z84" s="2141"/>
      <c r="AA84" s="1438"/>
      <c r="AB84" s="1438"/>
      <c r="AC84" s="1438"/>
      <c r="AD84" s="1438"/>
      <c r="AE84" s="1438"/>
      <c r="AF84" s="1438"/>
      <c r="AG84" s="1438"/>
      <c r="AH84" s="1438"/>
      <c r="AI84" s="1438"/>
    </row>
    <row r="85" spans="1:35" s="1268" customFormat="1" ht="13.5">
      <c r="A85" s="538" t="s">
        <v>2252</v>
      </c>
      <c r="B85" s="539" t="s">
        <v>485</v>
      </c>
      <c r="C85" s="542">
        <f ca="1">ROUND(D45/(1+'数据-取费表'!B42),0)</f>
        <v>518195</v>
      </c>
      <c r="D85" s="535" t="s">
        <v>330</v>
      </c>
      <c r="E85" s="1925"/>
      <c r="F85" s="1926"/>
      <c r="G85" s="1926"/>
      <c r="H85" s="569"/>
      <c r="I85" s="2292"/>
      <c r="J85" s="2141"/>
      <c r="K85" s="2141"/>
      <c r="L85" s="2141"/>
      <c r="M85" s="2141"/>
      <c r="N85" s="2141"/>
      <c r="O85" s="2141"/>
      <c r="P85" s="2141"/>
      <c r="Q85" s="2141"/>
      <c r="R85" s="2141"/>
      <c r="S85" s="2141"/>
      <c r="T85" s="2141"/>
      <c r="U85" s="2141"/>
      <c r="V85" s="2141"/>
      <c r="W85" s="2141"/>
      <c r="X85" s="2141"/>
      <c r="Y85" s="2141"/>
      <c r="Z85" s="2141"/>
      <c r="AA85" s="1438"/>
      <c r="AB85" s="1438"/>
      <c r="AC85" s="1438"/>
      <c r="AD85" s="1438"/>
      <c r="AE85" s="1438"/>
      <c r="AF85" s="1438"/>
      <c r="AG85" s="1438"/>
      <c r="AH85" s="1438"/>
      <c r="AI85" s="1438"/>
    </row>
    <row r="86" spans="1:35" s="1268" customFormat="1" ht="13.5">
      <c r="A86" s="538" t="s">
        <v>2249</v>
      </c>
      <c r="B86" s="508" t="s">
        <v>486</v>
      </c>
      <c r="C86" s="542">
        <f ca="1">IF(H88="仅含出让金",C87+C90+C91+C92+C93+C94,C87+C91+C92+C93+C94)</f>
        <v>9745</v>
      </c>
      <c r="D86" s="570"/>
      <c r="E86" s="1925"/>
      <c r="F86" s="1926"/>
      <c r="G86" s="1926"/>
      <c r="H86" s="569"/>
      <c r="I86" s="2292"/>
      <c r="J86" s="2141"/>
      <c r="K86" s="2141"/>
      <c r="L86" s="2141"/>
      <c r="M86" s="2141"/>
      <c r="N86" s="2141"/>
      <c r="O86" s="2141"/>
      <c r="P86" s="2141"/>
      <c r="Q86" s="2141"/>
      <c r="R86" s="2141"/>
      <c r="S86" s="2141"/>
      <c r="T86" s="2141"/>
      <c r="U86" s="2141"/>
      <c r="V86" s="2141"/>
      <c r="W86" s="2141"/>
      <c r="X86" s="2141"/>
      <c r="Y86" s="2141"/>
      <c r="Z86" s="2141"/>
      <c r="AA86" s="1438"/>
      <c r="AB86" s="1438"/>
      <c r="AC86" s="1438"/>
      <c r="AD86" s="1438"/>
      <c r="AE86" s="1438"/>
      <c r="AF86" s="1438"/>
      <c r="AG86" s="1438"/>
      <c r="AH86" s="1438"/>
      <c r="AI86" s="1438"/>
    </row>
    <row r="87" spans="1:35" s="1268" customFormat="1" ht="13.5">
      <c r="A87" s="552" t="s">
        <v>2253</v>
      </c>
      <c r="B87" s="533" t="s">
        <v>498</v>
      </c>
      <c r="C87" s="560">
        <f>C88+C89</f>
        <v>5203</v>
      </c>
      <c r="D87" s="561"/>
      <c r="E87" s="1920"/>
      <c r="F87" s="1921"/>
      <c r="G87" s="1921"/>
      <c r="H87" s="1923"/>
      <c r="I87" s="2292"/>
      <c r="J87" s="2141"/>
      <c r="K87" s="2141"/>
      <c r="L87" s="2141"/>
      <c r="M87" s="2141"/>
      <c r="N87" s="2141"/>
      <c r="O87" s="2141"/>
      <c r="P87" s="2141"/>
      <c r="Q87" s="2141"/>
      <c r="R87" s="2141"/>
      <c r="S87" s="2141"/>
      <c r="T87" s="2141"/>
      <c r="U87" s="2141"/>
      <c r="V87" s="2141"/>
      <c r="W87" s="2141"/>
      <c r="X87" s="2141"/>
      <c r="Y87" s="2141"/>
      <c r="Z87" s="2141"/>
      <c r="AA87" s="1438"/>
      <c r="AB87" s="1438"/>
      <c r="AC87" s="1438"/>
      <c r="AD87" s="1438"/>
      <c r="AE87" s="1438"/>
      <c r="AF87" s="1438"/>
      <c r="AG87" s="1438"/>
      <c r="AH87" s="1438"/>
      <c r="AI87" s="1438"/>
    </row>
    <row r="88" spans="1:35" s="1268" customFormat="1" ht="13.5">
      <c r="A88" s="552" t="s">
        <v>2254</v>
      </c>
      <c r="B88" s="533" t="s">
        <v>499</v>
      </c>
      <c r="C88" s="571">
        <v>5000</v>
      </c>
      <c r="D88" s="561"/>
      <c r="E88" s="572" t="s">
        <v>500</v>
      </c>
      <c r="F88" s="1921"/>
      <c r="G88" s="573" t="s">
        <v>501</v>
      </c>
      <c r="H88" s="1432" t="s">
        <v>1480</v>
      </c>
      <c r="I88" s="2292"/>
      <c r="J88" s="2141"/>
      <c r="K88" s="2141"/>
      <c r="L88" s="2141"/>
      <c r="M88" s="2141"/>
      <c r="N88" s="2141"/>
      <c r="O88" s="2141"/>
      <c r="P88" s="2141"/>
      <c r="Q88" s="2141"/>
      <c r="R88" s="2141"/>
      <c r="S88" s="2141"/>
      <c r="T88" s="2141"/>
      <c r="U88" s="2141"/>
      <c r="V88" s="2141"/>
      <c r="W88" s="2141"/>
      <c r="X88" s="2141"/>
      <c r="Y88" s="2141"/>
      <c r="Z88" s="2141"/>
      <c r="AA88" s="1438"/>
      <c r="AB88" s="1438"/>
      <c r="AC88" s="1438"/>
      <c r="AD88" s="1438"/>
      <c r="AE88" s="1438"/>
      <c r="AF88" s="1438"/>
      <c r="AG88" s="1438"/>
      <c r="AH88" s="1438"/>
      <c r="AI88" s="1438"/>
    </row>
    <row r="89" spans="1:35" s="1268" customFormat="1" ht="13.5">
      <c r="A89" s="552" t="s">
        <v>2256</v>
      </c>
      <c r="B89" s="533" t="s">
        <v>492</v>
      </c>
      <c r="C89" s="560">
        <f>ROUND(C88*D89,0)</f>
        <v>203</v>
      </c>
      <c r="D89" s="561">
        <f>'数据-取费表'!B48+'数据-取费表'!B49</f>
        <v>4.0500000000000001E-2</v>
      </c>
      <c r="E89" s="572" t="s">
        <v>502</v>
      </c>
      <c r="F89" s="1921"/>
      <c r="G89" s="1921"/>
      <c r="H89" s="1923"/>
      <c r="I89" s="2292"/>
      <c r="J89" s="2141"/>
      <c r="K89" s="2141"/>
      <c r="L89" s="2141"/>
      <c r="M89" s="2141"/>
      <c r="N89" s="2141"/>
      <c r="O89" s="2141"/>
      <c r="P89" s="2141"/>
      <c r="Q89" s="2141"/>
      <c r="R89" s="2141"/>
      <c r="S89" s="2141"/>
      <c r="T89" s="2141"/>
      <c r="U89" s="2141"/>
      <c r="V89" s="2141"/>
      <c r="W89" s="2141"/>
      <c r="X89" s="2141"/>
      <c r="Y89" s="2141"/>
      <c r="Z89" s="2141"/>
      <c r="AA89" s="1438"/>
      <c r="AB89" s="1438"/>
      <c r="AC89" s="1438"/>
      <c r="AD89" s="1438"/>
      <c r="AE89" s="1438"/>
      <c r="AF89" s="1438"/>
      <c r="AG89" s="1438"/>
      <c r="AH89" s="1438"/>
      <c r="AI89" s="1438"/>
    </row>
    <row r="90" spans="1:35" s="1268" customFormat="1" ht="13.5">
      <c r="A90" s="552" t="s">
        <v>2255</v>
      </c>
      <c r="B90" s="533" t="s">
        <v>503</v>
      </c>
      <c r="C90" s="571"/>
      <c r="D90" s="561"/>
      <c r="E90" s="572" t="str">
        <f>IF(H88="-","土地取得成本中已包含该笔费用"," ")</f>
        <v xml:space="preserve"> </v>
      </c>
      <c r="F90" s="1921"/>
      <c r="G90" s="1921"/>
      <c r="H90" s="1923"/>
      <c r="I90" s="2292"/>
      <c r="J90" s="2141"/>
      <c r="K90" s="2141"/>
      <c r="L90" s="2141"/>
      <c r="M90" s="2141"/>
      <c r="N90" s="2141"/>
      <c r="O90" s="2141"/>
      <c r="P90" s="2141"/>
      <c r="Q90" s="2141"/>
      <c r="R90" s="2141"/>
      <c r="S90" s="2141"/>
      <c r="T90" s="2141"/>
      <c r="U90" s="2141"/>
      <c r="V90" s="2141"/>
      <c r="W90" s="2141"/>
      <c r="X90" s="2141"/>
      <c r="Y90" s="2141"/>
      <c r="Z90" s="2141"/>
      <c r="AA90" s="1438"/>
      <c r="AB90" s="1438"/>
      <c r="AC90" s="1438"/>
      <c r="AD90" s="1438"/>
      <c r="AE90" s="1438"/>
      <c r="AF90" s="1438"/>
      <c r="AG90" s="1438"/>
      <c r="AH90" s="1438"/>
      <c r="AI90" s="1438"/>
    </row>
    <row r="91" spans="1:35" s="1268" customFormat="1" ht="27.75" customHeight="1">
      <c r="A91" s="1806" t="s">
        <v>2261</v>
      </c>
      <c r="B91" s="533" t="s">
        <v>504</v>
      </c>
      <c r="C91" s="560">
        <f>IF(H91="——",成本法!C33,I91)</f>
        <v>300</v>
      </c>
      <c r="D91" s="561"/>
      <c r="E91" s="3691" t="s">
        <v>1023</v>
      </c>
      <c r="F91" s="3692"/>
      <c r="G91" s="3692"/>
      <c r="H91" s="1433" t="s">
        <v>2684</v>
      </c>
      <c r="I91" s="2188">
        <v>300</v>
      </c>
      <c r="J91" s="2141"/>
      <c r="K91" s="2141"/>
      <c r="L91" s="2141"/>
      <c r="M91" s="2141"/>
      <c r="N91" s="2141"/>
      <c r="O91" s="2141"/>
      <c r="P91" s="2141"/>
      <c r="Q91" s="2141"/>
      <c r="R91" s="2141"/>
      <c r="S91" s="2141"/>
      <c r="T91" s="2141"/>
      <c r="U91" s="2141"/>
      <c r="V91" s="2141"/>
      <c r="W91" s="2141"/>
      <c r="X91" s="2141"/>
      <c r="Y91" s="2141"/>
      <c r="Z91" s="2141"/>
      <c r="AA91" s="1438"/>
      <c r="AB91" s="1438"/>
      <c r="AC91" s="1438"/>
      <c r="AD91" s="1438"/>
      <c r="AE91" s="1438"/>
      <c r="AF91" s="1438"/>
      <c r="AG91" s="1438"/>
      <c r="AH91" s="1438"/>
      <c r="AI91" s="1438"/>
    </row>
    <row r="92" spans="1:35" s="1268" customFormat="1" ht="25.5" customHeight="1">
      <c r="A92" s="1806" t="s">
        <v>2262</v>
      </c>
      <c r="B92" s="533" t="s">
        <v>505</v>
      </c>
      <c r="C92" s="560">
        <f>ROUND((C87+C90+C91)*D92,0)</f>
        <v>550</v>
      </c>
      <c r="D92" s="561">
        <v>0.1</v>
      </c>
      <c r="E92" s="3691" t="s">
        <v>506</v>
      </c>
      <c r="F92" s="3692"/>
      <c r="G92" s="3692"/>
      <c r="H92" s="3693"/>
      <c r="I92" s="2292"/>
      <c r="J92" s="2141"/>
      <c r="K92" s="2141"/>
      <c r="L92" s="2141"/>
      <c r="M92" s="2141"/>
      <c r="N92" s="2141"/>
      <c r="O92" s="2141"/>
      <c r="P92" s="2141"/>
      <c r="Q92" s="2141"/>
      <c r="R92" s="2141"/>
      <c r="S92" s="2141"/>
      <c r="T92" s="2141"/>
      <c r="U92" s="2141"/>
      <c r="V92" s="2141"/>
      <c r="W92" s="2141"/>
      <c r="X92" s="2141"/>
      <c r="Y92" s="2141"/>
      <c r="Z92" s="2141"/>
      <c r="AA92" s="1438"/>
      <c r="AB92" s="1438"/>
      <c r="AC92" s="1438"/>
      <c r="AD92" s="1438"/>
      <c r="AE92" s="1438"/>
      <c r="AF92" s="1438"/>
      <c r="AG92" s="1438"/>
      <c r="AH92" s="1438"/>
      <c r="AI92" s="1438"/>
    </row>
    <row r="93" spans="1:35" s="1268" customFormat="1" ht="25.5" customHeight="1">
      <c r="A93" s="1806" t="s">
        <v>2263</v>
      </c>
      <c r="B93" s="533" t="s">
        <v>493</v>
      </c>
      <c r="C93" s="560">
        <f ca="1">ROUND(D45*D93/(1+'数据-取费表'!B42),0)</f>
        <v>2591</v>
      </c>
      <c r="D93" s="561">
        <f>'数据-取费表'!B43</f>
        <v>5.000000000000001E-3</v>
      </c>
      <c r="E93" s="3696" t="s">
        <v>2906</v>
      </c>
      <c r="F93" s="3692"/>
      <c r="G93" s="3692"/>
      <c r="H93" s="3693"/>
      <c r="I93" s="2292"/>
      <c r="J93" s="2141"/>
      <c r="K93" s="2141"/>
      <c r="L93" s="2141"/>
      <c r="M93" s="2141"/>
      <c r="N93" s="2141"/>
      <c r="O93" s="2141"/>
      <c r="P93" s="2141"/>
      <c r="Q93" s="2141"/>
      <c r="R93" s="2141"/>
      <c r="S93" s="2141"/>
      <c r="T93" s="2141"/>
      <c r="U93" s="2141"/>
      <c r="V93" s="2141"/>
      <c r="W93" s="2141"/>
      <c r="X93" s="2141"/>
      <c r="Y93" s="2141"/>
      <c r="Z93" s="2141"/>
      <c r="AA93" s="1438"/>
      <c r="AB93" s="1438"/>
      <c r="AC93" s="1438"/>
      <c r="AD93" s="1438"/>
      <c r="AE93" s="1438"/>
      <c r="AF93" s="1438"/>
      <c r="AG93" s="1438"/>
      <c r="AH93" s="1438"/>
      <c r="AI93" s="1438"/>
    </row>
    <row r="94" spans="1:35" s="1268" customFormat="1" ht="25.5" customHeight="1">
      <c r="A94" s="1806" t="s">
        <v>2264</v>
      </c>
      <c r="B94" s="533" t="s">
        <v>507</v>
      </c>
      <c r="C94" s="560">
        <f>ROUND((C87+C90+C91)*D94,0)</f>
        <v>1101</v>
      </c>
      <c r="D94" s="561">
        <v>0.2</v>
      </c>
      <c r="E94" s="3691" t="s">
        <v>508</v>
      </c>
      <c r="F94" s="3692"/>
      <c r="G94" s="3692"/>
      <c r="H94" s="3693"/>
      <c r="I94" s="2292"/>
      <c r="J94" s="2141"/>
      <c r="K94" s="2141"/>
      <c r="L94" s="2141"/>
      <c r="M94" s="2141"/>
      <c r="N94" s="2141"/>
      <c r="O94" s="2141"/>
      <c r="P94" s="2141"/>
      <c r="Q94" s="2141"/>
      <c r="R94" s="2141"/>
      <c r="S94" s="2141"/>
      <c r="T94" s="2141"/>
      <c r="U94" s="2141"/>
      <c r="V94" s="2141"/>
      <c r="W94" s="2141"/>
      <c r="X94" s="2141"/>
      <c r="Y94" s="2141"/>
      <c r="Z94" s="2141"/>
      <c r="AA94" s="1438"/>
      <c r="AB94" s="1438"/>
      <c r="AC94" s="1438"/>
      <c r="AD94" s="1438"/>
      <c r="AE94" s="1438"/>
      <c r="AF94" s="1438"/>
      <c r="AG94" s="1438"/>
      <c r="AH94" s="1438"/>
      <c r="AI94" s="1438"/>
    </row>
    <row r="95" spans="1:35" s="1268" customFormat="1" ht="13.5">
      <c r="A95" s="1804" t="s">
        <v>2258</v>
      </c>
      <c r="B95" s="539" t="s">
        <v>494</v>
      </c>
      <c r="C95" s="542">
        <f ca="1">ROUND(C85-C86,0)</f>
        <v>508450</v>
      </c>
      <c r="D95" s="535" t="s">
        <v>330</v>
      </c>
      <c r="E95" s="1925"/>
      <c r="F95" s="1926"/>
      <c r="G95" s="1926"/>
      <c r="H95" s="569"/>
      <c r="I95" s="2292"/>
      <c r="J95" s="2141"/>
      <c r="K95" s="2141"/>
      <c r="L95" s="2141"/>
      <c r="M95" s="2141"/>
      <c r="N95" s="2141"/>
      <c r="O95" s="2141"/>
      <c r="P95" s="2141"/>
      <c r="Q95" s="2141"/>
      <c r="R95" s="2141"/>
      <c r="S95" s="2141"/>
      <c r="T95" s="2141"/>
      <c r="U95" s="2141"/>
      <c r="V95" s="2141"/>
      <c r="W95" s="2141"/>
      <c r="X95" s="2141"/>
      <c r="Y95" s="2141"/>
      <c r="Z95" s="2141"/>
      <c r="AA95" s="1438"/>
      <c r="AB95" s="1438"/>
      <c r="AC95" s="1438"/>
      <c r="AD95" s="1438"/>
      <c r="AE95" s="1438"/>
      <c r="AF95" s="1438"/>
      <c r="AG95" s="1438"/>
      <c r="AH95" s="1438"/>
      <c r="AI95" s="1438"/>
    </row>
    <row r="96" spans="1:35" s="1268" customFormat="1" ht="24">
      <c r="A96" s="1804" t="s">
        <v>2259</v>
      </c>
      <c r="B96" s="539" t="s">
        <v>495</v>
      </c>
      <c r="C96" s="562">
        <f ca="1">IF(C95&lt;=0,0,C95/C86)</f>
        <v>52.175474602360183</v>
      </c>
      <c r="D96" s="535" t="s">
        <v>330</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6"/>
      <c r="G96" s="1926"/>
      <c r="H96" s="569"/>
      <c r="I96" s="2292"/>
      <c r="J96" s="2141"/>
      <c r="K96" s="2141"/>
      <c r="L96" s="2141"/>
      <c r="M96" s="2141"/>
      <c r="N96" s="2141"/>
      <c r="O96" s="2141"/>
      <c r="P96" s="2141"/>
      <c r="Q96" s="2141"/>
      <c r="R96" s="2141"/>
      <c r="S96" s="2141"/>
      <c r="T96" s="2141"/>
      <c r="U96" s="2141"/>
      <c r="V96" s="2141"/>
      <c r="W96" s="2141"/>
      <c r="X96" s="2141"/>
      <c r="Y96" s="2141"/>
      <c r="Z96" s="2141"/>
      <c r="AA96" s="1438"/>
      <c r="AB96" s="1438"/>
      <c r="AC96" s="1438"/>
      <c r="AD96" s="1438"/>
      <c r="AE96" s="1438"/>
      <c r="AF96" s="1438"/>
      <c r="AG96" s="1438"/>
      <c r="AH96" s="1438"/>
      <c r="AI96" s="1438"/>
    </row>
    <row r="97" spans="1:35" s="1268" customFormat="1" ht="24.75" thickBot="1">
      <c r="A97" s="1805" t="s">
        <v>2260</v>
      </c>
      <c r="B97" s="544" t="s">
        <v>496</v>
      </c>
      <c r="C97" s="563">
        <f ca="1">ROUND(IF(C95&lt;=0,0,IF(C96&gt;=200%,C95*60%-C86*35%,IF(C96&gt;=100%,C95*50%-C86*15%,IF(C96&gt;=50%,C95*40%-C86*5%,IF(C96&lt;50%,C95*30%,0))))),0)</f>
        <v>301659</v>
      </c>
      <c r="D97" s="564" t="s">
        <v>330</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292"/>
      <c r="J97" s="2141"/>
      <c r="K97" s="2141"/>
      <c r="L97" s="2141"/>
      <c r="M97" s="2141"/>
      <c r="N97" s="2141"/>
      <c r="O97" s="2141"/>
      <c r="P97" s="2141"/>
      <c r="Q97" s="2141"/>
      <c r="R97" s="2141"/>
      <c r="S97" s="2141"/>
      <c r="T97" s="2141"/>
      <c r="U97" s="2141"/>
      <c r="V97" s="2141"/>
      <c r="W97" s="2141"/>
      <c r="X97" s="2141"/>
      <c r="Y97" s="2141"/>
      <c r="Z97" s="2141"/>
      <c r="AA97" s="1438"/>
      <c r="AB97" s="1438"/>
      <c r="AC97" s="1438"/>
      <c r="AD97" s="1438"/>
      <c r="AE97" s="1438"/>
      <c r="AF97" s="1438"/>
      <c r="AG97" s="1438"/>
      <c r="AH97" s="1438"/>
      <c r="AI97" s="1438"/>
    </row>
    <row r="98" spans="1:35" ht="21.75" customHeight="1">
      <c r="A98" s="1261"/>
      <c r="B98" s="1246"/>
      <c r="C98" s="1246"/>
      <c r="D98" s="1246"/>
      <c r="E98" s="229"/>
      <c r="F98" s="229"/>
      <c r="G98" s="229"/>
      <c r="H98" s="241"/>
      <c r="I98" s="2284"/>
    </row>
    <row r="99" spans="1:35" ht="21.75" customHeight="1" thickBot="1">
      <c r="A99" s="1255" t="s">
        <v>392</v>
      </c>
      <c r="B99" s="1246"/>
      <c r="C99" s="1246"/>
      <c r="D99" s="1246"/>
      <c r="E99" s="229"/>
      <c r="F99" s="229"/>
      <c r="G99" s="229"/>
      <c r="H99" s="241"/>
      <c r="I99" s="2284"/>
    </row>
    <row r="100" spans="1:35" ht="18.75" customHeight="1">
      <c r="A100" s="3639" t="s">
        <v>393</v>
      </c>
      <c r="B100" s="3640"/>
      <c r="C100" s="3640"/>
      <c r="D100" s="3674"/>
      <c r="E100" s="3640" t="s">
        <v>3313</v>
      </c>
      <c r="F100" s="3640"/>
      <c r="G100" s="3640"/>
      <c r="H100" s="3674"/>
      <c r="I100" s="2284"/>
    </row>
    <row r="101" spans="1:35" ht="18.75" customHeight="1">
      <c r="A101" s="3682" t="s">
        <v>371</v>
      </c>
      <c r="B101" s="3683"/>
      <c r="C101" s="1269" t="str">
        <f>C4</f>
        <v>成本法</v>
      </c>
      <c r="D101" s="1270" t="str">
        <f>D4</f>
        <v>收益法</v>
      </c>
      <c r="E101" s="3651" t="s">
        <v>2266</v>
      </c>
      <c r="F101" s="3652"/>
      <c r="G101" s="1271" t="s">
        <v>373</v>
      </c>
      <c r="H101" s="1991">
        <f ca="1">H118</f>
        <v>544105</v>
      </c>
      <c r="I101" s="2284"/>
    </row>
    <row r="102" spans="1:35" ht="18.75" customHeight="1">
      <c r="A102" s="3684" t="s">
        <v>372</v>
      </c>
      <c r="B102" s="1271" t="s">
        <v>373</v>
      </c>
      <c r="C102" s="1238">
        <f ca="1">C19</f>
        <v>674609</v>
      </c>
      <c r="D102" s="1239">
        <f ca="1">D19</f>
        <v>239596</v>
      </c>
      <c r="E102" s="3651"/>
      <c r="F102" s="3652"/>
      <c r="G102" s="1271" t="s">
        <v>374</v>
      </c>
      <c r="H102" s="714">
        <f ca="1">I118</f>
        <v>10996</v>
      </c>
      <c r="I102" s="2284"/>
    </row>
    <row r="103" spans="1:35" ht="42.75" customHeight="1">
      <c r="A103" s="3684"/>
      <c r="B103" s="1271" t="s">
        <v>374</v>
      </c>
      <c r="C103" s="1240">
        <f ca="1">C20</f>
        <v>13633</v>
      </c>
      <c r="D103" s="1241">
        <f ca="1">D20</f>
        <v>4951</v>
      </c>
      <c r="E103" s="3645" t="s">
        <v>3286</v>
      </c>
      <c r="F103" s="3646"/>
      <c r="G103" s="1272" t="s">
        <v>376</v>
      </c>
      <c r="H103" s="1991">
        <f>IF(D36="正常操作",H104+H105+H106,H105+H106)</f>
        <v>21899</v>
      </c>
      <c r="I103" s="2284"/>
    </row>
    <row r="104" spans="1:35" ht="18.75" customHeight="1">
      <c r="A104" s="3684" t="s">
        <v>375</v>
      </c>
      <c r="B104" s="1273" t="s">
        <v>373</v>
      </c>
      <c r="C104" s="1242">
        <f ca="1">H118</f>
        <v>544105</v>
      </c>
      <c r="D104" s="1243"/>
      <c r="E104" s="13" t="s">
        <v>2265</v>
      </c>
      <c r="F104" s="6"/>
      <c r="G104" s="1272" t="s">
        <v>376</v>
      </c>
      <c r="H104" s="1992">
        <f>IF(D36="同一抵押权人同一抵押物续贷",C36&amp;"（未扣减，详见特别提示）",C36)</f>
        <v>0</v>
      </c>
      <c r="I104" s="2284"/>
    </row>
    <row r="105" spans="1:35" ht="18.75" customHeight="1" thickBot="1">
      <c r="A105" s="3698"/>
      <c r="B105" s="1274" t="s">
        <v>374</v>
      </c>
      <c r="C105" s="1244">
        <f ca="1">I118</f>
        <v>10996</v>
      </c>
      <c r="D105" s="1245"/>
      <c r="E105" s="13" t="s">
        <v>2267</v>
      </c>
      <c r="F105" s="6"/>
      <c r="G105" s="1272" t="s">
        <v>376</v>
      </c>
      <c r="H105" s="1992">
        <f>C37</f>
        <v>0</v>
      </c>
      <c r="I105" s="2284"/>
    </row>
    <row r="106" spans="1:35" ht="18.75" customHeight="1">
      <c r="A106" s="1246" t="s">
        <v>2363</v>
      </c>
      <c r="B106" s="1246"/>
      <c r="C106" s="1246"/>
      <c r="D106" s="1246"/>
      <c r="E106" s="470" t="s">
        <v>2268</v>
      </c>
      <c r="F106" s="6"/>
      <c r="G106" s="1272" t="s">
        <v>376</v>
      </c>
      <c r="H106" s="1992">
        <f>C38</f>
        <v>21899</v>
      </c>
      <c r="I106" s="2284"/>
    </row>
    <row r="107" spans="1:35" ht="18.75" customHeight="1">
      <c r="A107" s="2284"/>
      <c r="B107" s="2284"/>
      <c r="C107" s="2284"/>
      <c r="D107" s="2284"/>
      <c r="E107" s="3686" t="str">
        <f>IF(项目基本情况!E8="已注销","——","3.房地产抵押价值")</f>
        <v>3.房地产抵押价值</v>
      </c>
      <c r="F107" s="3652"/>
      <c r="G107" s="1271" t="s">
        <v>373</v>
      </c>
      <c r="H107" s="1991">
        <f ca="1">IF(E107="——","——",H101-H103)</f>
        <v>522206</v>
      </c>
      <c r="I107" s="2284"/>
    </row>
    <row r="108" spans="1:35" ht="18.75" customHeight="1">
      <c r="A108" s="2284"/>
      <c r="B108" s="2284"/>
      <c r="C108" s="2284"/>
      <c r="D108" s="2284"/>
      <c r="E108" s="3686"/>
      <c r="F108" s="3652"/>
      <c r="G108" s="1271" t="s">
        <v>374</v>
      </c>
      <c r="H108" s="714">
        <f ca="1">ROUND(H107*10000/'数据-汇总表'!E3,0)</f>
        <v>10553</v>
      </c>
      <c r="I108" s="2284"/>
    </row>
    <row r="109" spans="1:35" ht="18.75" customHeight="1">
      <c r="A109" s="2284"/>
      <c r="B109" s="2284"/>
      <c r="C109" s="2284"/>
      <c r="D109" s="2284"/>
      <c r="E109" s="3686" t="str">
        <f>IF(项目基本情况!E8="已注销及未注销","4.抵押担保权已注销时的房地产抵押价值",IF(项目基本情况!E8="已注销","3.抵押担保权已注销时的房地产抵押价值","——"))</f>
        <v>——</v>
      </c>
      <c r="F109" s="3652"/>
      <c r="G109" s="1271" t="s">
        <v>373</v>
      </c>
      <c r="H109" s="688" t="str">
        <f>IF(E109="——","——",H101-H105-H106)</f>
        <v>——</v>
      </c>
      <c r="I109" s="2284"/>
    </row>
    <row r="110" spans="1:35" ht="18.75" customHeight="1">
      <c r="A110" s="2284"/>
      <c r="B110" s="2284"/>
      <c r="C110" s="2284"/>
      <c r="D110" s="2284"/>
      <c r="E110" s="3686"/>
      <c r="F110" s="3652"/>
      <c r="G110" s="1271" t="s">
        <v>374</v>
      </c>
      <c r="H110" s="714" t="str">
        <f>IF(H109="——","——",ROUND(H109*10000/'数据-汇总表'!E3,0))</f>
        <v>——</v>
      </c>
      <c r="I110" s="2284"/>
    </row>
    <row r="111" spans="1:35" ht="18.75" customHeight="1">
      <c r="A111" s="2284"/>
      <c r="B111" s="2284"/>
      <c r="C111" s="2284"/>
      <c r="D111" s="2284"/>
      <c r="E111" s="3687" t="str">
        <f>IF(项目基本情况!E9="抵押净值",IF(OR(项目基本情况!E8="已注销",项目基本情况!E8="房地产抵押价值"),"4.抵押净值","5.抵押净值"),"——")</f>
        <v>——</v>
      </c>
      <c r="F111" s="3688"/>
      <c r="G111" s="1271" t="s">
        <v>373</v>
      </c>
      <c r="H111" s="1991" t="str">
        <f>IF(E111="——","——",N59)</f>
        <v>——</v>
      </c>
      <c r="I111" s="2284"/>
    </row>
    <row r="112" spans="1:35" ht="18.75" customHeight="1" thickBot="1">
      <c r="A112" s="2284"/>
      <c r="B112" s="2284"/>
      <c r="C112" s="2284"/>
      <c r="D112" s="2284"/>
      <c r="E112" s="3689"/>
      <c r="F112" s="3690"/>
      <c r="G112" s="1275" t="s">
        <v>374</v>
      </c>
      <c r="H112" s="1426" t="str">
        <f>IF(E111="——","——",N61)</f>
        <v>——</v>
      </c>
      <c r="I112" s="2284"/>
    </row>
    <row r="113" spans="1:11" ht="18.75" customHeight="1">
      <c r="A113" s="2284"/>
      <c r="B113" s="2284"/>
      <c r="C113" s="2284"/>
      <c r="D113" s="2284"/>
      <c r="E113" s="3699" t="s">
        <v>2363</v>
      </c>
      <c r="F113" s="3699"/>
      <c r="G113" s="3699"/>
      <c r="H113" s="3699"/>
      <c r="I113" s="2284"/>
    </row>
    <row r="114" spans="1:11" ht="3.75" customHeight="1">
      <c r="A114" s="1246"/>
      <c r="B114" s="1246"/>
      <c r="C114" s="1246"/>
      <c r="D114" s="1246"/>
      <c r="E114" s="1261"/>
      <c r="F114" s="1261"/>
      <c r="G114" s="1261"/>
      <c r="H114" s="1261"/>
      <c r="I114" s="1246"/>
    </row>
    <row r="115" spans="1:11" ht="18.75" customHeight="1">
      <c r="A115" s="3712" t="s">
        <v>389</v>
      </c>
      <c r="B115" s="3713"/>
      <c r="C115" s="3713"/>
      <c r="D115" s="3713"/>
      <c r="E115" s="3713"/>
      <c r="F115" s="3713"/>
      <c r="G115" s="3713"/>
      <c r="H115" s="3713"/>
      <c r="I115" s="3714"/>
    </row>
    <row r="116" spans="1:11" ht="27" customHeight="1">
      <c r="A116" s="3610" t="s">
        <v>5</v>
      </c>
      <c r="B116" s="3661" t="s">
        <v>3693</v>
      </c>
      <c r="C116" s="3661" t="s">
        <v>3692</v>
      </c>
      <c r="D116" s="3670" t="s">
        <v>369</v>
      </c>
      <c r="E116" s="3671"/>
      <c r="F116" s="3708" t="s">
        <v>3691</v>
      </c>
      <c r="G116" s="3708"/>
      <c r="H116" s="3610" t="s">
        <v>6</v>
      </c>
      <c r="I116" s="3610"/>
    </row>
    <row r="117" spans="1:11" ht="18.75" customHeight="1">
      <c r="A117" s="3610"/>
      <c r="B117" s="3662"/>
      <c r="C117" s="3662"/>
      <c r="D117" s="1919" t="s">
        <v>7</v>
      </c>
      <c r="E117" s="1919" t="s">
        <v>1014</v>
      </c>
      <c r="F117" s="1919" t="s">
        <v>7</v>
      </c>
      <c r="G117" s="1919" t="s">
        <v>8</v>
      </c>
      <c r="H117" s="1919" t="s">
        <v>7</v>
      </c>
      <c r="I117" s="1919" t="s">
        <v>8</v>
      </c>
    </row>
    <row r="118" spans="1:11" ht="24.75" customHeight="1">
      <c r="A118" s="2038" t="str">
        <f>项目基本情况!S2</f>
        <v>香河香河开发区第一城城内房地产</v>
      </c>
      <c r="B118" s="1924">
        <f>M18</f>
        <v>494831.87</v>
      </c>
      <c r="C118" s="1924">
        <f>M19</f>
        <v>619634</v>
      </c>
      <c r="D118" s="1924">
        <f ca="1">ROUND(IF(D32="总价",C34,E118*B118/10000),0)</f>
        <v>294905</v>
      </c>
      <c r="E118" s="1924">
        <f ca="1">ROUND(IF(C33="自定义",IF(D32="楼面单价",C34,D118*10000/B118),I118-G118),0)</f>
        <v>5960</v>
      </c>
      <c r="F118" s="1924">
        <f ca="1">ROUND(IF(D32="总价",C35,G118*B118/10000),0)</f>
        <v>249200</v>
      </c>
      <c r="G118" s="1924">
        <f ca="1">ROUND(IF(D32="楼面单价",C35,F118*10000/B118),0)</f>
        <v>5036</v>
      </c>
      <c r="H118" s="1924">
        <f ca="1">ROUND(IF(D32="总价",C32,I118*B118/10000),0)</f>
        <v>544105</v>
      </c>
      <c r="I118" s="1924">
        <f ca="1">ROUND(IF(D32="楼面单价",C32,H118*10000/B118),0)</f>
        <v>10996</v>
      </c>
    </row>
    <row r="119" spans="1:11" ht="18.75" customHeight="1">
      <c r="A119" s="3610" t="s">
        <v>9</v>
      </c>
      <c r="B119" s="3610"/>
      <c r="C119" s="3610"/>
      <c r="D119" s="3663" t="str">
        <f ca="1">NUMBERSTRING(INT(D118*10000),2)&amp;"元整"</f>
        <v>贰拾玖亿肆仟玖佰零伍万元整</v>
      </c>
      <c r="E119" s="3664"/>
      <c r="F119" s="3663" t="str">
        <f ca="1">NUMBERSTRING(INT(F118*10000),2)&amp;"元整"</f>
        <v>贰拾肆亿玖仟贰佰万元整</v>
      </c>
      <c r="G119" s="3664"/>
      <c r="H119" s="3663" t="str">
        <f ca="1">NUMBERSTRING(INT(H118*10000),2)&amp;"元整"</f>
        <v>伍拾肆亿肆仟壹佰零伍万元整</v>
      </c>
      <c r="I119" s="3664"/>
    </row>
    <row r="120" spans="1:11" ht="18.75" customHeight="1">
      <c r="A120" s="3665" t="str">
        <f>MID(E103,3,LEN(E103)-2)</f>
        <v>估价师知悉的除抵押担保权以外的法定优先受偿款</v>
      </c>
      <c r="B120" s="3666"/>
      <c r="C120" s="3667"/>
      <c r="D120" s="3658">
        <f>H103</f>
        <v>21899</v>
      </c>
      <c r="E120" s="3659"/>
      <c r="F120" s="3659"/>
      <c r="G120" s="3659"/>
      <c r="H120" s="3659"/>
      <c r="I120" s="3660"/>
      <c r="K120" s="1437" t="str">
        <f>IF(D120=0,"故，本次评估不存在"&amp;A120,"故，本次评估"&amp;A120&amp;"为人民币"&amp;D120&amp;"万元整。")</f>
        <v>故，本次评估估价师知悉的除抵押担保权以外的法定优先受偿款为人民币21899万元整。</v>
      </c>
    </row>
    <row r="121" spans="1:11" ht="18.75" customHeight="1">
      <c r="A121" s="3709" t="s">
        <v>9</v>
      </c>
      <c r="B121" s="3710"/>
      <c r="C121" s="3711"/>
      <c r="D121" s="3663" t="str">
        <f>IF(D120=0,"零元整",NUMBERSTRING(INT(D120*10000),2)&amp;"元整")</f>
        <v>贰亿壹仟捌佰玖拾玖万元整</v>
      </c>
      <c r="E121" s="3668"/>
      <c r="F121" s="3668"/>
      <c r="G121" s="3668"/>
      <c r="H121" s="3668"/>
      <c r="I121" s="3664"/>
    </row>
    <row r="122" spans="1:11" ht="18.75" customHeight="1">
      <c r="A122" s="3672" t="str">
        <f>MID(E107,3,LEN(E107)-2)</f>
        <v>房地产抵押价值</v>
      </c>
      <c r="B122" s="3672"/>
      <c r="C122" s="3672"/>
      <c r="D122" s="3658">
        <f ca="1">H107</f>
        <v>522206</v>
      </c>
      <c r="E122" s="3659"/>
      <c r="F122" s="3659"/>
      <c r="G122" s="3659"/>
      <c r="H122" s="3659"/>
      <c r="I122" s="3660"/>
    </row>
    <row r="123" spans="1:11" ht="18.75" customHeight="1">
      <c r="A123" s="3610" t="s">
        <v>9</v>
      </c>
      <c r="B123" s="3610"/>
      <c r="C123" s="3610"/>
      <c r="D123" s="3663" t="str">
        <f ca="1">NUMBERSTRING(INT(D122*10000),2)&amp;"元整"</f>
        <v>伍拾贰亿贰仟贰佰零陆万元整</v>
      </c>
      <c r="E123" s="3668"/>
      <c r="F123" s="3668"/>
      <c r="G123" s="3668"/>
      <c r="H123" s="3668"/>
      <c r="I123" s="3664"/>
    </row>
    <row r="124" spans="1:11" ht="18.75" customHeight="1">
      <c r="A124" s="3672" t="str">
        <f>MID(E109,3,LEN(E109)-2)</f>
        <v/>
      </c>
      <c r="B124" s="3672"/>
      <c r="C124" s="3672"/>
      <c r="D124" s="3658" t="str">
        <f>H109</f>
        <v>——</v>
      </c>
      <c r="E124" s="3659"/>
      <c r="F124" s="3659"/>
      <c r="G124" s="3659"/>
      <c r="H124" s="3659"/>
      <c r="I124" s="3660"/>
    </row>
    <row r="125" spans="1:11" ht="18.75" customHeight="1">
      <c r="A125" s="3610" t="s">
        <v>9</v>
      </c>
      <c r="B125" s="3610"/>
      <c r="C125" s="3610"/>
      <c r="D125" s="3663" t="e">
        <f>NUMBERSTRING(INT(D124*10000),2)&amp;"元整"</f>
        <v>#VALUE!</v>
      </c>
      <c r="E125" s="3668"/>
      <c r="F125" s="3668"/>
      <c r="G125" s="3668"/>
      <c r="H125" s="3668"/>
      <c r="I125" s="3664"/>
    </row>
    <row r="126" spans="1:11" ht="18.75" customHeight="1">
      <c r="A126" s="3672" t="str">
        <f>MID(E111,3,LEN(E111)-2)</f>
        <v/>
      </c>
      <c r="B126" s="3672"/>
      <c r="C126" s="3672"/>
      <c r="D126" s="3658" t="str">
        <f>H111</f>
        <v>——</v>
      </c>
      <c r="E126" s="3659"/>
      <c r="F126" s="3659"/>
      <c r="G126" s="3659"/>
      <c r="H126" s="3659"/>
      <c r="I126" s="3660"/>
    </row>
    <row r="127" spans="1:11" ht="18.75" customHeight="1">
      <c r="A127" s="3610" t="s">
        <v>9</v>
      </c>
      <c r="B127" s="3610"/>
      <c r="C127" s="3610"/>
      <c r="D127" s="3663" t="e">
        <f>NUMBERSTRING(INT(D126*10000),2)&amp;"元整"</f>
        <v>#VALUE!</v>
      </c>
      <c r="E127" s="3668"/>
      <c r="F127" s="3668"/>
      <c r="G127" s="3668"/>
      <c r="H127" s="3668"/>
      <c r="I127" s="3664"/>
    </row>
    <row r="128" spans="1:11" ht="21.75" customHeight="1">
      <c r="A128" s="3669" t="s">
        <v>2362</v>
      </c>
      <c r="B128" s="3669"/>
      <c r="C128" s="3669"/>
      <c r="D128" s="3669"/>
      <c r="E128" s="3669"/>
      <c r="F128" s="3669"/>
      <c r="G128" s="3669"/>
      <c r="H128" s="3669"/>
      <c r="I128" s="3669"/>
    </row>
    <row r="129" spans="1:35" ht="21.75" customHeight="1">
      <c r="A129" s="2033" t="s">
        <v>1015</v>
      </c>
      <c r="B129" s="2034"/>
      <c r="C129" s="471" t="s">
        <v>240</v>
      </c>
      <c r="D129" s="2035"/>
      <c r="E129" s="2035"/>
      <c r="F129" s="2035"/>
      <c r="G129" s="2035"/>
      <c r="H129" s="2036"/>
      <c r="I129" s="2037"/>
    </row>
    <row r="130" spans="1:35" ht="21.75" customHeight="1">
      <c r="A130" s="1439">
        <v>1</v>
      </c>
      <c r="B130" s="1440"/>
      <c r="C130" s="1440"/>
      <c r="D130" s="1441"/>
      <c r="E130" s="1441"/>
      <c r="F130" s="1441"/>
      <c r="G130" s="1441"/>
      <c r="H130" s="1442"/>
      <c r="I130" s="1443"/>
    </row>
    <row r="131" spans="1:35" ht="21.75" customHeight="1">
      <c r="A131" s="1439">
        <v>2</v>
      </c>
      <c r="B131" s="1440"/>
      <c r="C131" s="1440"/>
      <c r="D131" s="1441"/>
      <c r="E131" s="1441"/>
      <c r="F131" s="1441"/>
      <c r="G131" s="1441"/>
      <c r="H131" s="1442"/>
      <c r="I131" s="1443"/>
    </row>
    <row r="132" spans="1:35" ht="21.75" customHeight="1">
      <c r="A132" s="1439">
        <v>3</v>
      </c>
      <c r="B132" s="1440"/>
      <c r="C132" s="1440"/>
      <c r="D132" s="1441">
        <f ca="1">D118-C38</f>
        <v>273006</v>
      </c>
      <c r="E132" s="1441">
        <f ca="1">ROUND(D132*10000/B118,0)</f>
        <v>5517</v>
      </c>
      <c r="F132" s="1441">
        <f ca="1">F118</f>
        <v>249200</v>
      </c>
      <c r="G132" s="1441">
        <f ca="1">G118</f>
        <v>5036</v>
      </c>
      <c r="H132" s="1442">
        <f ca="1">D132+F132</f>
        <v>522206</v>
      </c>
      <c r="I132" s="1443">
        <f ca="1">E132+G132</f>
        <v>10553</v>
      </c>
    </row>
    <row r="133" spans="1:35" ht="21.75" customHeight="1">
      <c r="A133" s="1444"/>
      <c r="B133" s="1445"/>
      <c r="C133" s="1445"/>
      <c r="D133" s="1446"/>
      <c r="E133" s="1446"/>
      <c r="F133" s="1446"/>
      <c r="G133" s="1446"/>
      <c r="H133" s="1447">
        <f ca="1">H107</f>
        <v>522206</v>
      </c>
      <c r="I133" s="1448">
        <f ca="1">H108</f>
        <v>10553</v>
      </c>
    </row>
    <row r="134" spans="1:35" ht="21.75" customHeight="1">
      <c r="A134" s="1440"/>
      <c r="B134" s="1440"/>
      <c r="C134" s="1440"/>
      <c r="D134" s="3968">
        <f ca="1">D132*10000</f>
        <v>2730060000</v>
      </c>
      <c r="E134" s="1441"/>
      <c r="F134" s="3968">
        <f ca="1">F132*10000</f>
        <v>2492000000</v>
      </c>
      <c r="G134" s="1441"/>
      <c r="H134" s="3968">
        <f ca="1">H132*10000</f>
        <v>5222060000</v>
      </c>
      <c r="I134" s="1449"/>
    </row>
    <row r="135" spans="1:35" ht="21.75" customHeight="1">
      <c r="A135" s="1449"/>
      <c r="B135" s="1449"/>
      <c r="C135" s="1449"/>
      <c r="D135" s="1449"/>
      <c r="E135" s="1449"/>
      <c r="F135" s="1450" t="s">
        <v>1016</v>
      </c>
      <c r="G135" s="1451"/>
      <c r="H135" s="1451"/>
      <c r="I135" s="1452" t="s">
        <v>1017</v>
      </c>
    </row>
    <row r="136" spans="1:35" ht="21.75" customHeight="1">
      <c r="A136" s="1449"/>
      <c r="B136" s="1453" t="s">
        <v>1018</v>
      </c>
      <c r="C136" s="1449"/>
      <c r="D136" s="1449"/>
      <c r="E136" s="1449"/>
      <c r="F136" s="1449"/>
      <c r="G136" s="1449"/>
      <c r="H136" s="1449"/>
      <c r="I136" s="1449"/>
    </row>
    <row r="137" spans="1:35" ht="21.75" customHeight="1">
      <c r="A137" s="1449"/>
      <c r="B137" s="1449"/>
      <c r="C137" s="1449"/>
      <c r="D137" s="1449"/>
      <c r="E137" s="1449"/>
      <c r="F137" s="1449"/>
      <c r="G137" s="1449"/>
      <c r="H137" s="1449"/>
      <c r="I137" s="1449"/>
    </row>
    <row r="138" spans="1:35" ht="21.75" customHeight="1">
      <c r="A138" s="1449"/>
      <c r="B138" s="1451"/>
      <c r="C138" s="1451"/>
      <c r="D138" s="1451"/>
      <c r="E138" s="1451"/>
      <c r="F138" s="1451"/>
      <c r="G138" s="1451"/>
      <c r="H138" s="1451"/>
      <c r="I138" s="1452" t="s">
        <v>1019</v>
      </c>
    </row>
    <row r="139" spans="1:35" ht="21.75" customHeight="1">
      <c r="A139" s="1449"/>
      <c r="B139" s="1453" t="s">
        <v>1020</v>
      </c>
      <c r="C139" s="1449"/>
      <c r="D139" s="1449"/>
      <c r="E139" s="1449"/>
      <c r="F139" s="1449"/>
      <c r="G139" s="1449"/>
      <c r="H139" s="1449"/>
      <c r="I139" s="1449"/>
    </row>
    <row r="140" spans="1:35" ht="21.75" customHeight="1">
      <c r="A140" s="1449"/>
      <c r="B140" s="1453"/>
      <c r="C140" s="1449"/>
      <c r="D140" s="1449"/>
      <c r="E140" s="1449"/>
      <c r="F140" s="1449"/>
      <c r="G140" s="1449"/>
      <c r="H140" s="1449"/>
      <c r="I140" s="1449"/>
    </row>
    <row r="141" spans="1:35" ht="21.75" customHeight="1">
      <c r="A141" s="1449"/>
      <c r="B141" s="1451"/>
      <c r="C141" s="1451"/>
      <c r="D141" s="1451"/>
      <c r="E141" s="1451"/>
      <c r="F141" s="1451"/>
      <c r="G141" s="1451"/>
      <c r="H141" s="1451"/>
      <c r="I141" s="1452" t="s">
        <v>1019</v>
      </c>
    </row>
    <row r="142" spans="1:35" ht="21.75" customHeight="1">
      <c r="A142" s="1449"/>
      <c r="B142" s="1453"/>
      <c r="C142" s="1454"/>
      <c r="D142" s="1455"/>
      <c r="E142" s="1455"/>
      <c r="F142" s="1456"/>
      <c r="G142" s="1449"/>
      <c r="H142" s="1449"/>
      <c r="I142" s="1449"/>
    </row>
    <row r="143" spans="1:35" s="431" customFormat="1" ht="21.75" customHeight="1">
      <c r="A143" s="1449"/>
      <c r="B143" s="1453"/>
      <c r="C143" s="1454"/>
      <c r="D143" s="1455"/>
      <c r="E143" s="1455"/>
      <c r="F143" s="1456"/>
      <c r="G143" s="1449"/>
      <c r="H143" s="1449"/>
      <c r="I143" s="1449"/>
      <c r="J143" s="1449"/>
      <c r="K143" s="1449"/>
      <c r="L143" s="1449"/>
      <c r="M143" s="1449"/>
      <c r="N143" s="1449"/>
      <c r="O143" s="1449"/>
      <c r="P143" s="1449"/>
      <c r="Q143" s="1449"/>
      <c r="R143" s="1449"/>
      <c r="S143" s="1449"/>
      <c r="T143" s="1449"/>
      <c r="U143" s="1449"/>
      <c r="V143" s="1449"/>
      <c r="W143" s="1449"/>
      <c r="X143" s="1449"/>
      <c r="Y143" s="1449"/>
      <c r="Z143" s="1449"/>
      <c r="AA143" s="1449"/>
      <c r="AB143" s="1449"/>
      <c r="AC143" s="1449"/>
      <c r="AD143" s="1449"/>
      <c r="AE143" s="1449"/>
      <c r="AF143" s="1449"/>
      <c r="AG143" s="1449"/>
      <c r="AH143" s="1449"/>
      <c r="AI143" s="1449"/>
    </row>
    <row r="144" spans="1:35" s="431" customFormat="1" ht="21.75" customHeight="1">
      <c r="A144" s="1449"/>
      <c r="B144" s="1449"/>
      <c r="C144" s="1449"/>
      <c r="D144" s="1449"/>
      <c r="E144" s="1449"/>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row>
    <row r="145" spans="1:35" s="431" customFormat="1" ht="21.75" customHeight="1">
      <c r="A145" s="1449"/>
      <c r="B145" s="1449"/>
      <c r="C145" s="1449"/>
      <c r="D145" s="1449"/>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row>
    <row r="146" spans="1:35" s="1449" customFormat="1" ht="21.75" customHeight="1"/>
    <row r="147" spans="1:35" s="1449" customFormat="1" ht="21.75" customHeight="1"/>
    <row r="148" spans="1:35" s="1449" customFormat="1" ht="21.75" customHeight="1"/>
    <row r="149" spans="1:35" s="1449" customFormat="1" ht="21.75" customHeight="1"/>
    <row r="150" spans="1:35" s="1449" customFormat="1" ht="21.75" customHeight="1"/>
    <row r="151" spans="1:35" s="1449" customFormat="1" ht="21.75" customHeight="1"/>
    <row r="152" spans="1:35" s="1449" customFormat="1" ht="21.75" customHeight="1"/>
    <row r="153" spans="1:35" s="1449" customFormat="1" ht="21.75" customHeight="1"/>
    <row r="154" spans="1:35" s="1449" customFormat="1" ht="21.75" customHeight="1"/>
    <row r="155" spans="1:35" s="1449" customFormat="1" ht="21.75" customHeight="1"/>
    <row r="156" spans="1:35" s="1449" customFormat="1" ht="21.75" customHeight="1"/>
    <row r="157" spans="1:35" s="1449" customFormat="1" ht="21.75" customHeight="1"/>
    <row r="158" spans="1:35" s="1449" customFormat="1" ht="21.75" customHeight="1"/>
    <row r="159" spans="1:35" s="1449" customFormat="1" ht="21.75" customHeight="1"/>
    <row r="160" spans="1:35" s="1449" customFormat="1" ht="21.75" customHeight="1"/>
    <row r="161" s="1449" customFormat="1" ht="21.75" customHeight="1"/>
    <row r="162" s="1449" customFormat="1" ht="21.75" customHeight="1"/>
    <row r="163" s="1449" customFormat="1" ht="21.75" customHeight="1"/>
    <row r="164" s="1449" customFormat="1" ht="21.75" customHeight="1"/>
    <row r="165" s="1449" customFormat="1" ht="21.75" customHeight="1"/>
    <row r="166" s="1449" customFormat="1" ht="21.75" customHeight="1"/>
    <row r="167" s="1449" customFormat="1" ht="21.75" customHeight="1"/>
    <row r="168" s="1449" customFormat="1" ht="21.75" customHeight="1"/>
    <row r="169" s="1449" customFormat="1" ht="21.75" customHeight="1"/>
    <row r="170" s="1449" customFormat="1" ht="21.75" customHeight="1"/>
    <row r="171" s="1449" customFormat="1" ht="21.75" customHeight="1"/>
    <row r="172" s="1449" customFormat="1" ht="21.75" customHeight="1"/>
    <row r="173" s="1449" customFormat="1" ht="21.75" customHeight="1"/>
    <row r="174" s="1449" customFormat="1" ht="21.75" customHeight="1"/>
    <row r="175" s="1449" customFormat="1" ht="21.75" customHeight="1"/>
    <row r="176" s="1449" customFormat="1" ht="21.75" customHeight="1"/>
    <row r="177" s="1449" customFormat="1" ht="21.75" customHeight="1"/>
    <row r="178" s="1449" customFormat="1" ht="21.75" customHeight="1"/>
    <row r="179" s="1449" customFormat="1" ht="21.75" customHeight="1"/>
    <row r="180" s="1449" customFormat="1" ht="21.75" customHeight="1"/>
    <row r="181" s="1449" customFormat="1" ht="21.75" customHeight="1"/>
    <row r="182" s="1449" customFormat="1" ht="21.75" customHeight="1"/>
    <row r="183" s="1449" customFormat="1" ht="21.75" customHeight="1"/>
    <row r="184" s="1449" customFormat="1" ht="21.75" customHeight="1"/>
    <row r="185" s="1449" customFormat="1" ht="21.75" customHeight="1"/>
    <row r="186" s="1449" customFormat="1" ht="21.75" customHeight="1"/>
    <row r="187" s="1449" customFormat="1" ht="21.75" customHeight="1"/>
    <row r="188" s="1449" customFormat="1" ht="21.75" customHeight="1"/>
    <row r="189" s="1449" customFormat="1" ht="21.75" customHeight="1"/>
    <row r="190" s="1449" customFormat="1" ht="21.75" customHeight="1"/>
    <row r="191" s="1449" customFormat="1" ht="21.75" customHeight="1"/>
    <row r="192" s="1449" customFormat="1" ht="21.75" customHeight="1"/>
    <row r="193" s="1449" customFormat="1" ht="21.75" customHeight="1"/>
    <row r="194" s="1449" customFormat="1" ht="21.75" customHeight="1"/>
    <row r="195" s="1449" customFormat="1" ht="21.75" customHeight="1"/>
    <row r="196" s="1449" customFormat="1" ht="21.75" customHeight="1"/>
    <row r="197" s="1449" customFormat="1" ht="21.75" customHeight="1"/>
    <row r="198" s="1449" customFormat="1" ht="21.75" customHeight="1"/>
    <row r="199" s="1449" customFormat="1" ht="21.75" customHeight="1"/>
    <row r="200" s="1449" customFormat="1" ht="21.75" customHeight="1"/>
    <row r="201" s="1449" customFormat="1" ht="21.75" customHeight="1"/>
    <row r="202" s="1449" customFormat="1" ht="21.75" customHeight="1"/>
    <row r="203" s="1449" customFormat="1" ht="21.75" customHeight="1"/>
    <row r="204" s="1449" customFormat="1" ht="21.75" customHeight="1"/>
    <row r="205" s="1449" customFormat="1" ht="21.75" customHeight="1"/>
    <row r="206" s="1449" customFormat="1" ht="21.75" customHeight="1"/>
    <row r="207" s="1449" customFormat="1" ht="21.75" customHeight="1"/>
    <row r="208" s="1449" customFormat="1" ht="21.75" customHeight="1"/>
    <row r="209" s="1449" customFormat="1" ht="21.75" customHeight="1"/>
    <row r="210" s="1449" customFormat="1" ht="21.75" customHeight="1"/>
    <row r="211" s="1449" customFormat="1" ht="21.75" customHeight="1"/>
    <row r="212" s="1449" customFormat="1" ht="21.75" customHeight="1"/>
    <row r="213" s="1449" customFormat="1" ht="21.75" customHeight="1"/>
    <row r="214" s="1449" customFormat="1" ht="21.75" customHeight="1"/>
    <row r="215" s="1449" customFormat="1" ht="21.75" customHeight="1"/>
    <row r="216" s="1449" customFormat="1" ht="21.75" customHeight="1"/>
    <row r="217" s="1449" customFormat="1" ht="21.75" customHeight="1"/>
    <row r="218" s="1449" customFormat="1" ht="21.75" customHeight="1"/>
    <row r="219" s="1449" customFormat="1" ht="21.75" customHeight="1"/>
    <row r="220" s="1449" customFormat="1" ht="21.75" customHeight="1"/>
    <row r="221" s="1449" customFormat="1" ht="21.75" customHeight="1"/>
    <row r="222" s="1449" customFormat="1" ht="21.75" customHeight="1"/>
    <row r="223" s="1449" customFormat="1" ht="21.75" customHeight="1"/>
    <row r="224" s="1449" customFormat="1" ht="21.75" customHeight="1"/>
    <row r="225" s="1449" customFormat="1" ht="21.75" customHeight="1"/>
    <row r="226" s="1449" customFormat="1" ht="21.75" customHeight="1"/>
    <row r="227" s="1449" customFormat="1" ht="21.75" customHeight="1"/>
    <row r="228" s="1449" customFormat="1" ht="21.75" customHeight="1"/>
    <row r="229" s="1449" customFormat="1" ht="21.75" customHeight="1"/>
    <row r="230" s="1449" customFormat="1" ht="21.75" customHeight="1"/>
    <row r="231" s="1449" customFormat="1" ht="21.75" customHeight="1"/>
    <row r="232" s="1449" customFormat="1" ht="21.75" customHeight="1"/>
    <row r="233" s="1449" customFormat="1" ht="21.75" customHeight="1"/>
    <row r="234" s="1449" customFormat="1" ht="21.75" customHeight="1"/>
    <row r="235" s="1449" customFormat="1" ht="21.75" customHeight="1"/>
    <row r="236" s="1449" customFormat="1" ht="21.75" customHeight="1"/>
    <row r="237" s="1449" customFormat="1" ht="21.75" customHeight="1"/>
    <row r="238" s="1449" customFormat="1" ht="21.75" customHeight="1"/>
    <row r="239" s="1449" customFormat="1" ht="21.75" customHeight="1"/>
    <row r="240" s="1449" customFormat="1" ht="21.75" customHeight="1"/>
    <row r="241" s="1449" customFormat="1" ht="21.75" customHeight="1"/>
    <row r="242" s="1449" customFormat="1" ht="21.75" customHeight="1"/>
    <row r="243" s="1449" customFormat="1" ht="21.75" customHeight="1"/>
    <row r="244" s="1449" customFormat="1" ht="21.75" customHeight="1"/>
    <row r="245" s="1449" customFormat="1" ht="21.75" customHeight="1"/>
    <row r="246" s="1449" customFormat="1" ht="21.75" customHeight="1"/>
    <row r="247" s="1449" customFormat="1" ht="21.75" customHeight="1"/>
    <row r="248" s="1449" customFormat="1" ht="21.75" customHeight="1"/>
    <row r="249" s="1449" customFormat="1" ht="21.75" customHeight="1"/>
    <row r="250" s="1449" customFormat="1" ht="21.75" customHeight="1"/>
    <row r="251" s="1449" customFormat="1" ht="21.75" customHeight="1"/>
    <row r="252" s="1449" customFormat="1" ht="21.75" customHeight="1"/>
    <row r="253" s="1449" customFormat="1" ht="21.75" customHeight="1"/>
    <row r="254" s="1449" customFormat="1" ht="21.75" customHeight="1"/>
    <row r="255" s="1449" customFormat="1" ht="21.75" customHeight="1"/>
    <row r="256" s="1449" customFormat="1" ht="21.75" customHeight="1"/>
    <row r="257" s="1449" customFormat="1" ht="21.75" customHeight="1"/>
    <row r="258" s="1449" customFormat="1" ht="21.75" customHeight="1"/>
    <row r="259" s="1449" customFormat="1" ht="21.75" customHeight="1"/>
    <row r="260" s="1449" customFormat="1" ht="21.75" customHeight="1"/>
    <row r="261" s="1449" customFormat="1" ht="21.75" customHeight="1"/>
    <row r="262" s="1449" customFormat="1" ht="21.75" customHeight="1"/>
    <row r="263" s="1449" customFormat="1" ht="21.75" customHeight="1"/>
    <row r="264" s="1449" customFormat="1" ht="21.75" customHeight="1"/>
    <row r="265" s="1449" customFormat="1" ht="21.75" customHeight="1"/>
    <row r="266" s="1449" customFormat="1" ht="21.75" customHeight="1"/>
    <row r="267" s="1449" customFormat="1" ht="21.75" customHeight="1"/>
    <row r="268" s="1449" customFormat="1" ht="21.75" customHeight="1"/>
    <row r="269" s="1449" customFormat="1" ht="21.75" customHeight="1"/>
    <row r="270" s="1449" customFormat="1" ht="21.75" customHeight="1"/>
    <row r="271" s="1449" customFormat="1" ht="21.75" customHeight="1"/>
    <row r="272" s="1449" customFormat="1" ht="21.75" customHeight="1"/>
    <row r="273" s="1449" customFormat="1" ht="21.75" customHeight="1"/>
    <row r="274" s="1449" customFormat="1" ht="21.75" customHeight="1"/>
    <row r="275" s="1449" customFormat="1" ht="21.75" customHeight="1"/>
    <row r="276" s="1449" customFormat="1" ht="21.75" customHeight="1"/>
    <row r="277" s="1449" customFormat="1" ht="21.75" customHeight="1"/>
    <row r="278" s="1449" customFormat="1" ht="21.75" customHeight="1"/>
    <row r="279" s="1449" customFormat="1" ht="21.75" customHeight="1"/>
    <row r="280" s="1449" customFormat="1" ht="21.75" customHeight="1"/>
    <row r="281" s="1449" customFormat="1" ht="21.75" customHeight="1"/>
    <row r="282" s="1449" customFormat="1" ht="21.75" customHeight="1"/>
    <row r="283" s="1449" customFormat="1" ht="21.75" customHeight="1"/>
    <row r="284" s="1449" customFormat="1" ht="21.75" customHeight="1"/>
    <row r="285" s="1449" customFormat="1" ht="21.75" customHeight="1"/>
    <row r="286" s="1449" customFormat="1" ht="21.75" customHeight="1"/>
    <row r="287" s="1449" customFormat="1" ht="21.75" customHeight="1"/>
    <row r="288" s="1449" customFormat="1" ht="21.75" customHeight="1"/>
    <row r="289" s="1449" customFormat="1" ht="21.75" customHeight="1"/>
    <row r="290" s="1449" customFormat="1" ht="21.75" customHeight="1"/>
    <row r="291" s="1449" customFormat="1" ht="21.75" customHeight="1"/>
    <row r="292" s="1449" customFormat="1" ht="21.75" customHeight="1"/>
    <row r="293" s="1449" customFormat="1" ht="21.75" customHeight="1"/>
    <row r="294" s="1449" customFormat="1" ht="21.75" customHeight="1"/>
    <row r="295" s="1449" customFormat="1" ht="21.75" customHeight="1"/>
    <row r="296" s="1449" customFormat="1" ht="21.75" customHeight="1"/>
    <row r="297" s="1449" customFormat="1" ht="21.75" customHeight="1"/>
    <row r="298" s="1449" customFormat="1" ht="21.75" customHeight="1"/>
    <row r="299" s="1449" customFormat="1" ht="21.75" customHeight="1"/>
    <row r="300" s="1449" customFormat="1" ht="21.75" customHeight="1"/>
    <row r="301" s="1449" customFormat="1" ht="21.75" customHeight="1"/>
    <row r="302" s="1449" customFormat="1" ht="21.75" customHeight="1"/>
    <row r="303" s="1449" customFormat="1" ht="21.75" customHeight="1"/>
    <row r="304" s="1449" customFormat="1" ht="21.75" customHeight="1"/>
    <row r="305" s="1449" customFormat="1" ht="21.75" customHeight="1"/>
    <row r="306" s="1449" customFormat="1" ht="21.75" customHeight="1"/>
    <row r="307" s="1449" customFormat="1" ht="21.75" customHeight="1"/>
    <row r="308" s="1449" customFormat="1" ht="21.75" customHeight="1"/>
    <row r="309" s="1449" customFormat="1" ht="21.75" customHeight="1"/>
    <row r="310" s="1449" customFormat="1" ht="21.75" customHeight="1"/>
    <row r="311" s="1449" customFormat="1" ht="21.75" customHeight="1"/>
    <row r="312" s="1449" customFormat="1" ht="21.75" customHeight="1"/>
    <row r="313" s="1449" customFormat="1" ht="21.75" customHeight="1"/>
    <row r="314" s="1449" customFormat="1" ht="21.75" customHeight="1"/>
    <row r="315" s="1449" customFormat="1" ht="21.75" customHeight="1"/>
    <row r="316" s="1449" customFormat="1" ht="21.75" customHeight="1"/>
    <row r="317" s="1449" customFormat="1" ht="21.75" customHeight="1"/>
    <row r="318" s="1449" customFormat="1" ht="21.75" customHeight="1"/>
    <row r="319" s="1449" customFormat="1" ht="21.75" customHeight="1"/>
    <row r="320" s="1449" customFormat="1" ht="21.75" customHeight="1"/>
    <row r="321" s="1449" customFormat="1" ht="21.75" customHeight="1"/>
    <row r="322" s="1449" customFormat="1" ht="21.75" customHeight="1"/>
    <row r="323" s="1449" customFormat="1" ht="21.75" customHeight="1"/>
    <row r="324" s="1449" customFormat="1" ht="21.75" customHeight="1"/>
    <row r="325" s="1449" customFormat="1" ht="21.75" customHeight="1"/>
    <row r="326" s="1449" customFormat="1" ht="21.75" customHeight="1"/>
    <row r="327" s="1449" customFormat="1" ht="21.75" customHeight="1"/>
    <row r="328" s="1449" customFormat="1" ht="21.75" customHeight="1"/>
    <row r="329" s="1449" customFormat="1" ht="21.75" customHeight="1"/>
    <row r="330" s="1449" customFormat="1" ht="21.75" customHeight="1"/>
    <row r="331" s="1449" customFormat="1" ht="21.75" customHeight="1"/>
    <row r="332" s="1449" customFormat="1" ht="21.75" customHeight="1"/>
    <row r="333" s="1449" customFormat="1" ht="21.75" customHeight="1"/>
    <row r="334" s="1449" customFormat="1" ht="21.75" customHeight="1"/>
    <row r="335" s="1449" customFormat="1" ht="21.75" customHeight="1"/>
    <row r="336" s="1449" customFormat="1" ht="21.75" customHeight="1"/>
    <row r="337" s="1449" customFormat="1" ht="21.75" customHeight="1"/>
    <row r="338" s="1449" customFormat="1" ht="21.75" customHeight="1"/>
    <row r="339" s="1449" customFormat="1" ht="21.75" customHeight="1"/>
    <row r="340" s="1449" customFormat="1" ht="21.75" customHeight="1"/>
    <row r="341" s="1449" customFormat="1" ht="21.75" customHeight="1"/>
    <row r="342" s="1449" customFormat="1" ht="21.75" customHeight="1"/>
    <row r="343" s="1449" customFormat="1" ht="21.75" customHeight="1"/>
    <row r="344" s="1449" customFormat="1" ht="21.75" customHeight="1"/>
    <row r="345" s="1449" customFormat="1" ht="21.75" customHeight="1"/>
    <row r="346" s="1449" customFormat="1" ht="21.75" customHeight="1"/>
    <row r="347" s="1449" customFormat="1" ht="21.75" customHeight="1"/>
    <row r="348" s="1449" customFormat="1" ht="21.75" customHeight="1"/>
    <row r="349" s="1449" customFormat="1" ht="21.75" customHeight="1"/>
    <row r="350" s="1449" customFormat="1" ht="21.75" customHeight="1"/>
    <row r="351" s="1449" customFormat="1" ht="21.75" customHeight="1"/>
    <row r="352" s="1449" customFormat="1" ht="21.75" customHeight="1"/>
    <row r="353" s="1449" customFormat="1" ht="21.75" customHeight="1"/>
    <row r="354" s="1449" customFormat="1" ht="21.75" customHeight="1"/>
    <row r="355" s="1449" customFormat="1" ht="21.75" customHeight="1"/>
    <row r="356" s="1449" customFormat="1" ht="21.75" customHeight="1"/>
    <row r="357" s="1449" customFormat="1" ht="21.75" customHeight="1"/>
    <row r="358" s="1449" customFormat="1" ht="21.75" customHeight="1"/>
    <row r="359" s="1449" customFormat="1" ht="21.75" customHeight="1"/>
    <row r="360" s="1449" customFormat="1" ht="21.75" customHeight="1"/>
    <row r="361" s="1449" customFormat="1" ht="21.75" customHeight="1"/>
    <row r="362" s="1449" customFormat="1" ht="21.75" customHeight="1"/>
    <row r="363" s="1449" customFormat="1" ht="21.75" customHeight="1"/>
    <row r="364" s="1449" customFormat="1" ht="21.75" customHeight="1"/>
    <row r="365" s="1449" customFormat="1" ht="21.75" customHeight="1"/>
    <row r="366" s="1449" customFormat="1" ht="21.75" customHeight="1"/>
    <row r="367" s="1449" customFormat="1" ht="21.75" customHeight="1"/>
    <row r="368" s="1449" customFormat="1" ht="21.75" customHeight="1"/>
    <row r="369" s="1449" customFormat="1" ht="21.75" customHeight="1"/>
    <row r="370" s="1449" customFormat="1" ht="21.75" customHeight="1"/>
    <row r="371" s="1449" customFormat="1" ht="21.75" customHeight="1"/>
    <row r="372" s="1449" customFormat="1" ht="21.75" customHeight="1"/>
    <row r="373" s="1449" customFormat="1" ht="21.75" customHeight="1"/>
    <row r="374" s="1449" customFormat="1" ht="21.75" customHeight="1"/>
    <row r="375" s="1449" customFormat="1" ht="21.75" customHeight="1"/>
    <row r="376" s="1449" customFormat="1" ht="21.75" customHeight="1"/>
    <row r="377" s="1449" customFormat="1" ht="21.75" customHeight="1"/>
    <row r="378" s="1449" customFormat="1" ht="21.75" customHeight="1"/>
    <row r="379" s="1449" customFormat="1" ht="21.75" customHeight="1"/>
    <row r="380" s="1449" customFormat="1" ht="21.75" customHeight="1"/>
    <row r="381" s="1449" customFormat="1" ht="21.75" customHeight="1"/>
    <row r="382" s="1449" customFormat="1" ht="21.75" customHeight="1"/>
    <row r="383" s="1449" customFormat="1" ht="21.75" customHeight="1"/>
    <row r="384" s="1449" customFormat="1" ht="21.75" customHeight="1"/>
    <row r="385" s="1449" customFormat="1" ht="21.75" customHeight="1"/>
    <row r="386" s="1449" customFormat="1" ht="21.75" customHeight="1"/>
    <row r="387" s="1449" customFormat="1" ht="21.75" customHeight="1"/>
    <row r="388" s="1449" customFormat="1" ht="21.75" customHeight="1"/>
    <row r="389" s="1449" customFormat="1" ht="21.75" customHeight="1"/>
    <row r="390" s="1449" customFormat="1" ht="21.75" customHeight="1"/>
    <row r="391" s="1449" customFormat="1" ht="21.75" customHeight="1"/>
    <row r="392" s="1449" customFormat="1" ht="21.75" customHeight="1"/>
    <row r="393" s="1449" customFormat="1" ht="21.75" customHeight="1"/>
    <row r="394" s="1449" customFormat="1" ht="21.75" customHeight="1"/>
    <row r="395" s="1449" customFormat="1" ht="21.75" customHeight="1"/>
    <row r="396" s="1449" customFormat="1" ht="21.75" customHeight="1"/>
    <row r="397" s="1449" customFormat="1" ht="21.75" customHeight="1"/>
    <row r="398" s="1449" customFormat="1" ht="21.75" customHeight="1"/>
    <row r="399" s="1449" customFormat="1" ht="21.75" customHeight="1"/>
    <row r="400" s="1449" customFormat="1" ht="21.75" customHeight="1"/>
    <row r="401" spans="10:26" s="1449" customFormat="1" ht="21.75" customHeight="1"/>
    <row r="402" spans="10:26" s="1449" customFormat="1" ht="21.75" customHeight="1"/>
    <row r="403" spans="10:26" s="1449" customFormat="1" ht="21.75" customHeight="1"/>
    <row r="404" spans="10:26" s="1449" customFormat="1" ht="21.75" customHeight="1"/>
    <row r="405" spans="10:26" s="1449" customFormat="1" ht="21.75" customHeight="1"/>
    <row r="406" spans="10:26" s="1449" customFormat="1" ht="21.75" customHeight="1"/>
    <row r="407" spans="10:26" s="1449" customFormat="1" ht="21.75" customHeight="1"/>
    <row r="408" spans="10:26" s="1449" customFormat="1" ht="21.75" customHeight="1"/>
    <row r="409" spans="10:26" s="1437" customFormat="1" ht="21.75" customHeight="1">
      <c r="J409" s="1449"/>
      <c r="K409" s="1449"/>
      <c r="L409" s="1449"/>
      <c r="M409" s="1449"/>
      <c r="N409" s="1449"/>
      <c r="O409" s="1449"/>
      <c r="P409" s="1449"/>
      <c r="Q409" s="1449"/>
      <c r="R409" s="1449"/>
      <c r="S409" s="1449"/>
      <c r="T409" s="1449"/>
      <c r="U409" s="1449"/>
      <c r="V409" s="1449"/>
      <c r="W409" s="1449"/>
      <c r="X409" s="1449"/>
      <c r="Y409" s="1449"/>
      <c r="Z409" s="1449"/>
    </row>
    <row r="410" spans="10:26" s="1437" customFormat="1" ht="21.75" customHeight="1">
      <c r="J410" s="1449"/>
      <c r="K410" s="1449"/>
      <c r="L410" s="1449"/>
      <c r="M410" s="1449"/>
      <c r="N410" s="1449"/>
      <c r="O410" s="1449"/>
      <c r="P410" s="1449"/>
      <c r="Q410" s="1449"/>
      <c r="R410" s="1449"/>
      <c r="S410" s="1449"/>
      <c r="T410" s="1449"/>
      <c r="U410" s="1449"/>
      <c r="V410" s="1449"/>
      <c r="W410" s="1449"/>
      <c r="X410" s="1449"/>
      <c r="Y410" s="1449"/>
      <c r="Z410" s="1449"/>
    </row>
    <row r="411" spans="10:26" s="1437" customFormat="1" ht="21.75" customHeight="1">
      <c r="J411" s="1449"/>
      <c r="K411" s="1449"/>
      <c r="L411" s="1449"/>
      <c r="M411" s="1449"/>
      <c r="N411" s="1449"/>
      <c r="O411" s="1449"/>
      <c r="P411" s="1449"/>
      <c r="Q411" s="1449"/>
      <c r="R411" s="1449"/>
      <c r="S411" s="1449"/>
      <c r="T411" s="1449"/>
      <c r="U411" s="1449"/>
      <c r="V411" s="1449"/>
      <c r="W411" s="1449"/>
      <c r="X411" s="1449"/>
      <c r="Y411" s="1449"/>
      <c r="Z411" s="1449"/>
    </row>
    <row r="412" spans="10:26" s="1437" customFormat="1" ht="21.75" customHeight="1">
      <c r="J412" s="1449"/>
      <c r="K412" s="1449"/>
      <c r="L412" s="1449"/>
      <c r="M412" s="1449"/>
      <c r="N412" s="1449"/>
      <c r="O412" s="1449"/>
      <c r="P412" s="1449"/>
      <c r="Q412" s="1449"/>
      <c r="R412" s="1449"/>
      <c r="S412" s="1449"/>
      <c r="T412" s="1449"/>
      <c r="U412" s="1449"/>
      <c r="V412" s="1449"/>
      <c r="W412" s="1449"/>
      <c r="X412" s="1449"/>
      <c r="Y412" s="1449"/>
      <c r="Z412" s="1449"/>
    </row>
    <row r="413" spans="10:26" s="1437" customFormat="1" ht="21.75" customHeight="1">
      <c r="J413" s="1449"/>
      <c r="K413" s="1449"/>
      <c r="L413" s="1449"/>
      <c r="M413" s="1449"/>
      <c r="N413" s="1449"/>
      <c r="O413" s="1449"/>
      <c r="P413" s="1449"/>
      <c r="Q413" s="1449"/>
      <c r="R413" s="1449"/>
      <c r="S413" s="1449"/>
      <c r="T413" s="1449"/>
      <c r="U413" s="1449"/>
      <c r="V413" s="1449"/>
      <c r="W413" s="1449"/>
      <c r="X413" s="1449"/>
      <c r="Y413" s="1449"/>
      <c r="Z413" s="1449"/>
    </row>
    <row r="414" spans="10:26" s="1437" customFormat="1" ht="21.75" customHeight="1">
      <c r="J414" s="1449"/>
      <c r="K414" s="1449"/>
      <c r="L414" s="1449"/>
      <c r="M414" s="1449"/>
      <c r="N414" s="1449"/>
      <c r="O414" s="1449"/>
      <c r="P414" s="1449"/>
      <c r="Q414" s="1449"/>
      <c r="R414" s="1449"/>
      <c r="S414" s="1449"/>
      <c r="T414" s="1449"/>
      <c r="U414" s="1449"/>
      <c r="V414" s="1449"/>
      <c r="W414" s="1449"/>
      <c r="X414" s="1449"/>
      <c r="Y414" s="1449"/>
      <c r="Z414" s="1449"/>
    </row>
    <row r="415" spans="10:26" s="1437" customFormat="1" ht="21.75" customHeight="1">
      <c r="J415" s="1449"/>
      <c r="K415" s="1449"/>
      <c r="L415" s="1449"/>
      <c r="M415" s="1449"/>
      <c r="N415" s="1449"/>
      <c r="O415" s="1449"/>
      <c r="P415" s="1449"/>
      <c r="Q415" s="1449"/>
      <c r="R415" s="1449"/>
      <c r="S415" s="1449"/>
      <c r="T415" s="1449"/>
      <c r="U415" s="1449"/>
      <c r="V415" s="1449"/>
      <c r="W415" s="1449"/>
      <c r="X415" s="1449"/>
      <c r="Y415" s="1449"/>
      <c r="Z415" s="1449"/>
    </row>
    <row r="416" spans="10:26" s="1437" customFormat="1" ht="21.75" customHeight="1">
      <c r="J416" s="1449"/>
      <c r="K416" s="1449"/>
      <c r="L416" s="1449"/>
      <c r="M416" s="1449"/>
      <c r="N416" s="1449"/>
      <c r="O416" s="1449"/>
      <c r="P416" s="1449"/>
      <c r="Q416" s="1449"/>
      <c r="R416" s="1449"/>
      <c r="S416" s="1449"/>
      <c r="T416" s="1449"/>
      <c r="U416" s="1449"/>
      <c r="V416" s="1449"/>
      <c r="W416" s="1449"/>
      <c r="X416" s="1449"/>
      <c r="Y416" s="1449"/>
      <c r="Z416" s="1449"/>
    </row>
    <row r="417" spans="10:26" s="1437" customFormat="1" ht="21.75" customHeight="1">
      <c r="J417" s="1449"/>
      <c r="K417" s="1449"/>
      <c r="L417" s="1449"/>
      <c r="M417" s="1449"/>
      <c r="N417" s="1449"/>
      <c r="O417" s="1449"/>
      <c r="P417" s="1449"/>
      <c r="Q417" s="1449"/>
      <c r="R417" s="1449"/>
      <c r="S417" s="1449"/>
      <c r="T417" s="1449"/>
      <c r="U417" s="1449"/>
      <c r="V417" s="1449"/>
      <c r="W417" s="1449"/>
      <c r="X417" s="1449"/>
      <c r="Y417" s="1449"/>
      <c r="Z417" s="1449"/>
    </row>
    <row r="418" spans="10:26" s="1437" customFormat="1" ht="21.75" customHeight="1">
      <c r="J418" s="1449"/>
      <c r="K418" s="1449"/>
      <c r="L418" s="1449"/>
      <c r="M418" s="1449"/>
      <c r="N418" s="1449"/>
      <c r="O418" s="1449"/>
      <c r="P418" s="1449"/>
      <c r="Q418" s="1449"/>
      <c r="R418" s="1449"/>
      <c r="S418" s="1449"/>
      <c r="T418" s="1449"/>
      <c r="U418" s="1449"/>
      <c r="V418" s="1449"/>
      <c r="W418" s="1449"/>
      <c r="X418" s="1449"/>
      <c r="Y418" s="1449"/>
      <c r="Z418" s="1449"/>
    </row>
    <row r="419" spans="10:26" s="1437" customFormat="1" ht="21.75" customHeight="1">
      <c r="J419" s="1449"/>
      <c r="K419" s="1449"/>
      <c r="L419" s="1449"/>
      <c r="M419" s="1449"/>
      <c r="N419" s="1449"/>
      <c r="O419" s="1449"/>
      <c r="P419" s="1449"/>
      <c r="Q419" s="1449"/>
      <c r="R419" s="1449"/>
      <c r="S419" s="1449"/>
      <c r="T419" s="1449"/>
      <c r="U419" s="1449"/>
      <c r="V419" s="1449"/>
      <c r="W419" s="1449"/>
      <c r="X419" s="1449"/>
      <c r="Y419" s="1449"/>
      <c r="Z419" s="1449"/>
    </row>
    <row r="420" spans="10:26" s="1437" customFormat="1" ht="21.75" customHeight="1">
      <c r="J420" s="1449"/>
      <c r="K420" s="1449"/>
      <c r="L420" s="1449"/>
      <c r="M420" s="1449"/>
      <c r="N420" s="1449"/>
      <c r="O420" s="1449"/>
      <c r="P420" s="1449"/>
      <c r="Q420" s="1449"/>
      <c r="R420" s="1449"/>
      <c r="S420" s="1449"/>
      <c r="T420" s="1449"/>
      <c r="U420" s="1449"/>
      <c r="V420" s="1449"/>
      <c r="W420" s="1449"/>
      <c r="X420" s="1449"/>
      <c r="Y420" s="1449"/>
      <c r="Z420" s="1449"/>
    </row>
    <row r="421" spans="10:26" s="1437" customFormat="1" ht="21.75" customHeight="1">
      <c r="J421" s="1449"/>
      <c r="K421" s="1449"/>
      <c r="L421" s="1449"/>
      <c r="M421" s="1449"/>
      <c r="N421" s="1449"/>
      <c r="O421" s="1449"/>
      <c r="P421" s="1449"/>
      <c r="Q421" s="1449"/>
      <c r="R421" s="1449"/>
      <c r="S421" s="1449"/>
      <c r="T421" s="1449"/>
      <c r="U421" s="1449"/>
      <c r="V421" s="1449"/>
      <c r="W421" s="1449"/>
      <c r="X421" s="1449"/>
      <c r="Y421" s="1449"/>
      <c r="Z421" s="1449"/>
    </row>
    <row r="422" spans="10:26" s="1437" customFormat="1" ht="21.75" customHeight="1">
      <c r="J422" s="1449"/>
      <c r="K422" s="1449"/>
      <c r="L422" s="1449"/>
      <c r="M422" s="1449"/>
      <c r="N422" s="1449"/>
      <c r="O422" s="1449"/>
      <c r="P422" s="1449"/>
      <c r="Q422" s="1449"/>
      <c r="R422" s="1449"/>
      <c r="S422" s="1449"/>
      <c r="T422" s="1449"/>
      <c r="U422" s="1449"/>
      <c r="V422" s="1449"/>
      <c r="W422" s="1449"/>
      <c r="X422" s="1449"/>
      <c r="Y422" s="1449"/>
      <c r="Z422" s="1449"/>
    </row>
    <row r="423" spans="10:26" s="1437" customFormat="1" ht="21.75" customHeight="1">
      <c r="J423" s="1449"/>
      <c r="K423" s="1449"/>
      <c r="L423" s="1449"/>
      <c r="M423" s="1449"/>
      <c r="N423" s="1449"/>
      <c r="O423" s="1449"/>
      <c r="P423" s="1449"/>
      <c r="Q423" s="1449"/>
      <c r="R423" s="1449"/>
      <c r="S423" s="1449"/>
      <c r="T423" s="1449"/>
      <c r="U423" s="1449"/>
      <c r="V423" s="1449"/>
      <c r="W423" s="1449"/>
      <c r="X423" s="1449"/>
      <c r="Y423" s="1449"/>
      <c r="Z423" s="1449"/>
    </row>
    <row r="424" spans="10:26" s="1437" customFormat="1" ht="21.75" customHeight="1">
      <c r="J424" s="1449"/>
      <c r="K424" s="1449"/>
      <c r="L424" s="1449"/>
      <c r="M424" s="1449"/>
      <c r="N424" s="1449"/>
      <c r="O424" s="1449"/>
      <c r="P424" s="1449"/>
      <c r="Q424" s="1449"/>
      <c r="R424" s="1449"/>
      <c r="S424" s="1449"/>
      <c r="T424" s="1449"/>
      <c r="U424" s="1449"/>
      <c r="V424" s="1449"/>
      <c r="W424" s="1449"/>
      <c r="X424" s="1449"/>
      <c r="Y424" s="1449"/>
      <c r="Z424" s="1449"/>
    </row>
    <row r="425" spans="10:26" s="1437" customFormat="1" ht="21.75" customHeight="1">
      <c r="J425" s="1449"/>
      <c r="K425" s="1449"/>
      <c r="L425" s="1449"/>
      <c r="M425" s="1449"/>
      <c r="N425" s="1449"/>
      <c r="O425" s="1449"/>
      <c r="P425" s="1449"/>
      <c r="Q425" s="1449"/>
      <c r="R425" s="1449"/>
      <c r="S425" s="1449"/>
      <c r="T425" s="1449"/>
      <c r="U425" s="1449"/>
      <c r="V425" s="1449"/>
      <c r="W425" s="1449"/>
      <c r="X425" s="1449"/>
      <c r="Y425" s="1449"/>
      <c r="Z425" s="1449"/>
    </row>
    <row r="426" spans="10:26" s="1437" customFormat="1" ht="21.75" customHeight="1">
      <c r="J426" s="1449"/>
      <c r="K426" s="1449"/>
      <c r="L426" s="1449"/>
      <c r="M426" s="1449"/>
      <c r="N426" s="1449"/>
      <c r="O426" s="1449"/>
      <c r="P426" s="1449"/>
      <c r="Q426" s="1449"/>
      <c r="R426" s="1449"/>
      <c r="S426" s="1449"/>
      <c r="T426" s="1449"/>
      <c r="U426" s="1449"/>
      <c r="V426" s="1449"/>
      <c r="W426" s="1449"/>
      <c r="X426" s="1449"/>
      <c r="Y426" s="1449"/>
      <c r="Z426" s="1449"/>
    </row>
    <row r="427" spans="10:26" s="1437" customFormat="1" ht="21.75" customHeight="1">
      <c r="J427" s="1449"/>
      <c r="K427" s="1449"/>
      <c r="L427" s="1449"/>
      <c r="M427" s="1449"/>
      <c r="N427" s="1449"/>
      <c r="O427" s="1449"/>
      <c r="P427" s="1449"/>
      <c r="Q427" s="1449"/>
      <c r="R427" s="1449"/>
      <c r="S427" s="1449"/>
      <c r="T427" s="1449"/>
      <c r="U427" s="1449"/>
      <c r="V427" s="1449"/>
      <c r="W427" s="1449"/>
      <c r="X427" s="1449"/>
      <c r="Y427" s="1449"/>
      <c r="Z427" s="1449"/>
    </row>
    <row r="428" spans="10:26" s="1437" customFormat="1" ht="21.75" customHeight="1">
      <c r="J428" s="1449"/>
      <c r="K428" s="1449"/>
      <c r="L428" s="1449"/>
      <c r="M428" s="1449"/>
      <c r="N428" s="1449"/>
      <c r="O428" s="1449"/>
      <c r="P428" s="1449"/>
      <c r="Q428" s="1449"/>
      <c r="R428" s="1449"/>
      <c r="S428" s="1449"/>
      <c r="T428" s="1449"/>
      <c r="U428" s="1449"/>
      <c r="V428" s="1449"/>
      <c r="W428" s="1449"/>
      <c r="X428" s="1449"/>
      <c r="Y428" s="1449"/>
      <c r="Z428" s="1449"/>
    </row>
    <row r="429" spans="10:26" s="1437" customFormat="1" ht="21.75" customHeight="1">
      <c r="J429" s="1449"/>
      <c r="K429" s="1449"/>
      <c r="L429" s="1449"/>
      <c r="M429" s="1449"/>
      <c r="N429" s="1449"/>
      <c r="O429" s="1449"/>
      <c r="P429" s="1449"/>
      <c r="Q429" s="1449"/>
      <c r="R429" s="1449"/>
      <c r="S429" s="1449"/>
      <c r="T429" s="1449"/>
      <c r="U429" s="1449"/>
      <c r="V429" s="1449"/>
      <c r="W429" s="1449"/>
      <c r="X429" s="1449"/>
      <c r="Y429" s="1449"/>
      <c r="Z429" s="1449"/>
    </row>
    <row r="430" spans="10:26" s="1437" customFormat="1" ht="21.75" customHeight="1">
      <c r="J430" s="1449"/>
      <c r="K430" s="1449"/>
      <c r="L430" s="1449"/>
      <c r="M430" s="1449"/>
      <c r="N430" s="1449"/>
      <c r="O430" s="1449"/>
      <c r="P430" s="1449"/>
      <c r="Q430" s="1449"/>
      <c r="R430" s="1449"/>
      <c r="S430" s="1449"/>
      <c r="T430" s="1449"/>
      <c r="U430" s="1449"/>
      <c r="V430" s="1449"/>
      <c r="W430" s="1449"/>
      <c r="X430" s="1449"/>
      <c r="Y430" s="1449"/>
      <c r="Z430" s="1449"/>
    </row>
    <row r="431" spans="10:26" s="1437" customFormat="1" ht="21.75" customHeight="1">
      <c r="J431" s="1449"/>
      <c r="K431" s="1449"/>
      <c r="L431" s="1449"/>
      <c r="M431" s="1449"/>
      <c r="N431" s="1449"/>
      <c r="O431" s="1449"/>
      <c r="P431" s="1449"/>
      <c r="Q431" s="1449"/>
      <c r="R431" s="1449"/>
      <c r="S431" s="1449"/>
      <c r="T431" s="1449"/>
      <c r="U431" s="1449"/>
      <c r="V431" s="1449"/>
      <c r="W431" s="1449"/>
      <c r="X431" s="1449"/>
      <c r="Y431" s="1449"/>
      <c r="Z431" s="1449"/>
    </row>
    <row r="432" spans="10:26" s="1437" customFormat="1" ht="21.75" customHeight="1">
      <c r="J432" s="1449"/>
      <c r="K432" s="1449"/>
      <c r="L432" s="1449"/>
      <c r="M432" s="1449"/>
      <c r="N432" s="1449"/>
      <c r="O432" s="1449"/>
      <c r="P432" s="1449"/>
      <c r="Q432" s="1449"/>
      <c r="R432" s="1449"/>
      <c r="S432" s="1449"/>
      <c r="T432" s="1449"/>
      <c r="U432" s="1449"/>
      <c r="V432" s="1449"/>
      <c r="W432" s="1449"/>
      <c r="X432" s="1449"/>
      <c r="Y432" s="1449"/>
      <c r="Z432" s="1449"/>
    </row>
    <row r="433" spans="10:26" s="1437" customFormat="1" ht="21.75" customHeight="1">
      <c r="J433" s="1449"/>
      <c r="K433" s="1449"/>
      <c r="L433" s="1449"/>
      <c r="M433" s="1449"/>
      <c r="N433" s="1449"/>
      <c r="O433" s="1449"/>
      <c r="P433" s="1449"/>
      <c r="Q433" s="1449"/>
      <c r="R433" s="1449"/>
      <c r="S433" s="1449"/>
      <c r="T433" s="1449"/>
      <c r="U433" s="1449"/>
      <c r="V433" s="1449"/>
      <c r="W433" s="1449"/>
      <c r="X433" s="1449"/>
      <c r="Y433" s="1449"/>
      <c r="Z433" s="1449"/>
    </row>
    <row r="434" spans="10:26" s="1437" customFormat="1" ht="21.75" customHeight="1">
      <c r="J434" s="1449"/>
      <c r="K434" s="1449"/>
      <c r="L434" s="1449"/>
      <c r="M434" s="1449"/>
      <c r="N434" s="1449"/>
      <c r="O434" s="1449"/>
      <c r="P434" s="1449"/>
      <c r="Q434" s="1449"/>
      <c r="R434" s="1449"/>
      <c r="S434" s="1449"/>
      <c r="T434" s="1449"/>
      <c r="U434" s="1449"/>
      <c r="V434" s="1449"/>
      <c r="W434" s="1449"/>
      <c r="X434" s="1449"/>
      <c r="Y434" s="1449"/>
      <c r="Z434" s="1449"/>
    </row>
    <row r="435" spans="10:26" s="1437" customFormat="1" ht="21.75" customHeight="1">
      <c r="J435" s="1449"/>
      <c r="K435" s="1449"/>
      <c r="L435" s="1449"/>
      <c r="M435" s="1449"/>
      <c r="N435" s="1449"/>
      <c r="O435" s="1449"/>
      <c r="P435" s="1449"/>
      <c r="Q435" s="1449"/>
      <c r="R435" s="1449"/>
      <c r="S435" s="1449"/>
      <c r="T435" s="1449"/>
      <c r="U435" s="1449"/>
      <c r="V435" s="1449"/>
      <c r="W435" s="1449"/>
      <c r="X435" s="1449"/>
      <c r="Y435" s="1449"/>
      <c r="Z435" s="1449"/>
    </row>
    <row r="436" spans="10:26" s="1437" customFormat="1" ht="21.75" customHeight="1">
      <c r="J436" s="1449"/>
      <c r="K436" s="1449"/>
      <c r="L436" s="1449"/>
      <c r="M436" s="1449"/>
      <c r="N436" s="1449"/>
      <c r="O436" s="1449"/>
      <c r="P436" s="1449"/>
      <c r="Q436" s="1449"/>
      <c r="R436" s="1449"/>
      <c r="S436" s="1449"/>
      <c r="T436" s="1449"/>
      <c r="U436" s="1449"/>
      <c r="V436" s="1449"/>
      <c r="W436" s="1449"/>
      <c r="X436" s="1449"/>
      <c r="Y436" s="1449"/>
      <c r="Z436" s="1449"/>
    </row>
    <row r="437" spans="10:26" s="1437" customFormat="1" ht="21.75" customHeight="1">
      <c r="J437" s="1449"/>
      <c r="K437" s="1449"/>
      <c r="L437" s="1449"/>
      <c r="M437" s="1449"/>
      <c r="N437" s="1449"/>
      <c r="O437" s="1449"/>
      <c r="P437" s="1449"/>
      <c r="Q437" s="1449"/>
      <c r="R437" s="1449"/>
      <c r="S437" s="1449"/>
      <c r="T437" s="1449"/>
      <c r="U437" s="1449"/>
      <c r="V437" s="1449"/>
      <c r="W437" s="1449"/>
      <c r="X437" s="1449"/>
      <c r="Y437" s="1449"/>
      <c r="Z437" s="1449"/>
    </row>
    <row r="438" spans="10:26" s="1437" customFormat="1" ht="21.75" customHeight="1">
      <c r="J438" s="1449"/>
      <c r="K438" s="1449"/>
      <c r="L438" s="1449"/>
      <c r="M438" s="1449"/>
      <c r="N438" s="1449"/>
      <c r="O438" s="1449"/>
      <c r="P438" s="1449"/>
      <c r="Q438" s="1449"/>
      <c r="R438" s="1449"/>
      <c r="S438" s="1449"/>
      <c r="T438" s="1449"/>
      <c r="U438" s="1449"/>
      <c r="V438" s="1449"/>
      <c r="W438" s="1449"/>
      <c r="X438" s="1449"/>
      <c r="Y438" s="1449"/>
      <c r="Z438" s="1449"/>
    </row>
    <row r="439" spans="10:26" s="1437" customFormat="1" ht="21.75" customHeight="1">
      <c r="J439" s="1449"/>
      <c r="K439" s="1449"/>
      <c r="L439" s="1449"/>
      <c r="M439" s="1449"/>
      <c r="N439" s="1449"/>
      <c r="O439" s="1449"/>
      <c r="P439" s="1449"/>
      <c r="Q439" s="1449"/>
      <c r="R439" s="1449"/>
      <c r="S439" s="1449"/>
      <c r="T439" s="1449"/>
      <c r="U439" s="1449"/>
      <c r="V439" s="1449"/>
      <c r="W439" s="1449"/>
      <c r="X439" s="1449"/>
      <c r="Y439" s="1449"/>
      <c r="Z439" s="1449"/>
    </row>
    <row r="440" spans="10:26" s="1437" customFormat="1" ht="21.75" customHeight="1">
      <c r="J440" s="1449"/>
      <c r="K440" s="1449"/>
      <c r="L440" s="1449"/>
      <c r="M440" s="1449"/>
      <c r="N440" s="1449"/>
      <c r="O440" s="1449"/>
      <c r="P440" s="1449"/>
      <c r="Q440" s="1449"/>
      <c r="R440" s="1449"/>
      <c r="S440" s="1449"/>
      <c r="T440" s="1449"/>
      <c r="U440" s="1449"/>
      <c r="V440" s="1449"/>
      <c r="W440" s="1449"/>
      <c r="X440" s="1449"/>
      <c r="Y440" s="1449"/>
      <c r="Z440" s="1449"/>
    </row>
    <row r="441" spans="10:26" s="1437" customFormat="1" ht="21.75" customHeight="1">
      <c r="J441" s="1449"/>
      <c r="K441" s="1449"/>
      <c r="L441" s="1449"/>
      <c r="M441" s="1449"/>
      <c r="N441" s="1449"/>
      <c r="O441" s="1449"/>
      <c r="P441" s="1449"/>
      <c r="Q441" s="1449"/>
      <c r="R441" s="1449"/>
      <c r="S441" s="1449"/>
      <c r="T441" s="1449"/>
      <c r="U441" s="1449"/>
      <c r="V441" s="1449"/>
      <c r="W441" s="1449"/>
      <c r="X441" s="1449"/>
      <c r="Y441" s="1449"/>
      <c r="Z441" s="1449"/>
    </row>
    <row r="442" spans="10:26" s="1437" customFormat="1" ht="21.75" customHeight="1">
      <c r="J442" s="1449"/>
      <c r="K442" s="1449"/>
      <c r="L442" s="1449"/>
      <c r="M442" s="1449"/>
      <c r="N442" s="1449"/>
      <c r="O442" s="1449"/>
      <c r="P442" s="1449"/>
      <c r="Q442" s="1449"/>
      <c r="R442" s="1449"/>
      <c r="S442" s="1449"/>
      <c r="T442" s="1449"/>
      <c r="U442" s="1449"/>
      <c r="V442" s="1449"/>
      <c r="W442" s="1449"/>
      <c r="X442" s="1449"/>
      <c r="Y442" s="1449"/>
      <c r="Z442" s="1449"/>
    </row>
    <row r="443" spans="10:26" s="1437" customFormat="1" ht="21.75" customHeight="1">
      <c r="J443" s="1449"/>
      <c r="K443" s="1449"/>
      <c r="L443" s="1449"/>
      <c r="M443" s="1449"/>
      <c r="N443" s="1449"/>
      <c r="O443" s="1449"/>
      <c r="P443" s="1449"/>
      <c r="Q443" s="1449"/>
      <c r="R443" s="1449"/>
      <c r="S443" s="1449"/>
      <c r="T443" s="1449"/>
      <c r="U443" s="1449"/>
      <c r="V443" s="1449"/>
      <c r="W443" s="1449"/>
      <c r="X443" s="1449"/>
      <c r="Y443" s="1449"/>
      <c r="Z443" s="1449"/>
    </row>
    <row r="444" spans="10:26" s="1437" customFormat="1" ht="21.75" customHeight="1">
      <c r="J444" s="1449"/>
      <c r="K444" s="1449"/>
      <c r="L444" s="1449"/>
      <c r="M444" s="1449"/>
      <c r="N444" s="1449"/>
      <c r="O444" s="1449"/>
      <c r="P444" s="1449"/>
      <c r="Q444" s="1449"/>
      <c r="R444" s="1449"/>
      <c r="S444" s="1449"/>
      <c r="T444" s="1449"/>
      <c r="U444" s="1449"/>
      <c r="V444" s="1449"/>
      <c r="W444" s="1449"/>
      <c r="X444" s="1449"/>
      <c r="Y444" s="1449"/>
      <c r="Z444" s="1449"/>
    </row>
    <row r="445" spans="10:26" s="1437" customFormat="1" ht="21.75" customHeight="1">
      <c r="J445" s="1449"/>
      <c r="K445" s="1449"/>
      <c r="L445" s="1449"/>
      <c r="M445" s="1449"/>
      <c r="N445" s="1449"/>
      <c r="O445" s="1449"/>
      <c r="P445" s="1449"/>
      <c r="Q445" s="1449"/>
      <c r="R445" s="1449"/>
      <c r="S445" s="1449"/>
      <c r="T445" s="1449"/>
      <c r="U445" s="1449"/>
      <c r="V445" s="1449"/>
      <c r="W445" s="1449"/>
      <c r="X445" s="1449"/>
      <c r="Y445" s="1449"/>
      <c r="Z445" s="1449"/>
    </row>
    <row r="446" spans="10:26" s="1437" customFormat="1" ht="21.75" customHeight="1">
      <c r="J446" s="1449"/>
      <c r="K446" s="1449"/>
      <c r="L446" s="1449"/>
      <c r="M446" s="1449"/>
      <c r="N446" s="1449"/>
      <c r="O446" s="1449"/>
      <c r="P446" s="1449"/>
      <c r="Q446" s="1449"/>
      <c r="R446" s="1449"/>
      <c r="S446" s="1449"/>
      <c r="T446" s="1449"/>
      <c r="U446" s="1449"/>
      <c r="V446" s="1449"/>
      <c r="W446" s="1449"/>
      <c r="X446" s="1449"/>
      <c r="Y446" s="1449"/>
      <c r="Z446" s="1449"/>
    </row>
    <row r="447" spans="10:26" s="1437" customFormat="1" ht="21.75" customHeight="1">
      <c r="J447" s="1449"/>
      <c r="K447" s="1449"/>
      <c r="L447" s="1449"/>
      <c r="M447" s="1449"/>
      <c r="N447" s="1449"/>
      <c r="O447" s="1449"/>
      <c r="P447" s="1449"/>
      <c r="Q447" s="1449"/>
      <c r="R447" s="1449"/>
      <c r="S447" s="1449"/>
      <c r="T447" s="1449"/>
      <c r="U447" s="1449"/>
      <c r="V447" s="1449"/>
      <c r="W447" s="1449"/>
      <c r="X447" s="1449"/>
      <c r="Y447" s="1449"/>
      <c r="Z447" s="1449"/>
    </row>
    <row r="448" spans="10:26" s="1437" customFormat="1" ht="21.75" customHeight="1">
      <c r="J448" s="1449"/>
      <c r="K448" s="1449"/>
      <c r="L448" s="1449"/>
      <c r="M448" s="1449"/>
      <c r="N448" s="1449"/>
      <c r="O448" s="1449"/>
      <c r="P448" s="1449"/>
      <c r="Q448" s="1449"/>
      <c r="R448" s="1449"/>
      <c r="S448" s="1449"/>
      <c r="T448" s="1449"/>
      <c r="U448" s="1449"/>
      <c r="V448" s="1449"/>
      <c r="W448" s="1449"/>
      <c r="X448" s="1449"/>
      <c r="Y448" s="1449"/>
      <c r="Z448" s="1449"/>
    </row>
    <row r="449" spans="10:26" s="1437" customFormat="1" ht="21.75" customHeight="1">
      <c r="J449" s="1449"/>
      <c r="K449" s="1449"/>
      <c r="L449" s="1449"/>
      <c r="M449" s="1449"/>
      <c r="N449" s="1449"/>
      <c r="O449" s="1449"/>
      <c r="P449" s="1449"/>
      <c r="Q449" s="1449"/>
      <c r="R449" s="1449"/>
      <c r="S449" s="1449"/>
      <c r="T449" s="1449"/>
      <c r="U449" s="1449"/>
      <c r="V449" s="1449"/>
      <c r="W449" s="1449"/>
      <c r="X449" s="1449"/>
      <c r="Y449" s="1449"/>
      <c r="Z449" s="1449"/>
    </row>
    <row r="450" spans="10:26" s="1437" customFormat="1" ht="21.75" customHeight="1">
      <c r="J450" s="1449"/>
      <c r="K450" s="1449"/>
      <c r="L450" s="1449"/>
      <c r="M450" s="1449"/>
      <c r="N450" s="1449"/>
      <c r="O450" s="1449"/>
      <c r="P450" s="1449"/>
      <c r="Q450" s="1449"/>
      <c r="R450" s="1449"/>
      <c r="S450" s="1449"/>
      <c r="T450" s="1449"/>
      <c r="U450" s="1449"/>
      <c r="V450" s="1449"/>
      <c r="W450" s="1449"/>
      <c r="X450" s="1449"/>
      <c r="Y450" s="1449"/>
      <c r="Z450" s="1449"/>
    </row>
    <row r="451" spans="10:26" s="1437" customFormat="1" ht="21.75" customHeight="1">
      <c r="J451" s="1449"/>
      <c r="K451" s="1449"/>
      <c r="L451" s="1449"/>
      <c r="M451" s="1449"/>
      <c r="N451" s="1449"/>
      <c r="O451" s="1449"/>
      <c r="P451" s="1449"/>
      <c r="Q451" s="1449"/>
      <c r="R451" s="1449"/>
      <c r="S451" s="1449"/>
      <c r="T451" s="1449"/>
      <c r="U451" s="1449"/>
      <c r="V451" s="1449"/>
      <c r="W451" s="1449"/>
      <c r="X451" s="1449"/>
      <c r="Y451" s="1449"/>
      <c r="Z451" s="1449"/>
    </row>
    <row r="452" spans="10:26" s="1437" customFormat="1" ht="21.75" customHeight="1">
      <c r="J452" s="1449"/>
      <c r="K452" s="1449"/>
      <c r="L452" s="1449"/>
      <c r="M452" s="1449"/>
      <c r="N452" s="1449"/>
      <c r="O452" s="1449"/>
      <c r="P452" s="1449"/>
      <c r="Q452" s="1449"/>
      <c r="R452" s="1449"/>
      <c r="S452" s="1449"/>
      <c r="T452" s="1449"/>
      <c r="U452" s="1449"/>
      <c r="V452" s="1449"/>
      <c r="W452" s="1449"/>
      <c r="X452" s="1449"/>
      <c r="Y452" s="1449"/>
      <c r="Z452" s="1449"/>
    </row>
    <row r="453" spans="10:26" s="1437" customFormat="1" ht="21.75" customHeight="1">
      <c r="J453" s="1449"/>
      <c r="K453" s="1449"/>
      <c r="L453" s="1449"/>
      <c r="M453" s="1449"/>
      <c r="N453" s="1449"/>
      <c r="O453" s="1449"/>
      <c r="P453" s="1449"/>
      <c r="Q453" s="1449"/>
      <c r="R453" s="1449"/>
      <c r="S453" s="1449"/>
      <c r="T453" s="1449"/>
      <c r="U453" s="1449"/>
      <c r="V453" s="1449"/>
      <c r="W453" s="1449"/>
      <c r="X453" s="1449"/>
      <c r="Y453" s="1449"/>
      <c r="Z453" s="1449"/>
    </row>
    <row r="454" spans="10:26" s="1437" customFormat="1" ht="21.75" customHeight="1">
      <c r="J454" s="1449"/>
      <c r="K454" s="1449"/>
      <c r="L454" s="1449"/>
      <c r="M454" s="1449"/>
      <c r="N454" s="1449"/>
      <c r="O454" s="1449"/>
      <c r="P454" s="1449"/>
      <c r="Q454" s="1449"/>
      <c r="R454" s="1449"/>
      <c r="S454" s="1449"/>
      <c r="T454" s="1449"/>
      <c r="U454" s="1449"/>
      <c r="V454" s="1449"/>
      <c r="W454" s="1449"/>
      <c r="X454" s="1449"/>
      <c r="Y454" s="1449"/>
      <c r="Z454" s="1449"/>
    </row>
    <row r="455" spans="10:26" s="1437" customFormat="1" ht="21.75" customHeight="1">
      <c r="J455" s="1449"/>
      <c r="K455" s="1449"/>
      <c r="L455" s="1449"/>
      <c r="M455" s="1449"/>
      <c r="N455" s="1449"/>
      <c r="O455" s="1449"/>
      <c r="P455" s="1449"/>
      <c r="Q455" s="1449"/>
      <c r="R455" s="1449"/>
      <c r="S455" s="1449"/>
      <c r="T455" s="1449"/>
      <c r="U455" s="1449"/>
      <c r="V455" s="1449"/>
      <c r="W455" s="1449"/>
      <c r="X455" s="1449"/>
      <c r="Y455" s="1449"/>
      <c r="Z455" s="1449"/>
    </row>
    <row r="456" spans="10:26" s="1437" customFormat="1" ht="21.75" customHeight="1">
      <c r="J456" s="1449"/>
      <c r="K456" s="1449"/>
      <c r="L456" s="1449"/>
      <c r="M456" s="1449"/>
      <c r="N456" s="1449"/>
      <c r="O456" s="1449"/>
      <c r="P456" s="1449"/>
      <c r="Q456" s="1449"/>
      <c r="R456" s="1449"/>
      <c r="S456" s="1449"/>
      <c r="T456" s="1449"/>
      <c r="U456" s="1449"/>
      <c r="V456" s="1449"/>
      <c r="W456" s="1449"/>
      <c r="X456" s="1449"/>
      <c r="Y456" s="1449"/>
      <c r="Z456" s="1449"/>
    </row>
    <row r="457" spans="10:26" s="1437" customFormat="1" ht="21.75" customHeight="1">
      <c r="J457" s="1449"/>
      <c r="K457" s="1449"/>
      <c r="L457" s="1449"/>
      <c r="M457" s="1449"/>
      <c r="N457" s="1449"/>
      <c r="O457" s="1449"/>
      <c r="P457" s="1449"/>
      <c r="Q457" s="1449"/>
      <c r="R457" s="1449"/>
      <c r="S457" s="1449"/>
      <c r="T457" s="1449"/>
      <c r="U457" s="1449"/>
      <c r="V457" s="1449"/>
      <c r="W457" s="1449"/>
      <c r="X457" s="1449"/>
      <c r="Y457" s="1449"/>
      <c r="Z457" s="1449"/>
    </row>
    <row r="458" spans="10:26" s="1437" customFormat="1" ht="21.75" customHeight="1">
      <c r="J458" s="1449"/>
      <c r="K458" s="1449"/>
      <c r="L458" s="1449"/>
      <c r="M458" s="1449"/>
      <c r="N458" s="1449"/>
      <c r="O458" s="1449"/>
      <c r="P458" s="1449"/>
      <c r="Q458" s="1449"/>
      <c r="R458" s="1449"/>
      <c r="S458" s="1449"/>
      <c r="T458" s="1449"/>
      <c r="U458" s="1449"/>
      <c r="V458" s="1449"/>
      <c r="W458" s="1449"/>
      <c r="X458" s="1449"/>
      <c r="Y458" s="1449"/>
      <c r="Z458" s="1449"/>
    </row>
    <row r="459" spans="10:26" s="1437" customFormat="1" ht="21.75" customHeight="1">
      <c r="J459" s="1449"/>
      <c r="K459" s="1449"/>
      <c r="L459" s="1449"/>
      <c r="M459" s="1449"/>
      <c r="N459" s="1449"/>
      <c r="O459" s="1449"/>
      <c r="P459" s="1449"/>
      <c r="Q459" s="1449"/>
      <c r="R459" s="1449"/>
      <c r="S459" s="1449"/>
      <c r="T459" s="1449"/>
      <c r="U459" s="1449"/>
      <c r="V459" s="1449"/>
      <c r="W459" s="1449"/>
      <c r="X459" s="1449"/>
      <c r="Y459" s="1449"/>
      <c r="Z459" s="1449"/>
    </row>
    <row r="460" spans="10:26" s="1437" customFormat="1" ht="21.75" customHeight="1">
      <c r="J460" s="1449"/>
      <c r="K460" s="1449"/>
      <c r="L460" s="1449"/>
      <c r="M460" s="1449"/>
      <c r="N460" s="1449"/>
      <c r="O460" s="1449"/>
      <c r="P460" s="1449"/>
      <c r="Q460" s="1449"/>
      <c r="R460" s="1449"/>
      <c r="S460" s="1449"/>
      <c r="T460" s="1449"/>
      <c r="U460" s="1449"/>
      <c r="V460" s="1449"/>
      <c r="W460" s="1449"/>
      <c r="X460" s="1449"/>
      <c r="Y460" s="1449"/>
      <c r="Z460" s="1449"/>
    </row>
    <row r="461" spans="10:26" s="1437" customFormat="1" ht="21.75" customHeight="1">
      <c r="J461" s="1449"/>
      <c r="K461" s="1449"/>
      <c r="L461" s="1449"/>
      <c r="M461" s="1449"/>
      <c r="N461" s="1449"/>
      <c r="O461" s="1449"/>
      <c r="P461" s="1449"/>
      <c r="Q461" s="1449"/>
      <c r="R461" s="1449"/>
      <c r="S461" s="1449"/>
      <c r="T461" s="1449"/>
      <c r="U461" s="1449"/>
      <c r="V461" s="1449"/>
      <c r="W461" s="1449"/>
      <c r="X461" s="1449"/>
      <c r="Y461" s="1449"/>
      <c r="Z461" s="1449"/>
    </row>
    <row r="462" spans="10:26" s="1437" customFormat="1" ht="21.75" customHeight="1">
      <c r="J462" s="1449"/>
      <c r="K462" s="1449"/>
      <c r="L462" s="1449"/>
      <c r="M462" s="1449"/>
      <c r="N462" s="1449"/>
      <c r="O462" s="1449"/>
      <c r="P462" s="1449"/>
      <c r="Q462" s="1449"/>
      <c r="R462" s="1449"/>
      <c r="S462" s="1449"/>
      <c r="T462" s="1449"/>
      <c r="U462" s="1449"/>
      <c r="V462" s="1449"/>
      <c r="W462" s="1449"/>
      <c r="X462" s="1449"/>
      <c r="Y462" s="1449"/>
      <c r="Z462" s="1449"/>
    </row>
    <row r="463" spans="10:26" s="1437" customFormat="1" ht="21.75" customHeight="1">
      <c r="J463" s="1449"/>
      <c r="K463" s="1449"/>
      <c r="L463" s="1449"/>
      <c r="M463" s="1449"/>
      <c r="N463" s="1449"/>
      <c r="O463" s="1449"/>
      <c r="P463" s="1449"/>
      <c r="Q463" s="1449"/>
      <c r="R463" s="1449"/>
      <c r="S463" s="1449"/>
      <c r="T463" s="1449"/>
      <c r="U463" s="1449"/>
      <c r="V463" s="1449"/>
      <c r="W463" s="1449"/>
      <c r="X463" s="1449"/>
      <c r="Y463" s="1449"/>
      <c r="Z463" s="1449"/>
    </row>
    <row r="464" spans="10:26" s="1437" customFormat="1" ht="21.75" customHeight="1">
      <c r="J464" s="1449"/>
      <c r="K464" s="1449"/>
      <c r="L464" s="1449"/>
      <c r="M464" s="1449"/>
      <c r="N464" s="1449"/>
      <c r="O464" s="1449"/>
      <c r="P464" s="1449"/>
      <c r="Q464" s="1449"/>
      <c r="R464" s="1449"/>
      <c r="S464" s="1449"/>
      <c r="T464" s="1449"/>
      <c r="U464" s="1449"/>
      <c r="V464" s="1449"/>
      <c r="W464" s="1449"/>
      <c r="X464" s="1449"/>
      <c r="Y464" s="1449"/>
      <c r="Z464" s="1449"/>
    </row>
    <row r="465" spans="10:26" s="1437" customFormat="1" ht="21.75" customHeight="1">
      <c r="J465" s="1449"/>
      <c r="K465" s="1449"/>
      <c r="L465" s="1449"/>
      <c r="M465" s="1449"/>
      <c r="N465" s="1449"/>
      <c r="O465" s="1449"/>
      <c r="P465" s="1449"/>
      <c r="Q465" s="1449"/>
      <c r="R465" s="1449"/>
      <c r="S465" s="1449"/>
      <c r="T465" s="1449"/>
      <c r="U465" s="1449"/>
      <c r="V465" s="1449"/>
      <c r="W465" s="1449"/>
      <c r="X465" s="1449"/>
      <c r="Y465" s="1449"/>
      <c r="Z465" s="1449"/>
    </row>
    <row r="466" spans="10:26" s="1437" customFormat="1" ht="21.75" customHeight="1">
      <c r="J466" s="1449"/>
      <c r="K466" s="1449"/>
      <c r="L466" s="1449"/>
      <c r="M466" s="1449"/>
      <c r="N466" s="1449"/>
      <c r="O466" s="1449"/>
      <c r="P466" s="1449"/>
      <c r="Q466" s="1449"/>
      <c r="R466" s="1449"/>
      <c r="S466" s="1449"/>
      <c r="T466" s="1449"/>
      <c r="U466" s="1449"/>
      <c r="V466" s="1449"/>
      <c r="W466" s="1449"/>
      <c r="X466" s="1449"/>
      <c r="Y466" s="1449"/>
      <c r="Z466" s="1449"/>
    </row>
    <row r="467" spans="10:26" s="1437" customFormat="1" ht="21.75" customHeight="1">
      <c r="J467" s="1449"/>
      <c r="K467" s="1449"/>
      <c r="L467" s="1449"/>
      <c r="M467" s="1449"/>
      <c r="N467" s="1449"/>
      <c r="O467" s="1449"/>
      <c r="P467" s="1449"/>
      <c r="Q467" s="1449"/>
      <c r="R467" s="1449"/>
      <c r="S467" s="1449"/>
      <c r="T467" s="1449"/>
      <c r="U467" s="1449"/>
      <c r="V467" s="1449"/>
      <c r="W467" s="1449"/>
      <c r="X467" s="1449"/>
      <c r="Y467" s="1449"/>
      <c r="Z467" s="1449"/>
    </row>
    <row r="468" spans="10:26" s="1437" customFormat="1" ht="21.75" customHeight="1">
      <c r="J468" s="1449"/>
      <c r="K468" s="1449"/>
      <c r="L468" s="1449"/>
      <c r="M468" s="1449"/>
      <c r="N468" s="1449"/>
      <c r="O468" s="1449"/>
      <c r="P468" s="1449"/>
      <c r="Q468" s="1449"/>
      <c r="R468" s="1449"/>
      <c r="S468" s="1449"/>
      <c r="T468" s="1449"/>
      <c r="U468" s="1449"/>
      <c r="V468" s="1449"/>
      <c r="W468" s="1449"/>
      <c r="X468" s="1449"/>
      <c r="Y468" s="1449"/>
      <c r="Z468" s="1449"/>
    </row>
    <row r="469" spans="10:26" s="1437" customFormat="1" ht="21.75" customHeight="1">
      <c r="J469" s="1449"/>
      <c r="K469" s="1449"/>
      <c r="L469" s="1449"/>
      <c r="M469" s="1449"/>
      <c r="N469" s="1449"/>
      <c r="O469" s="1449"/>
      <c r="P469" s="1449"/>
      <c r="Q469" s="1449"/>
      <c r="R469" s="1449"/>
      <c r="S469" s="1449"/>
      <c r="T469" s="1449"/>
      <c r="U469" s="1449"/>
      <c r="V469" s="1449"/>
      <c r="W469" s="1449"/>
      <c r="X469" s="1449"/>
      <c r="Y469" s="1449"/>
      <c r="Z469" s="1449"/>
    </row>
    <row r="470" spans="10:26" s="1437" customFormat="1" ht="21.75" customHeight="1">
      <c r="J470" s="1449"/>
      <c r="K470" s="1449"/>
      <c r="L470" s="1449"/>
      <c r="M470" s="1449"/>
      <c r="N470" s="1449"/>
      <c r="O470" s="1449"/>
      <c r="P470" s="1449"/>
      <c r="Q470" s="1449"/>
      <c r="R470" s="1449"/>
      <c r="S470" s="1449"/>
      <c r="T470" s="1449"/>
      <c r="U470" s="1449"/>
      <c r="V470" s="1449"/>
      <c r="W470" s="1449"/>
      <c r="X470" s="1449"/>
      <c r="Y470" s="1449"/>
      <c r="Z470" s="1449"/>
    </row>
    <row r="471" spans="10:26" s="1437" customFormat="1" ht="21.75" customHeight="1">
      <c r="J471" s="1449"/>
      <c r="K471" s="1449"/>
      <c r="L471" s="1449"/>
      <c r="M471" s="1449"/>
      <c r="N471" s="1449"/>
      <c r="O471" s="1449"/>
      <c r="P471" s="1449"/>
      <c r="Q471" s="1449"/>
      <c r="R471" s="1449"/>
      <c r="S471" s="1449"/>
      <c r="T471" s="1449"/>
      <c r="U471" s="1449"/>
      <c r="V471" s="1449"/>
      <c r="W471" s="1449"/>
      <c r="X471" s="1449"/>
      <c r="Y471" s="1449"/>
      <c r="Z471" s="1449"/>
    </row>
    <row r="472" spans="10:26" s="1437" customFormat="1" ht="21.75" customHeight="1">
      <c r="J472" s="1449"/>
      <c r="K472" s="1449"/>
      <c r="L472" s="1449"/>
      <c r="M472" s="1449"/>
      <c r="N472" s="1449"/>
      <c r="O472" s="1449"/>
      <c r="P472" s="1449"/>
      <c r="Q472" s="1449"/>
      <c r="R472" s="1449"/>
      <c r="S472" s="1449"/>
      <c r="T472" s="1449"/>
      <c r="U472" s="1449"/>
      <c r="V472" s="1449"/>
      <c r="W472" s="1449"/>
      <c r="X472" s="1449"/>
      <c r="Y472" s="1449"/>
      <c r="Z472" s="1449"/>
    </row>
    <row r="473" spans="10:26" s="1437" customFormat="1" ht="21.75" customHeight="1">
      <c r="J473" s="1449"/>
      <c r="K473" s="1449"/>
      <c r="L473" s="1449"/>
      <c r="M473" s="1449"/>
      <c r="N473" s="1449"/>
      <c r="O473" s="1449"/>
      <c r="P473" s="1449"/>
      <c r="Q473" s="1449"/>
      <c r="R473" s="1449"/>
      <c r="S473" s="1449"/>
      <c r="T473" s="1449"/>
      <c r="U473" s="1449"/>
      <c r="V473" s="1449"/>
      <c r="W473" s="1449"/>
      <c r="X473" s="1449"/>
      <c r="Y473" s="1449"/>
      <c r="Z473" s="1449"/>
    </row>
    <row r="474" spans="10:26" s="1437" customFormat="1" ht="21.75" customHeight="1">
      <c r="J474" s="1449"/>
      <c r="K474" s="1449"/>
      <c r="L474" s="1449"/>
      <c r="M474" s="1449"/>
      <c r="N474" s="1449"/>
      <c r="O474" s="1449"/>
      <c r="P474" s="1449"/>
      <c r="Q474" s="1449"/>
      <c r="R474" s="1449"/>
      <c r="S474" s="1449"/>
      <c r="T474" s="1449"/>
      <c r="U474" s="1449"/>
      <c r="V474" s="1449"/>
      <c r="W474" s="1449"/>
      <c r="X474" s="1449"/>
      <c r="Y474" s="1449"/>
      <c r="Z474" s="1449"/>
    </row>
    <row r="475" spans="10:26" s="1437" customFormat="1" ht="21.75" customHeight="1">
      <c r="J475" s="1449"/>
      <c r="K475" s="1449"/>
      <c r="L475" s="1449"/>
      <c r="M475" s="1449"/>
      <c r="N475" s="1449"/>
      <c r="O475" s="1449"/>
      <c r="P475" s="1449"/>
      <c r="Q475" s="1449"/>
      <c r="R475" s="1449"/>
      <c r="S475" s="1449"/>
      <c r="T475" s="1449"/>
      <c r="U475" s="1449"/>
      <c r="V475" s="1449"/>
      <c r="W475" s="1449"/>
      <c r="X475" s="1449"/>
      <c r="Y475" s="1449"/>
      <c r="Z475" s="1449"/>
    </row>
    <row r="476" spans="10:26" s="1437" customFormat="1" ht="21.75" customHeight="1">
      <c r="J476" s="1449"/>
      <c r="K476" s="1449"/>
      <c r="L476" s="1449"/>
      <c r="M476" s="1449"/>
      <c r="N476" s="1449"/>
      <c r="O476" s="1449"/>
      <c r="P476" s="1449"/>
      <c r="Q476" s="1449"/>
      <c r="R476" s="1449"/>
      <c r="S476" s="1449"/>
      <c r="T476" s="1449"/>
      <c r="U476" s="1449"/>
      <c r="V476" s="1449"/>
      <c r="W476" s="1449"/>
      <c r="X476" s="1449"/>
      <c r="Y476" s="1449"/>
      <c r="Z476" s="1449"/>
    </row>
    <row r="477" spans="10:26" s="1437" customFormat="1" ht="21.75" customHeight="1">
      <c r="J477" s="1449"/>
      <c r="K477" s="1449"/>
      <c r="L477" s="1449"/>
      <c r="M477" s="1449"/>
      <c r="N477" s="1449"/>
      <c r="O477" s="1449"/>
      <c r="P477" s="1449"/>
      <c r="Q477" s="1449"/>
      <c r="R477" s="1449"/>
      <c r="S477" s="1449"/>
      <c r="T477" s="1449"/>
      <c r="U477" s="1449"/>
      <c r="V477" s="1449"/>
      <c r="W477" s="1449"/>
      <c r="X477" s="1449"/>
      <c r="Y477" s="1449"/>
      <c r="Z477" s="1449"/>
    </row>
    <row r="478" spans="10:26" s="1437" customFormat="1" ht="21.75" customHeight="1">
      <c r="J478" s="1449"/>
      <c r="K478" s="1449"/>
      <c r="L478" s="1449"/>
      <c r="M478" s="1449"/>
      <c r="N478" s="1449"/>
      <c r="O478" s="1449"/>
      <c r="P478" s="1449"/>
      <c r="Q478" s="1449"/>
      <c r="R478" s="1449"/>
      <c r="S478" s="1449"/>
      <c r="T478" s="1449"/>
      <c r="U478" s="1449"/>
      <c r="V478" s="1449"/>
      <c r="W478" s="1449"/>
      <c r="X478" s="1449"/>
      <c r="Y478" s="1449"/>
      <c r="Z478" s="1449"/>
    </row>
    <row r="479" spans="10:26" s="1437" customFormat="1" ht="21.75" customHeight="1">
      <c r="J479" s="1449"/>
      <c r="K479" s="1449"/>
      <c r="L479" s="1449"/>
      <c r="M479" s="1449"/>
      <c r="N479" s="1449"/>
      <c r="O479" s="1449"/>
      <c r="P479" s="1449"/>
      <c r="Q479" s="1449"/>
      <c r="R479" s="1449"/>
      <c r="S479" s="1449"/>
      <c r="T479" s="1449"/>
      <c r="U479" s="1449"/>
      <c r="V479" s="1449"/>
      <c r="W479" s="1449"/>
      <c r="X479" s="1449"/>
      <c r="Y479" s="1449"/>
      <c r="Z479" s="1449"/>
    </row>
    <row r="480" spans="10:26" s="1437" customFormat="1" ht="21.75" customHeight="1">
      <c r="J480" s="1449"/>
      <c r="K480" s="1449"/>
      <c r="L480" s="1449"/>
      <c r="M480" s="1449"/>
      <c r="N480" s="1449"/>
      <c r="O480" s="1449"/>
      <c r="P480" s="1449"/>
      <c r="Q480" s="1449"/>
      <c r="R480" s="1449"/>
      <c r="S480" s="1449"/>
      <c r="T480" s="1449"/>
      <c r="U480" s="1449"/>
      <c r="V480" s="1449"/>
      <c r="W480" s="1449"/>
      <c r="X480" s="1449"/>
      <c r="Y480" s="1449"/>
      <c r="Z480" s="1449"/>
    </row>
    <row r="481" spans="10:26" s="1437" customFormat="1" ht="21.75" customHeight="1">
      <c r="J481" s="1449"/>
      <c r="K481" s="1449"/>
      <c r="L481" s="1449"/>
      <c r="M481" s="1449"/>
      <c r="N481" s="1449"/>
      <c r="O481" s="1449"/>
      <c r="P481" s="1449"/>
      <c r="Q481" s="1449"/>
      <c r="R481" s="1449"/>
      <c r="S481" s="1449"/>
      <c r="T481" s="1449"/>
      <c r="U481" s="1449"/>
      <c r="V481" s="1449"/>
      <c r="W481" s="1449"/>
      <c r="X481" s="1449"/>
      <c r="Y481" s="1449"/>
      <c r="Z481" s="1449"/>
    </row>
    <row r="482" spans="10:26" s="1437" customFormat="1" ht="21.75" customHeight="1">
      <c r="J482" s="1449"/>
      <c r="K482" s="1449"/>
      <c r="L482" s="1449"/>
      <c r="M482" s="1449"/>
      <c r="N482" s="1449"/>
      <c r="O482" s="1449"/>
      <c r="P482" s="1449"/>
      <c r="Q482" s="1449"/>
      <c r="R482" s="1449"/>
      <c r="S482" s="1449"/>
      <c r="T482" s="1449"/>
      <c r="U482" s="1449"/>
      <c r="V482" s="1449"/>
      <c r="W482" s="1449"/>
      <c r="X482" s="1449"/>
      <c r="Y482" s="1449"/>
      <c r="Z482" s="1449"/>
    </row>
    <row r="483" spans="10:26" s="1437" customFormat="1" ht="21.75" customHeight="1">
      <c r="J483" s="1449"/>
      <c r="K483" s="1449"/>
      <c r="L483" s="1449"/>
      <c r="M483" s="1449"/>
      <c r="N483" s="1449"/>
      <c r="O483" s="1449"/>
      <c r="P483" s="1449"/>
      <c r="Q483" s="1449"/>
      <c r="R483" s="1449"/>
      <c r="S483" s="1449"/>
      <c r="T483" s="1449"/>
      <c r="U483" s="1449"/>
      <c r="V483" s="1449"/>
      <c r="W483" s="1449"/>
      <c r="X483" s="1449"/>
      <c r="Y483" s="1449"/>
      <c r="Z483" s="1449"/>
    </row>
    <row r="484" spans="10:26" s="1437" customFormat="1" ht="21.75" customHeight="1">
      <c r="J484" s="1449"/>
      <c r="K484" s="1449"/>
      <c r="L484" s="1449"/>
      <c r="M484" s="1449"/>
      <c r="N484" s="1449"/>
      <c r="O484" s="1449"/>
      <c r="P484" s="1449"/>
      <c r="Q484" s="1449"/>
      <c r="R484" s="1449"/>
      <c r="S484" s="1449"/>
      <c r="T484" s="1449"/>
      <c r="U484" s="1449"/>
      <c r="V484" s="1449"/>
      <c r="W484" s="1449"/>
      <c r="X484" s="1449"/>
      <c r="Y484" s="1449"/>
      <c r="Z484" s="1449"/>
    </row>
    <row r="485" spans="10:26" s="1437" customFormat="1" ht="21.75" customHeight="1">
      <c r="J485" s="1449"/>
      <c r="K485" s="1449"/>
      <c r="L485" s="1449"/>
      <c r="M485" s="1449"/>
      <c r="N485" s="1449"/>
      <c r="O485" s="1449"/>
      <c r="P485" s="1449"/>
      <c r="Q485" s="1449"/>
      <c r="R485" s="1449"/>
      <c r="S485" s="1449"/>
      <c r="T485" s="1449"/>
      <c r="U485" s="1449"/>
      <c r="V485" s="1449"/>
      <c r="W485" s="1449"/>
      <c r="X485" s="1449"/>
      <c r="Y485" s="1449"/>
      <c r="Z485" s="1449"/>
    </row>
    <row r="486" spans="10:26" s="1437" customFormat="1" ht="21.75" customHeight="1">
      <c r="J486" s="1449"/>
      <c r="K486" s="1449"/>
      <c r="L486" s="1449"/>
      <c r="M486" s="1449"/>
      <c r="N486" s="1449"/>
      <c r="O486" s="1449"/>
      <c r="P486" s="1449"/>
      <c r="Q486" s="1449"/>
      <c r="R486" s="1449"/>
      <c r="S486" s="1449"/>
      <c r="T486" s="1449"/>
      <c r="U486" s="1449"/>
      <c r="V486" s="1449"/>
      <c r="W486" s="1449"/>
      <c r="X486" s="1449"/>
      <c r="Y486" s="1449"/>
      <c r="Z486" s="1449"/>
    </row>
    <row r="487" spans="10:26" s="1437" customFormat="1" ht="21.75" customHeight="1">
      <c r="J487" s="1449"/>
      <c r="K487" s="1449"/>
      <c r="L487" s="1449"/>
      <c r="M487" s="1449"/>
      <c r="N487" s="1449"/>
      <c r="O487" s="1449"/>
      <c r="P487" s="1449"/>
      <c r="Q487" s="1449"/>
      <c r="R487" s="1449"/>
      <c r="S487" s="1449"/>
      <c r="T487" s="1449"/>
      <c r="U487" s="1449"/>
      <c r="V487" s="1449"/>
      <c r="W487" s="1449"/>
      <c r="X487" s="1449"/>
      <c r="Y487" s="1449"/>
      <c r="Z487" s="1449"/>
    </row>
    <row r="488" spans="10:26" s="1437" customFormat="1" ht="21.75" customHeight="1">
      <c r="J488" s="1449"/>
      <c r="K488" s="1449"/>
      <c r="L488" s="1449"/>
      <c r="M488" s="1449"/>
      <c r="N488" s="1449"/>
      <c r="O488" s="1449"/>
      <c r="P488" s="1449"/>
      <c r="Q488" s="1449"/>
      <c r="R488" s="1449"/>
      <c r="S488" s="1449"/>
      <c r="T488" s="1449"/>
      <c r="U488" s="1449"/>
      <c r="V488" s="1449"/>
      <c r="W488" s="1449"/>
      <c r="X488" s="1449"/>
      <c r="Y488" s="1449"/>
      <c r="Z488" s="1449"/>
    </row>
    <row r="489" spans="10:26" s="1437" customFormat="1" ht="21.75" customHeight="1">
      <c r="J489" s="1449"/>
      <c r="K489" s="1449"/>
      <c r="L489" s="1449"/>
      <c r="M489" s="1449"/>
      <c r="N489" s="1449"/>
      <c r="O489" s="1449"/>
      <c r="P489" s="1449"/>
      <c r="Q489" s="1449"/>
      <c r="R489" s="1449"/>
      <c r="S489" s="1449"/>
      <c r="T489" s="1449"/>
      <c r="U489" s="1449"/>
      <c r="V489" s="1449"/>
      <c r="W489" s="1449"/>
      <c r="X489" s="1449"/>
      <c r="Y489" s="1449"/>
      <c r="Z489" s="1449"/>
    </row>
    <row r="490" spans="10:26" s="1437" customFormat="1" ht="21.75" customHeight="1">
      <c r="J490" s="1449"/>
      <c r="K490" s="1449"/>
      <c r="L490" s="1449"/>
      <c r="M490" s="1449"/>
      <c r="N490" s="1449"/>
      <c r="O490" s="1449"/>
      <c r="P490" s="1449"/>
      <c r="Q490" s="1449"/>
      <c r="R490" s="1449"/>
      <c r="S490" s="1449"/>
      <c r="T490" s="1449"/>
      <c r="U490" s="1449"/>
      <c r="V490" s="1449"/>
      <c r="W490" s="1449"/>
      <c r="X490" s="1449"/>
      <c r="Y490" s="1449"/>
      <c r="Z490" s="1449"/>
    </row>
    <row r="491" spans="10:26" s="1437" customFormat="1" ht="21.75" customHeight="1">
      <c r="J491" s="1449"/>
      <c r="K491" s="1449"/>
      <c r="L491" s="1449"/>
      <c r="M491" s="1449"/>
      <c r="N491" s="1449"/>
      <c r="O491" s="1449"/>
      <c r="P491" s="1449"/>
      <c r="Q491" s="1449"/>
      <c r="R491" s="1449"/>
      <c r="S491" s="1449"/>
      <c r="T491" s="1449"/>
      <c r="U491" s="1449"/>
      <c r="V491" s="1449"/>
      <c r="W491" s="1449"/>
      <c r="X491" s="1449"/>
      <c r="Y491" s="1449"/>
      <c r="Z491" s="1449"/>
    </row>
    <row r="492" spans="10:26" s="1437" customFormat="1" ht="21.75" customHeight="1">
      <c r="J492" s="1449"/>
      <c r="K492" s="1449"/>
      <c r="L492" s="1449"/>
      <c r="M492" s="1449"/>
      <c r="N492" s="1449"/>
      <c r="O492" s="1449"/>
      <c r="P492" s="1449"/>
      <c r="Q492" s="1449"/>
      <c r="R492" s="1449"/>
      <c r="S492" s="1449"/>
      <c r="T492" s="1449"/>
      <c r="U492" s="1449"/>
      <c r="V492" s="1449"/>
      <c r="W492" s="1449"/>
      <c r="X492" s="1449"/>
      <c r="Y492" s="1449"/>
      <c r="Z492" s="1449"/>
    </row>
    <row r="493" spans="10:26" s="1437" customFormat="1" ht="21.75" customHeight="1">
      <c r="J493" s="1449"/>
      <c r="K493" s="1449"/>
      <c r="L493" s="1449"/>
      <c r="M493" s="1449"/>
      <c r="N493" s="1449"/>
      <c r="O493" s="1449"/>
      <c r="P493" s="1449"/>
      <c r="Q493" s="1449"/>
      <c r="R493" s="1449"/>
      <c r="S493" s="1449"/>
      <c r="T493" s="1449"/>
      <c r="U493" s="1449"/>
      <c r="V493" s="1449"/>
      <c r="W493" s="1449"/>
      <c r="X493" s="1449"/>
      <c r="Y493" s="1449"/>
      <c r="Z493" s="1449"/>
    </row>
    <row r="494" spans="10:26" s="1437" customFormat="1" ht="21.75" customHeight="1">
      <c r="J494" s="1449"/>
      <c r="K494" s="1449"/>
      <c r="L494" s="1449"/>
      <c r="M494" s="1449"/>
      <c r="N494" s="1449"/>
      <c r="O494" s="1449"/>
      <c r="P494" s="1449"/>
      <c r="Q494" s="1449"/>
      <c r="R494" s="1449"/>
      <c r="S494" s="1449"/>
      <c r="T494" s="1449"/>
      <c r="U494" s="1449"/>
      <c r="V494" s="1449"/>
      <c r="W494" s="1449"/>
      <c r="X494" s="1449"/>
      <c r="Y494" s="1449"/>
      <c r="Z494" s="1449"/>
    </row>
    <row r="495" spans="10:26" s="1437" customFormat="1" ht="21.75" customHeight="1">
      <c r="J495" s="1449"/>
      <c r="K495" s="1449"/>
      <c r="L495" s="1449"/>
      <c r="M495" s="1449"/>
      <c r="N495" s="1449"/>
      <c r="O495" s="1449"/>
      <c r="P495" s="1449"/>
      <c r="Q495" s="1449"/>
      <c r="R495" s="1449"/>
      <c r="S495" s="1449"/>
      <c r="T495" s="1449"/>
      <c r="U495" s="1449"/>
      <c r="V495" s="1449"/>
      <c r="W495" s="1449"/>
      <c r="X495" s="1449"/>
      <c r="Y495" s="1449"/>
      <c r="Z495" s="1449"/>
    </row>
    <row r="496" spans="10:26" s="1437" customFormat="1" ht="21.75" customHeight="1">
      <c r="J496" s="1449"/>
      <c r="K496" s="1449"/>
      <c r="L496" s="1449"/>
      <c r="M496" s="1449"/>
      <c r="N496" s="1449"/>
      <c r="O496" s="1449"/>
      <c r="P496" s="1449"/>
      <c r="Q496" s="1449"/>
      <c r="R496" s="1449"/>
      <c r="S496" s="1449"/>
      <c r="T496" s="1449"/>
      <c r="U496" s="1449"/>
      <c r="V496" s="1449"/>
      <c r="W496" s="1449"/>
      <c r="X496" s="1449"/>
      <c r="Y496" s="1449"/>
      <c r="Z496" s="1449"/>
    </row>
    <row r="497" spans="10:26" s="1437" customFormat="1" ht="21.75" customHeight="1">
      <c r="J497" s="1449"/>
      <c r="K497" s="1449"/>
      <c r="L497" s="1449"/>
      <c r="M497" s="1449"/>
      <c r="N497" s="1449"/>
      <c r="O497" s="1449"/>
      <c r="P497" s="1449"/>
      <c r="Q497" s="1449"/>
      <c r="R497" s="1449"/>
      <c r="S497" s="1449"/>
      <c r="T497" s="1449"/>
      <c r="U497" s="1449"/>
      <c r="V497" s="1449"/>
      <c r="W497" s="1449"/>
      <c r="X497" s="1449"/>
      <c r="Y497" s="1449"/>
      <c r="Z497" s="1449"/>
    </row>
    <row r="498" spans="10:26" s="1437" customFormat="1" ht="21.75" customHeight="1">
      <c r="J498" s="1449"/>
      <c r="K498" s="1449"/>
      <c r="L498" s="1449"/>
      <c r="M498" s="1449"/>
      <c r="N498" s="1449"/>
      <c r="O498" s="1449"/>
      <c r="P498" s="1449"/>
      <c r="Q498" s="1449"/>
      <c r="R498" s="1449"/>
      <c r="S498" s="1449"/>
      <c r="T498" s="1449"/>
      <c r="U498" s="1449"/>
      <c r="V498" s="1449"/>
      <c r="W498" s="1449"/>
      <c r="X498" s="1449"/>
      <c r="Y498" s="1449"/>
      <c r="Z498" s="1449"/>
    </row>
    <row r="499" spans="10:26" s="1437" customFormat="1" ht="21.75" customHeight="1">
      <c r="J499" s="1449"/>
      <c r="K499" s="1449"/>
      <c r="L499" s="1449"/>
      <c r="M499" s="1449"/>
      <c r="N499" s="1449"/>
      <c r="O499" s="1449"/>
      <c r="P499" s="1449"/>
      <c r="Q499" s="1449"/>
      <c r="R499" s="1449"/>
      <c r="S499" s="1449"/>
      <c r="T499" s="1449"/>
      <c r="U499" s="1449"/>
      <c r="V499" s="1449"/>
      <c r="W499" s="1449"/>
      <c r="X499" s="1449"/>
      <c r="Y499" s="1449"/>
      <c r="Z499" s="1449"/>
    </row>
    <row r="500" spans="10:26" s="1437" customFormat="1" ht="21.75" customHeight="1">
      <c r="J500" s="1449"/>
      <c r="K500" s="1449"/>
      <c r="L500" s="1449"/>
      <c r="M500" s="1449"/>
      <c r="N500" s="1449"/>
      <c r="O500" s="1449"/>
      <c r="P500" s="1449"/>
      <c r="Q500" s="1449"/>
      <c r="R500" s="1449"/>
      <c r="S500" s="1449"/>
      <c r="T500" s="1449"/>
      <c r="U500" s="1449"/>
      <c r="V500" s="1449"/>
      <c r="W500" s="1449"/>
      <c r="X500" s="1449"/>
      <c r="Y500" s="1449"/>
      <c r="Z500" s="1449"/>
    </row>
    <row r="501" spans="10:26" s="1437" customFormat="1" ht="21.75" customHeight="1">
      <c r="J501" s="1449"/>
      <c r="K501" s="1449"/>
      <c r="L501" s="1449"/>
      <c r="M501" s="1449"/>
      <c r="N501" s="1449"/>
      <c r="O501" s="1449"/>
      <c r="P501" s="1449"/>
      <c r="Q501" s="1449"/>
      <c r="R501" s="1449"/>
      <c r="S501" s="1449"/>
      <c r="T501" s="1449"/>
      <c r="U501" s="1449"/>
      <c r="V501" s="1449"/>
      <c r="W501" s="1449"/>
      <c r="X501" s="1449"/>
      <c r="Y501" s="1449"/>
      <c r="Z501" s="1449"/>
    </row>
    <row r="502" spans="10:26" s="1437" customFormat="1" ht="21.75" customHeight="1">
      <c r="J502" s="1449"/>
      <c r="K502" s="1449"/>
      <c r="L502" s="1449"/>
      <c r="M502" s="1449"/>
      <c r="N502" s="1449"/>
      <c r="O502" s="1449"/>
      <c r="P502" s="1449"/>
      <c r="Q502" s="1449"/>
      <c r="R502" s="1449"/>
      <c r="S502" s="1449"/>
      <c r="T502" s="1449"/>
      <c r="U502" s="1449"/>
      <c r="V502" s="1449"/>
      <c r="W502" s="1449"/>
      <c r="X502" s="1449"/>
      <c r="Y502" s="1449"/>
      <c r="Z502" s="1449"/>
    </row>
    <row r="503" spans="10:26" s="1437" customFormat="1" ht="21.75" customHeight="1">
      <c r="J503" s="1449"/>
      <c r="K503" s="1449"/>
      <c r="L503" s="1449"/>
      <c r="M503" s="1449"/>
      <c r="N503" s="1449"/>
      <c r="O503" s="1449"/>
      <c r="P503" s="1449"/>
      <c r="Q503" s="1449"/>
      <c r="R503" s="1449"/>
      <c r="S503" s="1449"/>
      <c r="T503" s="1449"/>
      <c r="U503" s="1449"/>
      <c r="V503" s="1449"/>
      <c r="W503" s="1449"/>
      <c r="X503" s="1449"/>
      <c r="Y503" s="1449"/>
      <c r="Z503" s="1449"/>
    </row>
    <row r="504" spans="10:26" s="1437" customFormat="1" ht="21.75" customHeight="1">
      <c r="J504" s="1449"/>
      <c r="K504" s="1449"/>
      <c r="L504" s="1449"/>
      <c r="M504" s="1449"/>
      <c r="N504" s="1449"/>
      <c r="O504" s="1449"/>
      <c r="P504" s="1449"/>
      <c r="Q504" s="1449"/>
      <c r="R504" s="1449"/>
      <c r="S504" s="1449"/>
      <c r="T504" s="1449"/>
      <c r="U504" s="1449"/>
      <c r="V504" s="1449"/>
      <c r="W504" s="1449"/>
      <c r="X504" s="1449"/>
      <c r="Y504" s="1449"/>
      <c r="Z504" s="1449"/>
    </row>
    <row r="505" spans="10:26" s="1437" customFormat="1" ht="21.75" customHeight="1">
      <c r="J505" s="1449"/>
      <c r="K505" s="1449"/>
      <c r="L505" s="1449"/>
      <c r="M505" s="1449"/>
      <c r="N505" s="1449"/>
      <c r="O505" s="1449"/>
      <c r="P505" s="1449"/>
      <c r="Q505" s="1449"/>
      <c r="R505" s="1449"/>
      <c r="S505" s="1449"/>
      <c r="T505" s="1449"/>
      <c r="U505" s="1449"/>
      <c r="V505" s="1449"/>
      <c r="W505" s="1449"/>
      <c r="X505" s="1449"/>
      <c r="Y505" s="1449"/>
      <c r="Z505" s="1449"/>
    </row>
    <row r="506" spans="10:26" s="1437" customFormat="1" ht="21.75" customHeight="1">
      <c r="J506" s="1449"/>
      <c r="K506" s="1449"/>
      <c r="L506" s="1449"/>
      <c r="M506" s="1449"/>
      <c r="N506" s="1449"/>
      <c r="O506" s="1449"/>
      <c r="P506" s="1449"/>
      <c r="Q506" s="1449"/>
      <c r="R506" s="1449"/>
      <c r="S506" s="1449"/>
      <c r="T506" s="1449"/>
      <c r="U506" s="1449"/>
      <c r="V506" s="1449"/>
      <c r="W506" s="1449"/>
      <c r="X506" s="1449"/>
      <c r="Y506" s="1449"/>
      <c r="Z506" s="1449"/>
    </row>
    <row r="507" spans="10:26" s="1437" customFormat="1" ht="21.75" customHeight="1">
      <c r="J507" s="1449"/>
      <c r="K507" s="1449"/>
      <c r="L507" s="1449"/>
      <c r="M507" s="1449"/>
      <c r="N507" s="1449"/>
      <c r="O507" s="1449"/>
      <c r="P507" s="1449"/>
      <c r="Q507" s="1449"/>
      <c r="R507" s="1449"/>
      <c r="S507" s="1449"/>
      <c r="T507" s="1449"/>
      <c r="U507" s="1449"/>
      <c r="V507" s="1449"/>
      <c r="W507" s="1449"/>
      <c r="X507" s="1449"/>
      <c r="Y507" s="1449"/>
      <c r="Z507" s="1449"/>
    </row>
    <row r="508" spans="10:26" s="1437" customFormat="1" ht="21.75" customHeight="1">
      <c r="J508" s="1449"/>
      <c r="K508" s="1449"/>
      <c r="L508" s="1449"/>
      <c r="M508" s="1449"/>
      <c r="N508" s="1449"/>
      <c r="O508" s="1449"/>
      <c r="P508" s="1449"/>
      <c r="Q508" s="1449"/>
      <c r="R508" s="1449"/>
      <c r="S508" s="1449"/>
      <c r="T508" s="1449"/>
      <c r="U508" s="1449"/>
      <c r="V508" s="1449"/>
      <c r="W508" s="1449"/>
      <c r="X508" s="1449"/>
      <c r="Y508" s="1449"/>
      <c r="Z508" s="1449"/>
    </row>
    <row r="509" spans="10:26" s="1437" customFormat="1" ht="21.75" customHeight="1">
      <c r="J509" s="1449"/>
      <c r="K509" s="1449"/>
      <c r="L509" s="1449"/>
      <c r="M509" s="1449"/>
      <c r="N509" s="1449"/>
      <c r="O509" s="1449"/>
      <c r="P509" s="1449"/>
      <c r="Q509" s="1449"/>
      <c r="R509" s="1449"/>
      <c r="S509" s="1449"/>
      <c r="T509" s="1449"/>
      <c r="U509" s="1449"/>
      <c r="V509" s="1449"/>
      <c r="W509" s="1449"/>
      <c r="X509" s="1449"/>
      <c r="Y509" s="1449"/>
      <c r="Z509" s="1449"/>
    </row>
    <row r="510" spans="10:26" s="1437" customFormat="1" ht="21.75" customHeight="1">
      <c r="J510" s="1449"/>
      <c r="K510" s="1449"/>
      <c r="L510" s="1449"/>
      <c r="M510" s="1449"/>
      <c r="N510" s="1449"/>
      <c r="O510" s="1449"/>
      <c r="P510" s="1449"/>
      <c r="Q510" s="1449"/>
      <c r="R510" s="1449"/>
      <c r="S510" s="1449"/>
      <c r="T510" s="1449"/>
      <c r="U510" s="1449"/>
      <c r="V510" s="1449"/>
      <c r="W510" s="1449"/>
      <c r="X510" s="1449"/>
      <c r="Y510" s="1449"/>
      <c r="Z510" s="1449"/>
    </row>
    <row r="511" spans="10:26" s="1437" customFormat="1" ht="21.75" customHeight="1">
      <c r="J511" s="1449"/>
      <c r="K511" s="1449"/>
      <c r="L511" s="1449"/>
      <c r="M511" s="1449"/>
      <c r="N511" s="1449"/>
      <c r="O511" s="1449"/>
      <c r="P511" s="1449"/>
      <c r="Q511" s="1449"/>
      <c r="R511" s="1449"/>
      <c r="S511" s="1449"/>
      <c r="T511" s="1449"/>
      <c r="U511" s="1449"/>
      <c r="V511" s="1449"/>
      <c r="W511" s="1449"/>
      <c r="X511" s="1449"/>
      <c r="Y511" s="1449"/>
      <c r="Z511" s="1449"/>
    </row>
    <row r="512" spans="10:26" s="1437" customFormat="1" ht="21.75" customHeight="1">
      <c r="J512" s="1449"/>
      <c r="K512" s="1449"/>
      <c r="L512" s="1449"/>
      <c r="M512" s="1449"/>
      <c r="N512" s="1449"/>
      <c r="O512" s="1449"/>
      <c r="P512" s="1449"/>
      <c r="Q512" s="1449"/>
      <c r="R512" s="1449"/>
      <c r="S512" s="1449"/>
      <c r="T512" s="1449"/>
      <c r="U512" s="1449"/>
      <c r="V512" s="1449"/>
      <c r="W512" s="1449"/>
      <c r="X512" s="1449"/>
      <c r="Y512" s="1449"/>
      <c r="Z512" s="144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1" sqref="C51"/>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1044</v>
      </c>
      <c r="B1" s="2768"/>
      <c r="C1" s="577"/>
      <c r="D1" s="577"/>
      <c r="E1" s="577"/>
      <c r="F1" s="577"/>
      <c r="G1" s="2769">
        <f>MATCH(B1,'数据-取费表'!A6:A16,0)+5</f>
        <v>7</v>
      </c>
    </row>
    <row r="2" spans="1:9" s="579" customFormat="1" ht="18" customHeight="1">
      <c r="A2" s="580" t="s">
        <v>633</v>
      </c>
      <c r="B2" s="581">
        <f ca="1">IF(D2="——",C52,C52-E2)</f>
        <v>674609</v>
      </c>
      <c r="C2" s="85" t="s">
        <v>1094</v>
      </c>
      <c r="D2" s="2889" t="s">
        <v>752</v>
      </c>
      <c r="E2" s="2887">
        <f ca="1">SUMIF(INDIRECT("'"&amp;G2&amp;"'"&amp;"!A:A"),"承租人权益价值",INDIRECT("'"&amp;G2&amp;"'"&amp;"!c:c"))</f>
        <v>-72028</v>
      </c>
      <c r="F2" s="2885" t="s">
        <v>1094</v>
      </c>
      <c r="G2" s="2888" t="s">
        <v>2832</v>
      </c>
    </row>
    <row r="3" spans="1:9" s="579" customFormat="1" ht="18" customHeight="1" thickBot="1">
      <c r="A3" s="582" t="s">
        <v>634</v>
      </c>
      <c r="B3" s="583">
        <f ca="1">ROUND(B2*10000/(IF(B1="",'数据-汇总表'!E3,INDIRECT("'数据-取费表'!k"&amp;$G$1))),0)</f>
        <v>13633</v>
      </c>
      <c r="C3" s="85" t="s">
        <v>1095</v>
      </c>
      <c r="D3" s="578"/>
      <c r="E3" s="578"/>
      <c r="F3" s="578"/>
      <c r="G3" s="578"/>
    </row>
    <row r="4" spans="1:9" s="587" customFormat="1" ht="15.75">
      <c r="A4" s="584" t="s">
        <v>1047</v>
      </c>
      <c r="B4" s="585"/>
      <c r="C4" s="585"/>
      <c r="D4" s="585"/>
      <c r="E4" s="585"/>
      <c r="F4" s="585"/>
      <c r="G4" s="586"/>
    </row>
    <row r="5" spans="1:9" s="593" customFormat="1" ht="13.5" customHeight="1">
      <c r="A5" s="634" t="s">
        <v>2908</v>
      </c>
      <c r="B5" s="589" t="s">
        <v>1048</v>
      </c>
      <c r="C5" s="590">
        <f>C6+C7+C8</f>
        <v>232592</v>
      </c>
      <c r="D5" s="590" t="s">
        <v>1049</v>
      </c>
      <c r="E5" s="591" t="s">
        <v>1050</v>
      </c>
      <c r="F5" s="591" t="s">
        <v>1051</v>
      </c>
      <c r="G5" s="592"/>
    </row>
    <row r="6" spans="1:9" s="593" customFormat="1" ht="13.5" customHeight="1">
      <c r="A6" s="1808" t="s">
        <v>2278</v>
      </c>
      <c r="B6" s="594" t="s">
        <v>1052</v>
      </c>
      <c r="C6" s="595">
        <f>'土地比较法-住宅、综合'!B2</f>
        <v>222511</v>
      </c>
      <c r="D6" s="596"/>
      <c r="E6" s="597"/>
      <c r="F6" s="597"/>
      <c r="G6" s="598"/>
    </row>
    <row r="7" spans="1:9" s="593" customFormat="1" ht="13.5" customHeight="1">
      <c r="A7" s="1808" t="s">
        <v>2279</v>
      </c>
      <c r="B7" s="594" t="s">
        <v>511</v>
      </c>
      <c r="C7" s="599">
        <f>ROUND(C6*F7,0)</f>
        <v>9012</v>
      </c>
      <c r="D7" s="599"/>
      <c r="E7" s="597"/>
      <c r="F7" s="600">
        <f>'数据-取费表'!B48+'数据-取费表'!B49</f>
        <v>4.0500000000000001E-2</v>
      </c>
      <c r="G7" s="598"/>
    </row>
    <row r="8" spans="1:9" s="602" customFormat="1">
      <c r="A8" s="1808" t="s">
        <v>2280</v>
      </c>
      <c r="B8" s="594" t="s">
        <v>1053</v>
      </c>
      <c r="C8" s="599">
        <f>IF(G8="已包含在土地购买价格中","0",IF(B1="",'数据-取费表'!B29,IF(G9="全部缴纳",C9+C10,H9)))</f>
        <v>1069</v>
      </c>
      <c r="D8" s="601"/>
      <c r="E8" s="599"/>
      <c r="F8" s="600"/>
      <c r="G8" s="84" t="s">
        <v>3690</v>
      </c>
    </row>
    <row r="9" spans="1:9" s="593" customFormat="1" ht="13.5" customHeight="1">
      <c r="A9" s="1809" t="s">
        <v>2287</v>
      </c>
      <c r="B9" s="603" t="s">
        <v>1054</v>
      </c>
      <c r="C9" s="604">
        <f ca="1">ROUND(D9*E9/10000,0)</f>
        <v>0</v>
      </c>
      <c r="D9" s="1913">
        <f ca="1">IF(B1="",'数据-汇总表'!E5,IF(INDIRECT("'数据-取费表'!c"&amp;$G$1)="住宅",INDIRECT("'数据-取费表'!k"&amp;$G$1),0))</f>
        <v>0</v>
      </c>
      <c r="E9" s="604">
        <f>'数据-取费表'!B27</f>
        <v>33.200000000000003</v>
      </c>
      <c r="F9" s="600"/>
      <c r="G9" s="2819" t="s">
        <v>3206</v>
      </c>
      <c r="H9" s="2820"/>
      <c r="I9" s="2821" t="s">
        <v>3091</v>
      </c>
    </row>
    <row r="10" spans="1:9" s="593" customFormat="1" ht="13.5" customHeight="1">
      <c r="A10" s="1809" t="s">
        <v>2288</v>
      </c>
      <c r="B10" s="603" t="s">
        <v>1055</v>
      </c>
      <c r="C10" s="604">
        <f ca="1">ROUND(D10*E10/10000,0)</f>
        <v>1069</v>
      </c>
      <c r="D10" s="1913">
        <f ca="1">IF(B1="",'数据-汇总表'!E6,IF(INDIRECT("'数据-取费表'!c"&amp;$G$1)="住宅",INDIRECT("'数据-取费表'!s"&amp;$G$1),INDIRECT("'数据-取费表'!k"&amp;$G$1)+INDIRECT("'数据-取费表'!s"&amp;$G$1)))</f>
        <v>494831.87</v>
      </c>
      <c r="E10" s="604">
        <f>'数据-取费表'!B28</f>
        <v>21.6</v>
      </c>
      <c r="F10" s="600"/>
      <c r="G10" s="605"/>
    </row>
    <row r="11" spans="1:9" s="593" customFormat="1" ht="13.5" hidden="1" customHeight="1">
      <c r="A11" s="606" t="s">
        <v>45</v>
      </c>
      <c r="B11" s="594" t="s">
        <v>1056</v>
      </c>
      <c r="C11" s="590"/>
      <c r="D11" s="1915"/>
      <c r="E11" s="597"/>
      <c r="F11" s="597"/>
      <c r="G11" s="598"/>
    </row>
    <row r="12" spans="1:9" s="593" customFormat="1" ht="13.5" hidden="1" customHeight="1">
      <c r="A12" s="606" t="s">
        <v>46</v>
      </c>
      <c r="B12" s="594" t="s">
        <v>1057</v>
      </c>
      <c r="C12" s="590">
        <v>0</v>
      </c>
      <c r="D12" s="1915"/>
      <c r="E12" s="607"/>
      <c r="F12" s="600">
        <v>3.0499999999999999E-2</v>
      </c>
      <c r="G12" s="598"/>
    </row>
    <row r="13" spans="1:9" s="593" customFormat="1" ht="13.5" hidden="1" customHeight="1">
      <c r="A13" s="606" t="s">
        <v>47</v>
      </c>
      <c r="B13" s="594" t="s">
        <v>1058</v>
      </c>
      <c r="C13" s="590"/>
      <c r="D13" s="1915"/>
      <c r="E13" s="597"/>
      <c r="F13" s="597"/>
      <c r="G13" s="598"/>
    </row>
    <row r="14" spans="1:9" s="593" customFormat="1" ht="13.5" hidden="1" customHeight="1">
      <c r="A14" s="606" t="s">
        <v>48</v>
      </c>
      <c r="B14" s="594" t="s">
        <v>1053</v>
      </c>
      <c r="C14" s="590"/>
      <c r="D14" s="1915"/>
      <c r="E14" s="597"/>
      <c r="F14" s="597"/>
      <c r="G14" s="598" t="s">
        <v>1059</v>
      </c>
    </row>
    <row r="15" spans="1:9" s="593" customFormat="1" ht="13.5" hidden="1" customHeight="1">
      <c r="A15" s="606" t="s">
        <v>49</v>
      </c>
      <c r="B15" s="594" t="s">
        <v>1060</v>
      </c>
      <c r="C15" s="599"/>
      <c r="D15" s="1915"/>
      <c r="E15" s="597"/>
      <c r="F15" s="597"/>
      <c r="G15" s="598" t="s">
        <v>1061</v>
      </c>
    </row>
    <row r="16" spans="1:9" s="593" customFormat="1" ht="13.5" hidden="1" customHeight="1">
      <c r="A16" s="606" t="s">
        <v>50</v>
      </c>
      <c r="B16" s="594" t="s">
        <v>1053</v>
      </c>
      <c r="C16" s="599"/>
      <c r="D16" s="1915"/>
      <c r="E16" s="597"/>
      <c r="F16" s="597"/>
      <c r="G16" s="598"/>
    </row>
    <row r="17" spans="1:7" s="593" customFormat="1" ht="13.5" hidden="1" customHeight="1">
      <c r="A17" s="606" t="s">
        <v>51</v>
      </c>
      <c r="B17" s="594" t="s">
        <v>1062</v>
      </c>
      <c r="C17" s="608"/>
      <c r="D17" s="1916"/>
      <c r="E17" s="608"/>
      <c r="F17" s="608"/>
      <c r="G17" s="598" t="s">
        <v>1061</v>
      </c>
    </row>
    <row r="18" spans="1:7" s="593" customFormat="1" ht="13.5" hidden="1" customHeight="1">
      <c r="A18" s="606" t="s">
        <v>52</v>
      </c>
      <c r="B18" s="594" t="s">
        <v>1063</v>
      </c>
      <c r="C18" s="599">
        <v>0</v>
      </c>
      <c r="D18" s="1915"/>
      <c r="E18" s="597"/>
      <c r="F18" s="600">
        <v>3.0499999999999999E-2</v>
      </c>
      <c r="G18" s="598" t="s">
        <v>1064</v>
      </c>
    </row>
    <row r="19" spans="1:7" s="602" customFormat="1" ht="13.5" customHeight="1">
      <c r="A19" s="1807" t="s">
        <v>2909</v>
      </c>
      <c r="B19" s="589" t="s">
        <v>1072</v>
      </c>
      <c r="C19" s="590" t="str">
        <f>IF(G19="已包含在土地取得成本中","0",ROUND(D19*E19/10000,0))</f>
        <v>0</v>
      </c>
      <c r="D19" s="1917">
        <f ca="1">D9+D10</f>
        <v>494831.87</v>
      </c>
      <c r="E19" s="590">
        <f>'数据-取费表'!B31</f>
        <v>200</v>
      </c>
      <c r="F19" s="610"/>
      <c r="G19" s="84" t="s">
        <v>3368</v>
      </c>
    </row>
    <row r="20" spans="1:7" s="593" customFormat="1" ht="13.5" customHeight="1">
      <c r="A20" s="1807" t="s">
        <v>2911</v>
      </c>
      <c r="B20" s="589" t="s">
        <v>1065</v>
      </c>
      <c r="C20" s="611">
        <f>ROUND((C5+C19)*F20,0)</f>
        <v>6978</v>
      </c>
      <c r="D20" s="611"/>
      <c r="E20" s="611"/>
      <c r="F20" s="612">
        <f>'数据-取费表'!B37</f>
        <v>0.03</v>
      </c>
      <c r="G20" s="2635" t="s">
        <v>2922</v>
      </c>
    </row>
    <row r="21" spans="1:7" s="593" customFormat="1" ht="13.5" customHeight="1">
      <c r="A21" s="1807" t="s">
        <v>2913</v>
      </c>
      <c r="B21" s="589" t="s">
        <v>1066</v>
      </c>
      <c r="C21" s="614">
        <f>F21</f>
        <v>0.02</v>
      </c>
      <c r="D21" s="615" t="s">
        <v>1087</v>
      </c>
      <c r="E21" s="611"/>
      <c r="F21" s="612">
        <f>'数据-取费表'!B38</f>
        <v>0.02</v>
      </c>
      <c r="G21" s="613" t="s">
        <v>1067</v>
      </c>
    </row>
    <row r="22" spans="1:7" s="593" customFormat="1" ht="13.5" customHeight="1">
      <c r="A22" s="1807" t="s">
        <v>2273</v>
      </c>
      <c r="B22" s="589" t="s">
        <v>1068</v>
      </c>
      <c r="C22" s="2715">
        <f ca="1">ROUND(SUM(C23:C25),0)</f>
        <v>61602</v>
      </c>
      <c r="D22" s="614">
        <f ca="1">C26</f>
        <v>2.5000000000000001E-3</v>
      </c>
      <c r="E22" s="615" t="s">
        <v>1087</v>
      </c>
      <c r="F22" s="616">
        <f ca="1">'数据-取费表'!B40</f>
        <v>4.7500000000000001E-2</v>
      </c>
      <c r="G22" s="2635" t="str">
        <f>IF('数据-取费表'!B22&lt;=1,"单利计息","复利计息")</f>
        <v>复利计息</v>
      </c>
    </row>
    <row r="23" spans="1:7" s="593" customFormat="1" ht="13.5" customHeight="1">
      <c r="A23" s="1810" t="s">
        <v>2278</v>
      </c>
      <c r="B23" s="594" t="s">
        <v>2915</v>
      </c>
      <c r="C23" s="2716">
        <f ca="1">ROUND(IF('数据-取费表'!B22&lt;=1,C5*F22*'数据-取费表'!B23,C5*(POWER((1+F22),'数据-取费表'!B23)-1)),0)</f>
        <v>60744</v>
      </c>
      <c r="D23" s="617"/>
      <c r="E23" s="617"/>
      <c r="F23" s="618"/>
      <c r="G23" s="619" t="s">
        <v>1069</v>
      </c>
    </row>
    <row r="24" spans="1:7" s="593" customFormat="1" ht="13.5" customHeight="1">
      <c r="A24" s="1810" t="s">
        <v>2279</v>
      </c>
      <c r="B24" s="594" t="s">
        <v>2910</v>
      </c>
      <c r="C24" s="2716">
        <f ca="1">ROUND(IF('数据-取费表'!B22&lt;=1,C19*F22*('数据-取费表'!B19/2+'数据-取费表'!B21),C19*(POWER((1+F22),('数据-取费表'!B19/2+'数据-取费表'!B21))-1)),0)</f>
        <v>0</v>
      </c>
      <c r="D24" s="617"/>
      <c r="E24" s="617"/>
      <c r="F24" s="618"/>
      <c r="G24" s="619" t="s">
        <v>1070</v>
      </c>
    </row>
    <row r="25" spans="1:7" s="593" customFormat="1" ht="24">
      <c r="A25" s="1810" t="s">
        <v>2280</v>
      </c>
      <c r="B25" s="594" t="s">
        <v>2912</v>
      </c>
      <c r="C25" s="2716">
        <f ca="1">ROUND(IF('数据-取费表'!B22&lt;=1,C20*F22*'数据-取费表'!B23/2,C20*(POWER((1+F22),'数据-取费表'!B23/2)-1)),0)</f>
        <v>858</v>
      </c>
      <c r="D25" s="617"/>
      <c r="E25" s="620"/>
      <c r="F25" s="618"/>
      <c r="G25" s="621" t="s">
        <v>1071</v>
      </c>
    </row>
    <row r="26" spans="1:7" s="593" customFormat="1">
      <c r="A26" s="1810" t="s">
        <v>2282</v>
      </c>
      <c r="B26" s="594" t="s">
        <v>2914</v>
      </c>
      <c r="C26" s="617">
        <f ca="1">ROUND(IF('数据-取费表'!B22&lt;=1,F21*F22*'数据-取费表'!B23/2,F21*(POWER((1+F22),'数据-取费表'!B23/2)-1)),4)</f>
        <v>2.5000000000000001E-3</v>
      </c>
      <c r="D26" s="617"/>
      <c r="E26" s="620"/>
      <c r="F26" s="618"/>
      <c r="G26" s="622"/>
    </row>
    <row r="27" spans="1:7" s="593" customFormat="1" ht="24.75">
      <c r="A27" s="1807" t="s">
        <v>2274</v>
      </c>
      <c r="B27" s="623" t="s">
        <v>1073</v>
      </c>
      <c r="C27" s="624">
        <f ca="1">C28</f>
        <v>35936</v>
      </c>
      <c r="D27" s="614">
        <f ca="1">C29</f>
        <v>3.0000000000000001E-3</v>
      </c>
      <c r="E27" s="615" t="s">
        <v>1087</v>
      </c>
      <c r="F27" s="625">
        <f ca="1">IF(B1="",'数据-取费表'!Q16,INDIRECT("'数据-取费表'!q"&amp;$G$1))</f>
        <v>0.15</v>
      </c>
      <c r="G27" s="626" t="s">
        <v>2923</v>
      </c>
    </row>
    <row r="28" spans="1:7" s="593" customFormat="1" ht="13.5" customHeight="1">
      <c r="A28" s="1810" t="s">
        <v>2278</v>
      </c>
      <c r="B28" s="627" t="s">
        <v>2916</v>
      </c>
      <c r="C28" s="628">
        <f ca="1">ROUND((C5+C19+C20)*F27*'数据-取费表'!B21/'数据-取费表'!B20,0)</f>
        <v>35936</v>
      </c>
      <c r="D28" s="614"/>
      <c r="E28" s="615"/>
      <c r="F28" s="625"/>
      <c r="G28" s="626"/>
    </row>
    <row r="29" spans="1:7" s="593" customFormat="1" ht="13.5" customHeight="1">
      <c r="A29" s="1810" t="s">
        <v>2279</v>
      </c>
      <c r="B29" s="627" t="s">
        <v>2917</v>
      </c>
      <c r="C29" s="617">
        <f ca="1">ROUND(C21*F27*'数据-取费表'!B21/'数据-取费表'!B20,4)</f>
        <v>3.0000000000000001E-3</v>
      </c>
      <c r="D29" s="614"/>
      <c r="E29" s="615"/>
      <c r="F29" s="625"/>
      <c r="G29" s="626"/>
    </row>
    <row r="30" spans="1:7" s="593" customFormat="1" ht="13.5" customHeight="1">
      <c r="A30" s="1807" t="s">
        <v>2275</v>
      </c>
      <c r="B30" s="589" t="s">
        <v>512</v>
      </c>
      <c r="C30" s="614">
        <f>ROUND(F30/(1+'数据-取费表'!B42),4)</f>
        <v>5.2400000000000002E-2</v>
      </c>
      <c r="D30" s="615" t="s">
        <v>3350</v>
      </c>
      <c r="E30" s="620"/>
      <c r="F30" s="616">
        <f>'数据-取费表'!B41</f>
        <v>5.5000000000000007E-2</v>
      </c>
      <c r="G30" s="2635" t="s">
        <v>3351</v>
      </c>
    </row>
    <row r="31" spans="1:7" ht="16.5" customHeight="1">
      <c r="A31" s="588">
        <v>1</v>
      </c>
      <c r="B31" s="589" t="s">
        <v>1089</v>
      </c>
      <c r="C31" s="590">
        <f ca="1">ROUND((C5+C19+C20+C22+C27)/(1-C21-D22-D27-C30),0)</f>
        <v>365587</v>
      </c>
      <c r="D31" s="609"/>
      <c r="E31" s="590"/>
      <c r="F31" s="629"/>
      <c r="G31" s="613" t="s">
        <v>2924</v>
      </c>
    </row>
    <row r="32" spans="1:7" s="587" customFormat="1" ht="15.75">
      <c r="A32" s="631" t="s">
        <v>1075</v>
      </c>
      <c r="B32" s="632"/>
      <c r="C32" s="632"/>
      <c r="D32" s="632"/>
      <c r="E32" s="632"/>
      <c r="F32" s="632"/>
      <c r="G32" s="633"/>
    </row>
    <row r="33" spans="1:7" s="593" customFormat="1" ht="13.5" customHeight="1">
      <c r="A33" s="634" t="s">
        <v>2269</v>
      </c>
      <c r="B33" s="589" t="s">
        <v>1076</v>
      </c>
      <c r="C33" s="635">
        <f ca="1">SUM(C34:C38)</f>
        <v>271649</v>
      </c>
      <c r="D33" s="611"/>
      <c r="E33" s="591"/>
      <c r="F33" s="620"/>
      <c r="G33" s="613"/>
    </row>
    <row r="34" spans="1:7" s="637" customFormat="1" ht="13.5" customHeight="1">
      <c r="A34" s="1810" t="s">
        <v>2278</v>
      </c>
      <c r="B34" s="594" t="s">
        <v>513</v>
      </c>
      <c r="C34" s="599">
        <f ca="1">IF(B1="",IF(F34=100%,'数据-取费表'!M16,'数据-取费表'!O16),IF(F34=100%,INDIRECT("'数据-取费表'!m"&amp;$G$1)+INDIRECT("'数据-取费表'!t"&amp;$G$1),INDIRECT("'数据-取费表'!o"&amp;$G$1)+INDIRECT("'数据-取费表'!aq"&amp;$G$1)))</f>
        <v>245776</v>
      </c>
      <c r="D34" s="596"/>
      <c r="E34" s="599"/>
      <c r="F34" s="636">
        <f ca="1">IF('数据-取费表'!B24=0,1,IF(B1="",'数据-取费表'!N16,INDIRECT("'数据-取费表'!n"&amp;$G$1)))</f>
        <v>1</v>
      </c>
      <c r="G34" s="598" t="s">
        <v>1077</v>
      </c>
    </row>
    <row r="35" spans="1:7" ht="13.5" customHeight="1">
      <c r="A35" s="1810" t="s">
        <v>2283</v>
      </c>
      <c r="B35" s="594" t="s">
        <v>514</v>
      </c>
      <c r="C35" s="599">
        <f ca="1">ROUND(C34*F35,0)</f>
        <v>12289</v>
      </c>
      <c r="D35" s="599"/>
      <c r="E35" s="599"/>
      <c r="F35" s="638">
        <f>'数据-取费表'!B33</f>
        <v>0.05</v>
      </c>
      <c r="G35" s="598" t="s">
        <v>1078</v>
      </c>
    </row>
    <row r="36" spans="1:7" ht="24">
      <c r="A36" s="1810" t="s">
        <v>2284</v>
      </c>
      <c r="B36" s="594" t="s">
        <v>515</v>
      </c>
      <c r="C36" s="599">
        <f ca="1">IF(B1="",SUMIF('数据-取费表'!C:C,"住宅",IF(F34=100%,'数据-取费表'!M:M,'数据-取费表'!O:O))*F36,IF(INDIRECT("'数据-取费表'!c"&amp;$G$1)="住宅",IF(F34=100%,INDIRECT("'数据-取费表'!m"&amp;$G$1)*F36,INDIRECT("'数据-取费表'!o"&amp;$G$1)*F36),0))</f>
        <v>0</v>
      </c>
      <c r="D36" s="599"/>
      <c r="E36" s="599"/>
      <c r="F36" s="638">
        <f>'数据-取费表'!B34</f>
        <v>0</v>
      </c>
      <c r="G36" s="639" t="s">
        <v>516</v>
      </c>
    </row>
    <row r="37" spans="1:7" s="637" customFormat="1" ht="13.5" customHeight="1">
      <c r="A37" s="1810" t="s">
        <v>2285</v>
      </c>
      <c r="B37" s="594" t="s">
        <v>1079</v>
      </c>
      <c r="C37" s="628">
        <f ca="1">ROUND(E37*D37*F34/10000,0)</f>
        <v>9897</v>
      </c>
      <c r="D37" s="596">
        <f ca="1">D19</f>
        <v>494831.87</v>
      </c>
      <c r="E37" s="628">
        <f>'数据-取费表'!B35</f>
        <v>200</v>
      </c>
      <c r="F37" s="638"/>
      <c r="G37" s="640" t="s">
        <v>1080</v>
      </c>
    </row>
    <row r="38" spans="1:7" ht="13.5" customHeight="1">
      <c r="A38" s="1810" t="s">
        <v>2286</v>
      </c>
      <c r="B38" s="594" t="s">
        <v>517</v>
      </c>
      <c r="C38" s="599">
        <f ca="1">ROUND(C34*F38,0)</f>
        <v>3687</v>
      </c>
      <c r="D38" s="599"/>
      <c r="E38" s="599"/>
      <c r="F38" s="638">
        <f>'数据-取费表'!B36</f>
        <v>1.4999999999999999E-2</v>
      </c>
      <c r="G38" s="598" t="s">
        <v>1078</v>
      </c>
    </row>
    <row r="39" spans="1:7" s="593" customFormat="1" ht="13.5" customHeight="1">
      <c r="A39" s="1807" t="s">
        <v>2270</v>
      </c>
      <c r="B39" s="589" t="s">
        <v>1065</v>
      </c>
      <c r="C39" s="611">
        <f ca="1">ROUND(C33*F20,0)</f>
        <v>8149</v>
      </c>
      <c r="D39" s="611"/>
      <c r="E39" s="611"/>
      <c r="F39" s="612"/>
      <c r="G39" s="2635" t="s">
        <v>2925</v>
      </c>
    </row>
    <row r="40" spans="1:7" s="593" customFormat="1" ht="13.5" customHeight="1">
      <c r="A40" s="1807" t="s">
        <v>2271</v>
      </c>
      <c r="B40" s="589" t="s">
        <v>1066</v>
      </c>
      <c r="C40" s="3257">
        <f>F21</f>
        <v>0.02</v>
      </c>
      <c r="D40" s="615" t="s">
        <v>1090</v>
      </c>
      <c r="E40" s="611"/>
      <c r="F40" s="612"/>
      <c r="G40" s="613" t="s">
        <v>1081</v>
      </c>
    </row>
    <row r="41" spans="1:7" s="593" customFormat="1" ht="13.5" customHeight="1">
      <c r="A41" s="1807" t="s">
        <v>2272</v>
      </c>
      <c r="B41" s="589" t="s">
        <v>1068</v>
      </c>
      <c r="C41" s="611">
        <f ca="1">ROUND(SUM(C42:C43),0)</f>
        <v>34419</v>
      </c>
      <c r="D41" s="614">
        <f ca="1">C44</f>
        <v>2.5000000000000001E-3</v>
      </c>
      <c r="E41" s="615" t="s">
        <v>1090</v>
      </c>
      <c r="F41" s="616"/>
      <c r="G41" s="2635" t="str">
        <f>IF('数据-取费表'!B22&lt;=1,"单利计息","复利计息")</f>
        <v>复利计息</v>
      </c>
    </row>
    <row r="42" spans="1:7" ht="13.5" customHeight="1">
      <c r="A42" s="1810" t="s">
        <v>2278</v>
      </c>
      <c r="B42" s="594" t="s">
        <v>2915</v>
      </c>
      <c r="C42" s="617">
        <f ca="1">ROUND(IF('数据-取费表'!B22&lt;=1,C33*F22*'数据-取费表'!B21/2,C33*(POWER((1+F22),'数据-取费表'!B21/2)-1)),0)</f>
        <v>33417</v>
      </c>
      <c r="D42" s="617"/>
      <c r="E42" s="617"/>
      <c r="F42" s="618"/>
      <c r="G42" s="3744" t="s">
        <v>1082</v>
      </c>
    </row>
    <row r="43" spans="1:7" ht="13.5" customHeight="1">
      <c r="A43" s="1810" t="s">
        <v>2279</v>
      </c>
      <c r="B43" s="594" t="s">
        <v>2918</v>
      </c>
      <c r="C43" s="617">
        <f ca="1">ROUND(IF('数据-取费表'!B22&lt;=1,C39*F22*'数据-取费表'!B21/2,C39*(POWER((1+F22),'数据-取费表'!B21/2)-1)),0)</f>
        <v>1002</v>
      </c>
      <c r="D43" s="617"/>
      <c r="E43" s="617"/>
      <c r="F43" s="618"/>
      <c r="G43" s="3745"/>
    </row>
    <row r="44" spans="1:7" ht="13.5" customHeight="1">
      <c r="A44" s="1810" t="s">
        <v>2280</v>
      </c>
      <c r="B44" s="594" t="s">
        <v>2920</v>
      </c>
      <c r="C44" s="617">
        <f ca="1">ROUND(IF('数据-取费表'!B22&lt;=1,C40*F22*'数据-取费表'!B21/2,C40*(POWER((1+F22),'数据-取费表'!B21/2)-1)),4)</f>
        <v>2.5000000000000001E-3</v>
      </c>
      <c r="D44" s="617"/>
      <c r="E44" s="617"/>
      <c r="F44" s="618"/>
      <c r="G44" s="3746"/>
    </row>
    <row r="45" spans="1:7" s="593" customFormat="1" ht="13.5" customHeight="1">
      <c r="A45" s="1807" t="s">
        <v>2273</v>
      </c>
      <c r="B45" s="623" t="s">
        <v>1073</v>
      </c>
      <c r="C45" s="624">
        <f ca="1">C46</f>
        <v>41970</v>
      </c>
      <c r="D45" s="614">
        <f ca="1">C47</f>
        <v>3.0000000000000001E-3</v>
      </c>
      <c r="E45" s="615" t="s">
        <v>1090</v>
      </c>
      <c r="F45" s="625"/>
      <c r="G45" s="626" t="s">
        <v>2926</v>
      </c>
    </row>
    <row r="46" spans="1:7" s="593" customFormat="1" ht="13.5" customHeight="1">
      <c r="A46" s="1810" t="s">
        <v>2278</v>
      </c>
      <c r="B46" s="627" t="s">
        <v>2919</v>
      </c>
      <c r="C46" s="628">
        <f ca="1">ROUND((C33+C39)*F27,0)</f>
        <v>41970</v>
      </c>
      <c r="D46" s="642"/>
      <c r="E46" s="615"/>
      <c r="F46" s="625"/>
      <c r="G46" s="626"/>
    </row>
    <row r="47" spans="1:7" s="593" customFormat="1" ht="13.5" customHeight="1">
      <c r="A47" s="1810" t="s">
        <v>2279</v>
      </c>
      <c r="B47" s="627" t="s">
        <v>2921</v>
      </c>
      <c r="C47" s="617">
        <f ca="1">ROUND(C40*F27,4)</f>
        <v>3.0000000000000001E-3</v>
      </c>
      <c r="D47" s="642"/>
      <c r="E47" s="615"/>
      <c r="F47" s="625"/>
      <c r="G47" s="626"/>
    </row>
    <row r="48" spans="1:7" s="593" customFormat="1" ht="13.5" customHeight="1">
      <c r="A48" s="1807" t="s">
        <v>2274</v>
      </c>
      <c r="B48" s="589" t="s">
        <v>1083</v>
      </c>
      <c r="C48" s="3257">
        <f>ROUND(F30/(1+'数据-取费表'!B42),4)</f>
        <v>5.2400000000000002E-2</v>
      </c>
      <c r="D48" s="615" t="s">
        <v>3352</v>
      </c>
      <c r="E48" s="611"/>
      <c r="F48" s="616"/>
      <c r="G48" s="2635" t="s">
        <v>3353</v>
      </c>
    </row>
    <row r="49" spans="1:7" ht="16.5" customHeight="1">
      <c r="A49" s="1807" t="s">
        <v>2275</v>
      </c>
      <c r="B49" s="589" t="s">
        <v>1092</v>
      </c>
      <c r="C49" s="611">
        <f ca="1">ROUND((C33+C39+C41+C45)/(1-C40-D41-D45-C48),0)</f>
        <v>386278</v>
      </c>
      <c r="D49" s="611"/>
      <c r="E49" s="611"/>
      <c r="F49" s="643"/>
      <c r="G49" s="613" t="s">
        <v>2927</v>
      </c>
    </row>
    <row r="50" spans="1:7" s="637" customFormat="1" ht="24">
      <c r="A50" s="1807" t="s">
        <v>2276</v>
      </c>
      <c r="B50" s="589" t="s">
        <v>1085</v>
      </c>
      <c r="C50" s="611"/>
      <c r="D50" s="611"/>
      <c r="E50" s="611"/>
      <c r="F50" s="643">
        <f>IF('数据-取费表'!B24=0,'数据-取费表'!N16,1)</f>
        <v>0.8</v>
      </c>
      <c r="G50" s="626" t="s">
        <v>1086</v>
      </c>
    </row>
    <row r="51" spans="1:7" ht="16.5" customHeight="1">
      <c r="A51" s="1807" t="s">
        <v>2277</v>
      </c>
      <c r="B51" s="589" t="s">
        <v>1093</v>
      </c>
      <c r="C51" s="611">
        <f ca="1">ROUND(C49*F50,0)</f>
        <v>309022</v>
      </c>
      <c r="D51" s="611"/>
      <c r="E51" s="611"/>
      <c r="F51" s="643"/>
      <c r="G51" s="613" t="s">
        <v>518</v>
      </c>
    </row>
    <row r="52" spans="1:7" s="587" customFormat="1" ht="16.5" thickBot="1">
      <c r="A52" s="644" t="s">
        <v>519</v>
      </c>
      <c r="B52" s="645"/>
      <c r="C52" s="646">
        <f ca="1">C31+C51</f>
        <v>674609</v>
      </c>
      <c r="D52" s="645"/>
      <c r="E52" s="645"/>
      <c r="F52" s="645"/>
      <c r="G52" s="647"/>
    </row>
    <row r="55" spans="1:7" ht="15">
      <c r="B55" s="649" t="s">
        <v>520</v>
      </c>
      <c r="C55" s="650"/>
    </row>
    <row r="56" spans="1:7">
      <c r="B56" s="2891" t="s">
        <v>3105</v>
      </c>
      <c r="C56" s="654">
        <f ca="1">1-C57</f>
        <v>0.54200000000000004</v>
      </c>
    </row>
    <row r="57" spans="1:7">
      <c r="B57" s="2891" t="s">
        <v>3104</v>
      </c>
      <c r="C57" s="653">
        <f ca="1">ROUND(C51/C52,3)</f>
        <v>0.45800000000000002</v>
      </c>
    </row>
  </sheetData>
  <sheetProtection password="C66D" sheet="1" objects="1" scenarios="1"/>
  <mergeCells count="1">
    <mergeCell ref="G42:G44"/>
  </mergeCells>
  <phoneticPr fontId="206"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3" customWidth="1"/>
    <col min="2" max="9" width="10" style="1893" customWidth="1"/>
    <col min="10" max="16384" width="9" style="1893"/>
  </cols>
  <sheetData>
    <row r="36" spans="1:9">
      <c r="A36" s="1892" t="s">
        <v>2319</v>
      </c>
      <c r="B36" s="1892" t="s">
        <v>2320</v>
      </c>
    </row>
    <row r="37" spans="1:9" ht="27.75" customHeight="1">
      <c r="A37" s="1892"/>
      <c r="B37" s="3545" t="str">
        <f>项目基本情况!B1</f>
        <v>香河香河开发区第一城城内房地产抵押价值预评估</v>
      </c>
      <c r="C37" s="3545"/>
      <c r="D37" s="3545"/>
      <c r="E37" s="3545"/>
      <c r="F37" s="3545"/>
      <c r="G37" s="3545"/>
      <c r="H37" s="3545"/>
      <c r="I37" s="3545"/>
    </row>
    <row r="38" spans="1:9">
      <c r="A38" s="1894"/>
      <c r="B38" s="1894"/>
    </row>
    <row r="39" spans="1:9">
      <c r="A39" s="1892" t="s">
        <v>2319</v>
      </c>
      <c r="B39" s="1892" t="s">
        <v>2321</v>
      </c>
    </row>
    <row r="40" spans="1:9">
      <c r="A40" s="1892"/>
      <c r="B40" s="1892" t="str">
        <f>项目基本情况!B5</f>
        <v>中信国安会议展览有限公司</v>
      </c>
    </row>
    <row r="41" spans="1:9">
      <c r="A41" s="1892"/>
      <c r="B41" s="1892"/>
    </row>
    <row r="42" spans="1:9">
      <c r="A42" s="1892" t="s">
        <v>2319</v>
      </c>
      <c r="B42" s="1892" t="s">
        <v>2322</v>
      </c>
    </row>
    <row r="43" spans="1:9">
      <c r="A43" s="1892"/>
      <c r="B43" s="1892" t="s">
        <v>2323</v>
      </c>
    </row>
    <row r="44" spans="1:9">
      <c r="A44" s="1892"/>
      <c r="B44" s="1892"/>
    </row>
    <row r="45" spans="1:9">
      <c r="A45" s="1892" t="s">
        <v>2319</v>
      </c>
      <c r="B45" s="1892" t="s">
        <v>2324</v>
      </c>
    </row>
    <row r="46" spans="1:9" s="1892" customFormat="1" ht="12.75">
      <c r="B46" s="1892" t="str">
        <f ca="1">项目基本情况!K4</f>
        <v>梁津（注册号：1119970066)、欧红伟（注册号：1120000080)</v>
      </c>
    </row>
    <row r="47" spans="1:9">
      <c r="A47" s="1892"/>
      <c r="B47" s="1892" t="str">
        <f>项目基本情况!K5</f>
        <v/>
      </c>
    </row>
    <row r="48" spans="1:9">
      <c r="A48" s="1892" t="s">
        <v>2319</v>
      </c>
      <c r="B48" s="1892" t="s">
        <v>2325</v>
      </c>
    </row>
    <row r="49" spans="2:2">
      <c r="B49" s="189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1044</v>
      </c>
      <c r="B1" s="2768"/>
      <c r="C1" s="2773" t="s">
        <v>3032</v>
      </c>
      <c r="D1" s="577"/>
      <c r="E1" s="577"/>
      <c r="F1" s="577"/>
      <c r="G1" s="2769">
        <f>MATCH(B1,'数据-取费表'!A6:A16,0)+5</f>
        <v>7</v>
      </c>
      <c r="H1" s="2595" t="str">
        <f>IF(ISERROR(FIND("住宅",B1)),"非住宅","住宅")</f>
        <v>非住宅</v>
      </c>
    </row>
    <row r="2" spans="1:8" s="579" customFormat="1" ht="18" customHeight="1">
      <c r="A2" s="580" t="s">
        <v>509</v>
      </c>
      <c r="B2" s="581">
        <f ca="1">ROUND(IF(D2="——",C52/10000,C52/10000-E2),0)</f>
        <v>357286</v>
      </c>
      <c r="C2" s="85" t="s">
        <v>1094</v>
      </c>
      <c r="D2" s="2889" t="s">
        <v>752</v>
      </c>
      <c r="E2" s="2887" t="e">
        <f ca="1">SUMIF(INDIRECT("'"&amp;G2&amp;"'"&amp;"!A:A"),"承租人权益价值",INDIRECT("'"&amp;G2&amp;"'"&amp;"!c:c"))</f>
        <v>#N/A</v>
      </c>
      <c r="F2" s="2885" t="s">
        <v>1094</v>
      </c>
      <c r="G2" s="2888" t="s">
        <v>3073</v>
      </c>
    </row>
    <row r="3" spans="1:8" s="579" customFormat="1" ht="18" customHeight="1" thickBot="1">
      <c r="A3" s="582" t="s">
        <v>510</v>
      </c>
      <c r="B3" s="583">
        <f ca="1">ROUND(B2*10000/(IF(B1="",'数据-汇总表'!E3,INDIRECT("'数据-取费表'!k"&amp;$G$1))),0)</f>
        <v>7220</v>
      </c>
      <c r="C3" s="85" t="s">
        <v>1095</v>
      </c>
      <c r="D3" s="578"/>
      <c r="E3" s="578"/>
      <c r="F3" s="578"/>
      <c r="G3" s="578"/>
    </row>
    <row r="4" spans="1:8" s="587" customFormat="1" ht="15.75">
      <c r="A4" s="584" t="s">
        <v>1047</v>
      </c>
      <c r="B4" s="585"/>
      <c r="C4" s="585"/>
      <c r="D4" s="585"/>
      <c r="E4" s="585"/>
      <c r="F4" s="585"/>
      <c r="G4" s="586"/>
    </row>
    <row r="5" spans="1:8" s="593" customFormat="1" ht="13.5" customHeight="1">
      <c r="A5" s="634" t="s">
        <v>2269</v>
      </c>
      <c r="B5" s="589" t="s">
        <v>1048</v>
      </c>
      <c r="C5" s="590">
        <f>C6+C7+C8</f>
        <v>208100000</v>
      </c>
      <c r="D5" s="590" t="s">
        <v>1049</v>
      </c>
      <c r="E5" s="591" t="s">
        <v>1050</v>
      </c>
      <c r="F5" s="591" t="s">
        <v>1051</v>
      </c>
      <c r="G5" s="592"/>
    </row>
    <row r="6" spans="1:8" s="593" customFormat="1" ht="13.5" customHeight="1">
      <c r="A6" s="1808" t="s">
        <v>2278</v>
      </c>
      <c r="B6" s="594" t="s">
        <v>1052</v>
      </c>
      <c r="C6" s="595">
        <v>200000000</v>
      </c>
      <c r="D6" s="596"/>
      <c r="E6" s="597"/>
      <c r="F6" s="597"/>
      <c r="G6" s="598"/>
    </row>
    <row r="7" spans="1:8" s="593" customFormat="1" ht="13.5" customHeight="1">
      <c r="A7" s="1808" t="s">
        <v>2279</v>
      </c>
      <c r="B7" s="594" t="s">
        <v>511</v>
      </c>
      <c r="C7" s="599">
        <f>ROUND(C6*F7,0)</f>
        <v>8100000</v>
      </c>
      <c r="D7" s="599"/>
      <c r="E7" s="597"/>
      <c r="F7" s="600">
        <f>'数据-取费表'!B48+'数据-取费表'!B49</f>
        <v>4.0500000000000001E-2</v>
      </c>
      <c r="G7" s="598"/>
    </row>
    <row r="8" spans="1:8" s="602" customFormat="1">
      <c r="A8" s="1808" t="s">
        <v>2280</v>
      </c>
      <c r="B8" s="594" t="s">
        <v>1053</v>
      </c>
      <c r="C8" s="599">
        <f>IF(G8="已包含在土地购买价格中",0,C9+C10)</f>
        <v>0</v>
      </c>
      <c r="D8" s="601"/>
      <c r="E8" s="599"/>
      <c r="F8" s="600"/>
      <c r="G8" s="84" t="s">
        <v>3087</v>
      </c>
    </row>
    <row r="9" spans="1:8" s="593" customFormat="1" ht="13.5" customHeight="1">
      <c r="A9" s="1809" t="s">
        <v>2287</v>
      </c>
      <c r="B9" s="603" t="s">
        <v>1054</v>
      </c>
      <c r="C9" s="604">
        <f ca="1">ROUND(D9*E9,0)</f>
        <v>0</v>
      </c>
      <c r="D9" s="1913">
        <f ca="1">IF(B1="",'数据-汇总表'!E5,IF(INDIRECT("'数据-取费表'!c"&amp;$G$1)="住宅",INDIRECT("'数据-取费表'!k"&amp;$G$1),0))</f>
        <v>0</v>
      </c>
      <c r="E9" s="604">
        <f>'数据-取费表'!B27</f>
        <v>33.200000000000003</v>
      </c>
      <c r="F9" s="600"/>
      <c r="G9" s="605"/>
    </row>
    <row r="10" spans="1:8" s="593" customFormat="1" ht="13.5" customHeight="1">
      <c r="A10" s="1809" t="s">
        <v>2288</v>
      </c>
      <c r="B10" s="603" t="s">
        <v>1055</v>
      </c>
      <c r="C10" s="604">
        <f ca="1">ROUND(D10*E10,0)</f>
        <v>10688368</v>
      </c>
      <c r="D10" s="1913">
        <f ca="1">IF(B1="",'数据-汇总表'!E6,IF(INDIRECT("'数据-取费表'!c"&amp;$G$1)="住宅",INDIRECT("'数据-取费表'!s"&amp;$G$1),INDIRECT("'数据-取费表'!k"&amp;$G$1)+INDIRECT("'数据-取费表'!s"&amp;$G$1)))</f>
        <v>494831.87</v>
      </c>
      <c r="E10" s="604">
        <f>'数据-取费表'!B28</f>
        <v>21.6</v>
      </c>
      <c r="F10" s="600"/>
      <c r="G10" s="605"/>
    </row>
    <row r="11" spans="1:8" s="593" customFormat="1" ht="13.5" hidden="1" customHeight="1">
      <c r="A11" s="606" t="s">
        <v>45</v>
      </c>
      <c r="B11" s="594" t="s">
        <v>1056</v>
      </c>
      <c r="C11" s="590"/>
      <c r="D11" s="1915"/>
      <c r="E11" s="597"/>
      <c r="F11" s="597"/>
      <c r="G11" s="598"/>
    </row>
    <row r="12" spans="1:8" s="593" customFormat="1" ht="13.5" hidden="1" customHeight="1">
      <c r="A12" s="606" t="s">
        <v>46</v>
      </c>
      <c r="B12" s="594" t="s">
        <v>1057</v>
      </c>
      <c r="C12" s="590">
        <v>0</v>
      </c>
      <c r="D12" s="1915"/>
      <c r="E12" s="607"/>
      <c r="F12" s="600">
        <v>3.0499999999999999E-2</v>
      </c>
      <c r="G12" s="598"/>
    </row>
    <row r="13" spans="1:8" s="593" customFormat="1" ht="13.5" hidden="1" customHeight="1">
      <c r="A13" s="606" t="s">
        <v>47</v>
      </c>
      <c r="B13" s="594" t="s">
        <v>1058</v>
      </c>
      <c r="C13" s="590"/>
      <c r="D13" s="1915"/>
      <c r="E13" s="597"/>
      <c r="F13" s="597"/>
      <c r="G13" s="598"/>
    </row>
    <row r="14" spans="1:8" s="593" customFormat="1" ht="13.5" hidden="1" customHeight="1">
      <c r="A14" s="606" t="s">
        <v>48</v>
      </c>
      <c r="B14" s="594" t="s">
        <v>1053</v>
      </c>
      <c r="C14" s="590"/>
      <c r="D14" s="1915"/>
      <c r="E14" s="597"/>
      <c r="F14" s="597"/>
      <c r="G14" s="598" t="s">
        <v>1059</v>
      </c>
    </row>
    <row r="15" spans="1:8" s="593" customFormat="1" ht="13.5" hidden="1" customHeight="1">
      <c r="A15" s="606" t="s">
        <v>49</v>
      </c>
      <c r="B15" s="594" t="s">
        <v>1060</v>
      </c>
      <c r="C15" s="599"/>
      <c r="D15" s="1915"/>
      <c r="E15" s="597"/>
      <c r="F15" s="597"/>
      <c r="G15" s="598" t="s">
        <v>1061</v>
      </c>
    </row>
    <row r="16" spans="1:8" s="593" customFormat="1" ht="13.5" hidden="1" customHeight="1">
      <c r="A16" s="606" t="s">
        <v>50</v>
      </c>
      <c r="B16" s="594" t="s">
        <v>1053</v>
      </c>
      <c r="C16" s="599"/>
      <c r="D16" s="1915"/>
      <c r="E16" s="597"/>
      <c r="F16" s="597"/>
      <c r="G16" s="598"/>
    </row>
    <row r="17" spans="1:7" s="593" customFormat="1" ht="13.5" hidden="1" customHeight="1">
      <c r="A17" s="606" t="s">
        <v>51</v>
      </c>
      <c r="B17" s="594" t="s">
        <v>1062</v>
      </c>
      <c r="C17" s="608"/>
      <c r="D17" s="1916"/>
      <c r="E17" s="608"/>
      <c r="F17" s="608"/>
      <c r="G17" s="598" t="s">
        <v>1061</v>
      </c>
    </row>
    <row r="18" spans="1:7" s="593" customFormat="1" ht="13.5" hidden="1" customHeight="1">
      <c r="A18" s="606" t="s">
        <v>52</v>
      </c>
      <c r="B18" s="594" t="s">
        <v>1063</v>
      </c>
      <c r="C18" s="599">
        <v>0</v>
      </c>
      <c r="D18" s="1915"/>
      <c r="E18" s="597"/>
      <c r="F18" s="600">
        <v>3.0499999999999999E-2</v>
      </c>
      <c r="G18" s="598" t="s">
        <v>1064</v>
      </c>
    </row>
    <row r="19" spans="1:7" s="602" customFormat="1" ht="13.5" customHeight="1">
      <c r="A19" s="1807" t="s">
        <v>2270</v>
      </c>
      <c r="B19" s="589" t="s">
        <v>1072</v>
      </c>
      <c r="C19" s="590">
        <f ca="1">IF(G19="已包含在土地取得成本中","0",ROUND(D19*E19,0))</f>
        <v>98966374</v>
      </c>
      <c r="D19" s="1917">
        <f ca="1">D9+D10</f>
        <v>494831.87</v>
      </c>
      <c r="E19" s="590">
        <f>'数据-取费表'!B31</f>
        <v>200</v>
      </c>
      <c r="F19" s="610"/>
      <c r="G19" s="84" t="s">
        <v>2931</v>
      </c>
    </row>
    <row r="20" spans="1:7" s="593" customFormat="1" ht="13.5" customHeight="1">
      <c r="A20" s="1807" t="s">
        <v>2271</v>
      </c>
      <c r="B20" s="589" t="s">
        <v>1065</v>
      </c>
      <c r="C20" s="611">
        <f ca="1">ROUND((C5+C19)*F20,0)</f>
        <v>9211991</v>
      </c>
      <c r="D20" s="611"/>
      <c r="E20" s="611"/>
      <c r="F20" s="612">
        <f>'数据-取费表'!B37</f>
        <v>0.03</v>
      </c>
      <c r="G20" s="2635" t="s">
        <v>2922</v>
      </c>
    </row>
    <row r="21" spans="1:7" s="593" customFormat="1" ht="13.5" customHeight="1">
      <c r="A21" s="1807" t="s">
        <v>2272</v>
      </c>
      <c r="B21" s="589" t="s">
        <v>1066</v>
      </c>
      <c r="C21" s="614">
        <f>F21</f>
        <v>0.02</v>
      </c>
      <c r="D21" s="615" t="s">
        <v>1087</v>
      </c>
      <c r="E21" s="611"/>
      <c r="F21" s="612">
        <f>'数据-取费表'!B38</f>
        <v>0.02</v>
      </c>
      <c r="G21" s="613" t="s">
        <v>1067</v>
      </c>
    </row>
    <row r="22" spans="1:7" s="593" customFormat="1" ht="13.5" customHeight="1">
      <c r="A22" s="1807" t="s">
        <v>2273</v>
      </c>
      <c r="B22" s="589" t="s">
        <v>1068</v>
      </c>
      <c r="C22" s="2770">
        <f ca="1">ROUND(SUM(C23:C25),0)</f>
        <v>81326630</v>
      </c>
      <c r="D22" s="614">
        <f ca="1">C26</f>
        <v>2.5000000000000001E-3</v>
      </c>
      <c r="E22" s="615" t="s">
        <v>1087</v>
      </c>
      <c r="F22" s="616">
        <f ca="1">'数据-取费表'!B40</f>
        <v>4.7500000000000001E-2</v>
      </c>
      <c r="G22" s="2635" t="str">
        <f>IF('数据-取费表'!B22&lt;=1,"单利计息","复利计息")</f>
        <v>复利计息</v>
      </c>
    </row>
    <row r="23" spans="1:7" s="593" customFormat="1" ht="13.5" customHeight="1">
      <c r="A23" s="1810" t="s">
        <v>2278</v>
      </c>
      <c r="B23" s="594" t="s">
        <v>2915</v>
      </c>
      <c r="C23" s="2771">
        <f ca="1">ROUND(IF('数据-取费表'!B22&lt;=1,C5*F22*'数据-取费表'!B22,C5*(POWER((1+F22),'数据-取费表'!B22)-1)),0)</f>
        <v>54347378</v>
      </c>
      <c r="D23" s="617"/>
      <c r="E23" s="617"/>
      <c r="F23" s="618"/>
      <c r="G23" s="619" t="s">
        <v>1069</v>
      </c>
    </row>
    <row r="24" spans="1:7" s="593" customFormat="1" ht="13.5" customHeight="1">
      <c r="A24" s="1810" t="s">
        <v>2279</v>
      </c>
      <c r="B24" s="594" t="s">
        <v>2910</v>
      </c>
      <c r="C24" s="2771">
        <f ca="1">ROUND(IF('数据-取费表'!B22&lt;=1,C19*F22*('数据-取费表'!B19/2+'数据-取费表'!B20),C19*(POWER((1+F22),('数据-取费表'!B19/2+'数据-取费表'!B20))-1)),0)</f>
        <v>25846050</v>
      </c>
      <c r="D24" s="617"/>
      <c r="E24" s="617"/>
      <c r="F24" s="618"/>
      <c r="G24" s="619" t="s">
        <v>1070</v>
      </c>
    </row>
    <row r="25" spans="1:7" s="593" customFormat="1" ht="24">
      <c r="A25" s="1810" t="s">
        <v>2280</v>
      </c>
      <c r="B25" s="594" t="s">
        <v>2912</v>
      </c>
      <c r="C25" s="2771">
        <f ca="1">ROUND(IF('数据-取费表'!B22&lt;=1,C20*F22*'数据-取费表'!B22/2,C20*(POWER((1+F22),'数据-取费表'!B22/2)-1)),0)</f>
        <v>1133202</v>
      </c>
      <c r="D25" s="617"/>
      <c r="E25" s="620"/>
      <c r="F25" s="618"/>
      <c r="G25" s="621" t="s">
        <v>1071</v>
      </c>
    </row>
    <row r="26" spans="1:7" s="593" customFormat="1">
      <c r="A26" s="1810" t="s">
        <v>2282</v>
      </c>
      <c r="B26" s="594" t="s">
        <v>2914</v>
      </c>
      <c r="C26" s="617">
        <f ca="1">ROUND(IF('数据-取费表'!B22&lt;=1,F21*F22*'数据-取费表'!B22/2,F21*(POWER((1+F22),'数据-取费表'!B22/2)-1)),4)</f>
        <v>2.5000000000000001E-3</v>
      </c>
      <c r="D26" s="617"/>
      <c r="E26" s="620"/>
      <c r="F26" s="618"/>
      <c r="G26" s="622"/>
    </row>
    <row r="27" spans="1:7" s="593" customFormat="1" ht="24.75">
      <c r="A27" s="1807" t="s">
        <v>2274</v>
      </c>
      <c r="B27" s="623" t="s">
        <v>1073</v>
      </c>
      <c r="C27" s="624">
        <f ca="1">C28</f>
        <v>47441755</v>
      </c>
      <c r="D27" s="614">
        <f ca="1">C29</f>
        <v>3.0000000000000001E-3</v>
      </c>
      <c r="E27" s="615" t="s">
        <v>1087</v>
      </c>
      <c r="F27" s="625">
        <f ca="1">IF(B1="",'数据-取费表'!Q16,INDIRECT("'数据-取费表'!q"&amp;$G$1))</f>
        <v>0.15</v>
      </c>
      <c r="G27" s="626" t="s">
        <v>2923</v>
      </c>
    </row>
    <row r="28" spans="1:7" s="593" customFormat="1" ht="13.5" customHeight="1">
      <c r="A28" s="1810" t="s">
        <v>2278</v>
      </c>
      <c r="B28" s="627" t="s">
        <v>2916</v>
      </c>
      <c r="C28" s="628">
        <f ca="1">ROUND((C5+C19+C20)*F27,0)</f>
        <v>47441755</v>
      </c>
      <c r="D28" s="614"/>
      <c r="E28" s="615"/>
      <c r="F28" s="625"/>
      <c r="G28" s="626"/>
    </row>
    <row r="29" spans="1:7" s="593" customFormat="1" ht="13.5" customHeight="1">
      <c r="A29" s="1810" t="s">
        <v>2279</v>
      </c>
      <c r="B29" s="627" t="s">
        <v>2917</v>
      </c>
      <c r="C29" s="617">
        <f ca="1">ROUND(C21*F27,4)</f>
        <v>3.0000000000000001E-3</v>
      </c>
      <c r="D29" s="614"/>
      <c r="E29" s="615"/>
      <c r="F29" s="625"/>
      <c r="G29" s="626"/>
    </row>
    <row r="30" spans="1:7" s="593" customFormat="1" ht="13.5" customHeight="1">
      <c r="A30" s="1807" t="s">
        <v>2275</v>
      </c>
      <c r="B30" s="589" t="s">
        <v>512</v>
      </c>
      <c r="C30" s="614">
        <f>ROUND(F30/(1+'数据-取费表'!B42),4)</f>
        <v>5.2400000000000002E-2</v>
      </c>
      <c r="D30" s="615" t="s">
        <v>3354</v>
      </c>
      <c r="E30" s="620"/>
      <c r="F30" s="616">
        <f>'数据-取费表'!B41</f>
        <v>5.5000000000000007E-2</v>
      </c>
      <c r="G30" s="2635" t="s">
        <v>3355</v>
      </c>
    </row>
    <row r="31" spans="1:7" ht="16.5" customHeight="1">
      <c r="A31" s="588">
        <v>1</v>
      </c>
      <c r="B31" s="589" t="s">
        <v>1089</v>
      </c>
      <c r="C31" s="590">
        <f ca="1">ROUND((C5+C19+C20+C22+C27)/(1-C21-D22-D27-C30),0)</f>
        <v>482644778</v>
      </c>
      <c r="D31" s="609"/>
      <c r="E31" s="590"/>
      <c r="F31" s="629"/>
      <c r="G31" s="613" t="s">
        <v>2924</v>
      </c>
    </row>
    <row r="32" spans="1:7" s="587" customFormat="1" ht="15.75">
      <c r="A32" s="631" t="s">
        <v>3027</v>
      </c>
      <c r="B32" s="632"/>
      <c r="C32" s="632"/>
      <c r="D32" s="632"/>
      <c r="E32" s="632"/>
      <c r="F32" s="632"/>
      <c r="G32" s="633"/>
    </row>
    <row r="33" spans="1:7" s="593" customFormat="1" ht="13.5" customHeight="1">
      <c r="A33" s="634" t="s">
        <v>2269</v>
      </c>
      <c r="B33" s="2772" t="s">
        <v>3028</v>
      </c>
      <c r="C33" s="635">
        <f ca="1">SUM(C34:C38)</f>
        <v>2716478457</v>
      </c>
      <c r="D33" s="611"/>
      <c r="E33" s="591"/>
      <c r="F33" s="620"/>
      <c r="G33" s="613"/>
    </row>
    <row r="34" spans="1:7" s="637" customFormat="1" ht="13.5" customHeight="1">
      <c r="A34" s="1810" t="s">
        <v>2278</v>
      </c>
      <c r="B34" s="594" t="s">
        <v>513</v>
      </c>
      <c r="C34" s="599">
        <f ca="1">ROUND(IF(B1="",SUMPRODUCT('数据-取费表'!K6:K14,'数据-取费表'!L6:L14),INDIRECT("'数据-取费表'!l"&amp;$G$1)*INDIRECT("'数据-取费表'!k"&amp;$G$1)+'数据-取费表'!L14*INDIRECT("'数据-取费表'!S"&amp;$G$1)),0)</f>
        <v>2457757825</v>
      </c>
      <c r="D34" s="596"/>
      <c r="E34" s="599"/>
      <c r="F34" s="636"/>
      <c r="G34" s="598"/>
    </row>
    <row r="35" spans="1:7" ht="13.5" customHeight="1">
      <c r="A35" s="1810" t="s">
        <v>2283</v>
      </c>
      <c r="B35" s="594" t="s">
        <v>514</v>
      </c>
      <c r="C35" s="599">
        <f ca="1">ROUND(C34*F35,0)</f>
        <v>122887891</v>
      </c>
      <c r="D35" s="599"/>
      <c r="E35" s="599"/>
      <c r="F35" s="638">
        <f>'数据-取费表'!B33</f>
        <v>0.05</v>
      </c>
      <c r="G35" s="598" t="s">
        <v>1078</v>
      </c>
    </row>
    <row r="36" spans="1:7" ht="24">
      <c r="A36" s="1810" t="s">
        <v>2284</v>
      </c>
      <c r="B36" s="594" t="s">
        <v>515</v>
      </c>
      <c r="C36" s="599">
        <f ca="1">ROUND(IF(B1="",SUM('数据-取费表'!AP6:AP13)*F36,IF(INDIRECT("'数据-取费表'!c"&amp;$G$1)="住宅",INDIRECT("'数据-取费表'!k"&amp;$G$1)*INDIRECT("'数据-取费表'!l"&amp;$G$1)*F36,0)),0)</f>
        <v>0</v>
      </c>
      <c r="D36" s="599"/>
      <c r="E36" s="599"/>
      <c r="F36" s="638">
        <f>'数据-取费表'!B34</f>
        <v>0</v>
      </c>
      <c r="G36" s="639" t="s">
        <v>516</v>
      </c>
    </row>
    <row r="37" spans="1:7" s="637" customFormat="1" ht="13.5" customHeight="1">
      <c r="A37" s="1810" t="s">
        <v>2285</v>
      </c>
      <c r="B37" s="594" t="s">
        <v>1079</v>
      </c>
      <c r="C37" s="628">
        <f ca="1">ROUND(E37*D37,0)</f>
        <v>98966374</v>
      </c>
      <c r="D37" s="596">
        <f ca="1">D19</f>
        <v>494831.87</v>
      </c>
      <c r="E37" s="628">
        <f>'数据-取费表'!B35</f>
        <v>200</v>
      </c>
      <c r="F37" s="638"/>
      <c r="G37" s="640"/>
    </row>
    <row r="38" spans="1:7" ht="13.5" customHeight="1">
      <c r="A38" s="1810" t="s">
        <v>2286</v>
      </c>
      <c r="B38" s="594" t="s">
        <v>517</v>
      </c>
      <c r="C38" s="599">
        <f ca="1">ROUND(C34*F38,0)</f>
        <v>36866367</v>
      </c>
      <c r="D38" s="599"/>
      <c r="E38" s="599"/>
      <c r="F38" s="638">
        <f>'数据-取费表'!B36</f>
        <v>1.4999999999999999E-2</v>
      </c>
      <c r="G38" s="598" t="s">
        <v>1078</v>
      </c>
    </row>
    <row r="39" spans="1:7" s="593" customFormat="1" ht="13.5" customHeight="1">
      <c r="A39" s="1807" t="s">
        <v>2270</v>
      </c>
      <c r="B39" s="589" t="s">
        <v>1065</v>
      </c>
      <c r="C39" s="611">
        <f ca="1">ROUND(C33*F20,0)</f>
        <v>81494354</v>
      </c>
      <c r="D39" s="611"/>
      <c r="E39" s="611"/>
      <c r="F39" s="612"/>
      <c r="G39" s="2635" t="s">
        <v>2925</v>
      </c>
    </row>
    <row r="40" spans="1:7" s="593" customFormat="1" ht="13.5" customHeight="1">
      <c r="A40" s="1807" t="s">
        <v>2271</v>
      </c>
      <c r="B40" s="589" t="s">
        <v>1066</v>
      </c>
      <c r="C40" s="3257">
        <f>F21</f>
        <v>0.02</v>
      </c>
      <c r="D40" s="615" t="s">
        <v>1090</v>
      </c>
      <c r="E40" s="611"/>
      <c r="F40" s="612"/>
      <c r="G40" s="613" t="s">
        <v>1081</v>
      </c>
    </row>
    <row r="41" spans="1:7" s="593" customFormat="1" ht="13.5" customHeight="1">
      <c r="A41" s="1807" t="s">
        <v>2272</v>
      </c>
      <c r="B41" s="589" t="s">
        <v>1068</v>
      </c>
      <c r="C41" s="611">
        <f ca="1">ROUND(SUM(C42:C43),0)</f>
        <v>344189167</v>
      </c>
      <c r="D41" s="614">
        <f ca="1">C44</f>
        <v>2.5000000000000001E-3</v>
      </c>
      <c r="E41" s="615" t="s">
        <v>1090</v>
      </c>
      <c r="F41" s="616"/>
      <c r="G41" s="2635" t="str">
        <f>IF('数据-取费表'!B22&lt;=1,"单利计息","复利计息")</f>
        <v>复利计息</v>
      </c>
    </row>
    <row r="42" spans="1:7" ht="13.5" customHeight="1">
      <c r="A42" s="1810" t="s">
        <v>2278</v>
      </c>
      <c r="B42" s="594" t="s">
        <v>2915</v>
      </c>
      <c r="C42" s="617">
        <f ca="1">ROUND(IF('数据-取费表'!B22&lt;=1,C33*F22*'数据-取费表'!B20/2,C33*(POWER((1+F22),'数据-取费表'!B20/2)-1)),0)</f>
        <v>334164240</v>
      </c>
      <c r="D42" s="617"/>
      <c r="E42" s="617"/>
      <c r="F42" s="618"/>
      <c r="G42" s="3747" t="s">
        <v>3031</v>
      </c>
    </row>
    <row r="43" spans="1:7" ht="13.5" customHeight="1">
      <c r="A43" s="1810" t="s">
        <v>2279</v>
      </c>
      <c r="B43" s="594" t="s">
        <v>2910</v>
      </c>
      <c r="C43" s="617">
        <f ca="1">ROUND(IF('数据-取费表'!B22&lt;=1,C39*F22*'数据-取费表'!B20/2,C39*(POWER((1+F22),'数据-取费表'!B20/2)-1)),0)</f>
        <v>10024927</v>
      </c>
      <c r="D43" s="617"/>
      <c r="E43" s="617"/>
      <c r="F43" s="618"/>
      <c r="G43" s="3745"/>
    </row>
    <row r="44" spans="1:7" ht="13.5" customHeight="1">
      <c r="A44" s="1810" t="s">
        <v>2280</v>
      </c>
      <c r="B44" s="594" t="s">
        <v>2912</v>
      </c>
      <c r="C44" s="617">
        <f ca="1">ROUND(IF('数据-取费表'!B22&lt;=1,C40*F22*'数据-取费表'!B20/2,C40*(POWER((1+F22),'数据-取费表'!B20/2)-1)),4)</f>
        <v>2.5000000000000001E-3</v>
      </c>
      <c r="D44" s="617"/>
      <c r="E44" s="617"/>
      <c r="F44" s="618"/>
      <c r="G44" s="3746"/>
    </row>
    <row r="45" spans="1:7" s="593" customFormat="1" ht="13.5" customHeight="1">
      <c r="A45" s="1807" t="s">
        <v>2273</v>
      </c>
      <c r="B45" s="623" t="s">
        <v>1073</v>
      </c>
      <c r="C45" s="624">
        <f ca="1">C46</f>
        <v>419695922</v>
      </c>
      <c r="D45" s="614">
        <f ca="1">C47</f>
        <v>3.0000000000000001E-3</v>
      </c>
      <c r="E45" s="615" t="s">
        <v>1090</v>
      </c>
      <c r="F45" s="625"/>
      <c r="G45" s="626" t="s">
        <v>2926</v>
      </c>
    </row>
    <row r="46" spans="1:7" s="593" customFormat="1" ht="13.5" customHeight="1">
      <c r="A46" s="1810" t="s">
        <v>2278</v>
      </c>
      <c r="B46" s="627" t="s">
        <v>2919</v>
      </c>
      <c r="C46" s="628">
        <f ca="1">ROUND((C33+C39)*F27,0)</f>
        <v>419695922</v>
      </c>
      <c r="D46" s="642"/>
      <c r="E46" s="615"/>
      <c r="F46" s="625"/>
      <c r="G46" s="626"/>
    </row>
    <row r="47" spans="1:7" s="593" customFormat="1" ht="13.5" customHeight="1">
      <c r="A47" s="1810" t="s">
        <v>2279</v>
      </c>
      <c r="B47" s="627" t="s">
        <v>2921</v>
      </c>
      <c r="C47" s="617">
        <f ca="1">ROUND(C40*F27,4)</f>
        <v>3.0000000000000001E-3</v>
      </c>
      <c r="D47" s="642"/>
      <c r="E47" s="615"/>
      <c r="F47" s="625"/>
      <c r="G47" s="626"/>
    </row>
    <row r="48" spans="1:7" s="593" customFormat="1" ht="13.5" customHeight="1">
      <c r="A48" s="1807" t="s">
        <v>2274</v>
      </c>
      <c r="B48" s="589" t="s">
        <v>1083</v>
      </c>
      <c r="C48" s="641">
        <f>ROUND(F30/(1+'数据-取费表'!B42),4)</f>
        <v>5.2400000000000002E-2</v>
      </c>
      <c r="D48" s="615" t="s">
        <v>3352</v>
      </c>
      <c r="E48" s="611"/>
      <c r="F48" s="616"/>
      <c r="G48" s="2635" t="s">
        <v>3353</v>
      </c>
    </row>
    <row r="49" spans="1:7" ht="16.5" customHeight="1">
      <c r="A49" s="1807" t="s">
        <v>2275</v>
      </c>
      <c r="B49" s="589" t="s">
        <v>3029</v>
      </c>
      <c r="C49" s="611">
        <f ca="1">ROUND((C33+C39+C41+C45)/(1-C40-D41-D45-C48),0)</f>
        <v>3862767487</v>
      </c>
      <c r="D49" s="611"/>
      <c r="E49" s="611"/>
      <c r="F49" s="643"/>
      <c r="G49" s="613" t="s">
        <v>2927</v>
      </c>
    </row>
    <row r="50" spans="1:7" s="637" customFormat="1">
      <c r="A50" s="1807" t="s">
        <v>2276</v>
      </c>
      <c r="B50" s="589" t="s">
        <v>1085</v>
      </c>
      <c r="C50" s="611"/>
      <c r="D50" s="611"/>
      <c r="E50" s="611"/>
      <c r="F50" s="643">
        <f>IF('数据-取费表'!B24=0,'数据-取费表'!N16,1)</f>
        <v>0.8</v>
      </c>
      <c r="G50" s="626"/>
    </row>
    <row r="51" spans="1:7" ht="16.5" customHeight="1">
      <c r="A51" s="1807" t="s">
        <v>2277</v>
      </c>
      <c r="B51" s="589" t="s">
        <v>3030</v>
      </c>
      <c r="C51" s="611">
        <f ca="1">ROUND(C49*F50,0)</f>
        <v>3090213990</v>
      </c>
      <c r="D51" s="611"/>
      <c r="E51" s="611"/>
      <c r="F51" s="643"/>
      <c r="G51" s="613" t="s">
        <v>518</v>
      </c>
    </row>
    <row r="52" spans="1:7" s="587" customFormat="1" ht="16.5" thickBot="1">
      <c r="A52" s="644" t="s">
        <v>519</v>
      </c>
      <c r="B52" s="645"/>
      <c r="C52" s="646">
        <f ca="1">C31+C51</f>
        <v>3572858768</v>
      </c>
      <c r="D52" s="645"/>
      <c r="E52" s="645"/>
      <c r="F52" s="645"/>
      <c r="G52" s="647"/>
    </row>
    <row r="55" spans="1:7" ht="15">
      <c r="B55" s="649" t="s">
        <v>520</v>
      </c>
      <c r="C55" s="650"/>
    </row>
    <row r="56" spans="1:7">
      <c r="B56" s="2891" t="s">
        <v>3105</v>
      </c>
      <c r="C56" s="654">
        <f ca="1">1-C57</f>
        <v>0.13500000000000001</v>
      </c>
    </row>
    <row r="57" spans="1:7">
      <c r="B57" s="2891" t="s">
        <v>3104</v>
      </c>
      <c r="C57" s="653">
        <f ca="1">ROUND(C51/C52,3)</f>
        <v>0.86499999999999999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69" customWidth="1"/>
    <col min="2" max="2" width="25.75" style="1811" customWidth="1"/>
    <col min="3" max="3" width="10.375" style="1855" customWidth="1"/>
    <col min="4" max="4" width="9.875" style="1811" customWidth="1"/>
    <col min="5" max="5" width="9.5" style="1469" customWidth="1"/>
    <col min="6" max="6" width="10.125" style="1811" customWidth="1"/>
    <col min="7" max="7" width="10.75" style="1811" customWidth="1"/>
    <col min="8" max="8" width="10" style="1811" customWidth="1"/>
    <col min="9" max="11" width="9.5" style="1811" customWidth="1"/>
    <col min="12" max="12" width="9" style="1811" customWidth="1"/>
    <col min="13" max="13" width="10.5" style="1811" bestFit="1" customWidth="1"/>
    <col min="14" max="254" width="9" style="1811" customWidth="1"/>
    <col min="255" max="16384" width="6.625" style="1811"/>
  </cols>
  <sheetData>
    <row r="1" spans="1:33" ht="20.25">
      <c r="A1" s="575" t="s">
        <v>1096</v>
      </c>
      <c r="B1" s="3071"/>
      <c r="C1" s="3072"/>
      <c r="D1" s="3070"/>
      <c r="E1" s="655"/>
      <c r="F1" s="655"/>
      <c r="G1" s="3071"/>
      <c r="H1" s="655"/>
      <c r="I1" s="655"/>
      <c r="J1" s="655"/>
      <c r="K1" s="655">
        <f>MATCH(C1,'数据-取费表'!A6:A16,0)+5</f>
        <v>7</v>
      </c>
    </row>
    <row r="2" spans="1:33" ht="18" customHeight="1">
      <c r="A2" s="580" t="s">
        <v>1045</v>
      </c>
      <c r="B2" s="583">
        <f ca="1">C32</f>
        <v>53615</v>
      </c>
      <c r="C2" s="88" t="s">
        <v>1408</v>
      </c>
      <c r="D2" s="655"/>
      <c r="E2" s="655"/>
      <c r="F2" s="655"/>
      <c r="G2" s="655"/>
      <c r="H2" s="655"/>
      <c r="I2" s="655"/>
      <c r="J2" s="655"/>
      <c r="K2" s="655"/>
    </row>
    <row r="3" spans="1:33" ht="18" customHeight="1" thickBot="1">
      <c r="A3" s="582" t="s">
        <v>1046</v>
      </c>
      <c r="B3" s="583">
        <f ca="1">ROUND(B2*10000/IF(C1="",'数据-汇总表'!E3,INDIRECT("'数据-取费表'!K"&amp;$K$1)),0)</f>
        <v>1083</v>
      </c>
      <c r="C3" s="88" t="s">
        <v>1095</v>
      </c>
      <c r="D3" s="655"/>
      <c r="E3" s="655"/>
      <c r="F3" s="655"/>
      <c r="G3" s="655"/>
      <c r="H3" s="655"/>
      <c r="I3" s="655"/>
      <c r="J3" s="655"/>
      <c r="K3" s="655"/>
    </row>
    <row r="4" spans="1:33" s="1815" customFormat="1" ht="16.5" customHeight="1">
      <c r="A4" s="1812" t="s">
        <v>1097</v>
      </c>
      <c r="B4" s="1813"/>
      <c r="C4" s="1856">
        <f>SUM(C8:K8)</f>
        <v>58763</v>
      </c>
      <c r="D4" s="1813"/>
      <c r="E4" s="1813"/>
      <c r="F4" s="1813"/>
      <c r="G4" s="1813"/>
      <c r="H4" s="1813"/>
      <c r="I4" s="1813"/>
      <c r="J4" s="1813"/>
      <c r="K4" s="1814"/>
    </row>
    <row r="5" spans="1:33" s="1819" customFormat="1" ht="24">
      <c r="A5" s="1816" t="s">
        <v>1098</v>
      </c>
      <c r="B5" s="1817" t="s">
        <v>1099</v>
      </c>
      <c r="C5" s="1276" t="s">
        <v>367</v>
      </c>
      <c r="D5" s="1276" t="s">
        <v>368</v>
      </c>
      <c r="E5" s="1276" t="s">
        <v>358</v>
      </c>
      <c r="F5" s="1276"/>
      <c r="G5" s="1276"/>
      <c r="H5" s="1276"/>
      <c r="I5" s="1276"/>
      <c r="J5" s="1276"/>
      <c r="K5" s="1276"/>
      <c r="L5" s="1818"/>
      <c r="M5" s="1818"/>
      <c r="N5" s="1818"/>
      <c r="O5" s="1818"/>
      <c r="P5" s="1818"/>
      <c r="Q5" s="1818"/>
      <c r="R5" s="1818"/>
      <c r="S5" s="1818"/>
      <c r="T5" s="1818"/>
      <c r="U5" s="1818"/>
      <c r="V5" s="1818"/>
      <c r="W5" s="1818"/>
      <c r="X5" s="1818"/>
      <c r="Y5" s="1818"/>
      <c r="Z5" s="1818"/>
      <c r="AA5" s="1818"/>
      <c r="AB5" s="1818"/>
      <c r="AC5" s="1818"/>
      <c r="AD5" s="1818"/>
      <c r="AE5" s="1818"/>
      <c r="AF5" s="1818"/>
      <c r="AG5" s="1818"/>
    </row>
    <row r="6" spans="1:33" s="1824" customFormat="1" ht="13.5" customHeight="1">
      <c r="A6" s="1820" t="s">
        <v>2289</v>
      </c>
      <c r="B6" s="474" t="s">
        <v>1100</v>
      </c>
      <c r="C6" s="1821">
        <v>14000</v>
      </c>
      <c r="D6" s="1821">
        <v>7500</v>
      </c>
      <c r="E6" s="1821"/>
      <c r="F6" s="1821"/>
      <c r="G6" s="1821"/>
      <c r="H6" s="1821"/>
      <c r="I6" s="1821"/>
      <c r="J6" s="1821"/>
      <c r="K6" s="1822"/>
      <c r="L6" s="1823"/>
      <c r="M6" s="1823"/>
      <c r="N6" s="1823"/>
      <c r="O6" s="1823"/>
      <c r="P6" s="1823"/>
      <c r="Q6" s="1823"/>
      <c r="R6" s="1823"/>
      <c r="S6" s="1823"/>
      <c r="T6" s="1823"/>
      <c r="U6" s="1823"/>
      <c r="V6" s="1823"/>
      <c r="W6" s="1823"/>
      <c r="X6" s="1823"/>
      <c r="Y6" s="1823"/>
      <c r="Z6" s="1823"/>
      <c r="AA6" s="1823"/>
      <c r="AB6" s="1823"/>
      <c r="AC6" s="1823"/>
      <c r="AD6" s="1823"/>
      <c r="AE6" s="1823"/>
      <c r="AF6" s="1823"/>
      <c r="AG6" s="1823"/>
    </row>
    <row r="7" spans="1:33" s="1824" customFormat="1" ht="13.5" customHeight="1">
      <c r="A7" s="1825" t="s">
        <v>2270</v>
      </c>
      <c r="B7" s="474" t="s">
        <v>1101</v>
      </c>
      <c r="C7" s="656">
        <f>SUMIF('数据-汇总表'!$C19:$C33,假设开发法!C5,'数据-汇总表'!$E19:$E33)</f>
        <v>0</v>
      </c>
      <c r="D7" s="656">
        <f>SUMIF('数据-汇总表'!$C19:$C33,假设开发法!D5,'数据-汇总表'!$E19:$E33)</f>
        <v>0</v>
      </c>
      <c r="E7" s="656">
        <f>SUMIF('数据-汇总表'!$C19:$C33,假设开发法!E5,'数据-汇总表'!$E19:$E33)</f>
        <v>0</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23"/>
      <c r="M7" s="1823"/>
      <c r="N7" s="1823"/>
      <c r="O7" s="1823"/>
      <c r="P7" s="1823"/>
      <c r="Q7" s="1823"/>
      <c r="R7" s="1823"/>
      <c r="S7" s="1823"/>
      <c r="T7" s="1823"/>
      <c r="U7" s="1823"/>
      <c r="V7" s="1823"/>
      <c r="W7" s="1823"/>
      <c r="X7" s="1823"/>
      <c r="Y7" s="1823"/>
      <c r="Z7" s="1823"/>
      <c r="AA7" s="1823"/>
      <c r="AB7" s="1823"/>
      <c r="AC7" s="1823"/>
      <c r="AD7" s="1823"/>
      <c r="AE7" s="1823"/>
      <c r="AF7" s="1823"/>
      <c r="AG7" s="1823"/>
    </row>
    <row r="8" spans="1:33" s="1824" customFormat="1" ht="13.5" customHeight="1" thickBot="1">
      <c r="A8" s="1857" t="s">
        <v>2271</v>
      </c>
      <c r="B8" s="512" t="s">
        <v>1102</v>
      </c>
      <c r="C8" s="1858">
        <v>40218</v>
      </c>
      <c r="D8" s="1858">
        <v>14755</v>
      </c>
      <c r="E8" s="1858">
        <v>3790</v>
      </c>
      <c r="F8" s="1859"/>
      <c r="G8" s="1859"/>
      <c r="H8" s="1859"/>
      <c r="I8" s="1859"/>
      <c r="J8" s="1859"/>
      <c r="K8" s="1860"/>
      <c r="L8" s="1823"/>
      <c r="M8" s="1823"/>
      <c r="N8" s="1823"/>
      <c r="O8" s="1823"/>
      <c r="P8" s="1823"/>
      <c r="Q8" s="1823"/>
      <c r="R8" s="1823"/>
      <c r="S8" s="1823"/>
      <c r="T8" s="1823"/>
      <c r="U8" s="1823"/>
      <c r="V8" s="1823"/>
      <c r="W8" s="1823"/>
      <c r="X8" s="1823"/>
      <c r="Y8" s="1823"/>
      <c r="Z8" s="1823"/>
      <c r="AA8" s="1823"/>
      <c r="AB8" s="1823"/>
      <c r="AC8" s="1823"/>
      <c r="AD8" s="1823"/>
      <c r="AE8" s="1823"/>
      <c r="AF8" s="1823"/>
      <c r="AG8" s="1823"/>
    </row>
    <row r="9" spans="1:33" s="1815" customFormat="1" ht="16.5" customHeight="1">
      <c r="A9" s="1812" t="s">
        <v>1103</v>
      </c>
      <c r="B9" s="1813"/>
      <c r="C9" s="1813"/>
      <c r="D9" s="1813"/>
      <c r="E9" s="1813"/>
      <c r="F9" s="1813"/>
      <c r="G9" s="1813"/>
      <c r="H9" s="1813"/>
      <c r="I9" s="1813"/>
      <c r="J9" s="1813"/>
      <c r="K9" s="1814"/>
    </row>
    <row r="10" spans="1:33" s="1830" customFormat="1" ht="13.5" customHeight="1">
      <c r="A10" s="1816" t="s">
        <v>1098</v>
      </c>
      <c r="B10" s="301" t="s">
        <v>1099</v>
      </c>
      <c r="C10" s="1826" t="s">
        <v>1104</v>
      </c>
      <c r="D10" s="1827" t="s">
        <v>1105</v>
      </c>
      <c r="E10" s="1827" t="s">
        <v>1106</v>
      </c>
      <c r="F10" s="1827" t="s">
        <v>1107</v>
      </c>
      <c r="G10" s="301"/>
      <c r="H10" s="1828"/>
      <c r="I10" s="1828"/>
      <c r="J10" s="1828"/>
      <c r="K10" s="1829"/>
    </row>
    <row r="11" spans="1:33" s="1835" customFormat="1" ht="13.5" customHeight="1">
      <c r="A11" s="1831" t="s">
        <v>3358</v>
      </c>
      <c r="B11" s="1832" t="s">
        <v>1108</v>
      </c>
      <c r="C11" s="658">
        <f ca="1">IF(C1="",'数据-取费表'!P16,INDIRECT("'数据-取费表'!p"&amp;$K$1)+INDIRECT("'数据-取费表'!ar"&amp;$K$1))</f>
        <v>0</v>
      </c>
      <c r="D11" s="1833"/>
      <c r="E11" s="718"/>
      <c r="F11" s="1834">
        <f ca="1">1-IF('数据-取费表'!B24=0,1,IF(C1="",'数据-取费表'!N16,INDIRECT("'数据-取费表'!n"&amp;$K$1)))</f>
        <v>0</v>
      </c>
      <c r="G11" s="301"/>
      <c r="H11" s="1828"/>
      <c r="I11" s="1828"/>
      <c r="J11" s="1828"/>
      <c r="K11" s="1829"/>
    </row>
    <row r="12" spans="1:33" s="1835" customFormat="1" ht="13.5" customHeight="1">
      <c r="A12" s="1831" t="s">
        <v>3359</v>
      </c>
      <c r="B12" s="1832" t="s">
        <v>1109</v>
      </c>
      <c r="C12" s="319">
        <f ca="1">ROUND(C11*F12,0)</f>
        <v>0</v>
      </c>
      <c r="D12" s="1833"/>
      <c r="E12" s="718"/>
      <c r="F12" s="1836">
        <f>'数据-取费表'!B33</f>
        <v>0.05</v>
      </c>
      <c r="G12" s="301" t="s">
        <v>1110</v>
      </c>
      <c r="H12" s="1828"/>
      <c r="I12" s="1828"/>
      <c r="J12" s="1828"/>
      <c r="K12" s="1829"/>
    </row>
    <row r="13" spans="1:33" s="1835" customFormat="1" ht="13.5" customHeight="1">
      <c r="A13" s="1831" t="s">
        <v>3360</v>
      </c>
      <c r="B13" s="1832" t="s">
        <v>1111</v>
      </c>
      <c r="C13" s="319">
        <f ca="1">ROUND(IF(C1="",SUMIF('数据-取费表'!C:C,"住宅",'数据-取费表'!P:P)*F13,IF(INDIRECT("'数据-取费表'!c"&amp;$K$1)="住宅",INDIRECT("'数据-取费表'!P"&amp;$K$1)*F13,0)),0)</f>
        <v>0</v>
      </c>
      <c r="D13" s="1914"/>
      <c r="E13" s="718"/>
      <c r="F13" s="1836">
        <f>'数据-取费表'!B34</f>
        <v>0</v>
      </c>
      <c r="G13" s="301" t="s">
        <v>1112</v>
      </c>
      <c r="H13" s="1828"/>
      <c r="I13" s="1828"/>
      <c r="J13" s="1828"/>
      <c r="K13" s="1829"/>
    </row>
    <row r="14" spans="1:33" s="1837" customFormat="1" ht="13.5" customHeight="1">
      <c r="A14" s="1831" t="s">
        <v>3361</v>
      </c>
      <c r="B14" s="1832" t="s">
        <v>1113</v>
      </c>
      <c r="C14" s="319">
        <f ca="1">ROUND(D14*E14*F11/10000,0)</f>
        <v>0</v>
      </c>
      <c r="D14" s="1914">
        <f ca="1">IF(C1="",'数据-汇总表'!E3,INDIRECT("'数据-取费表'!K"&amp;$K$1)+INDIRECT("'数据-取费表'!S"&amp;$K$1))</f>
        <v>494831.87</v>
      </c>
      <c r="E14" s="319">
        <f>'数据-取费表'!B35</f>
        <v>200</v>
      </c>
      <c r="F14" s="1836"/>
      <c r="G14" s="301" t="s">
        <v>1114</v>
      </c>
      <c r="H14" s="1828"/>
      <c r="I14" s="1828"/>
      <c r="J14" s="1828"/>
      <c r="K14" s="1829"/>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7" customFormat="1" ht="13.5" customHeight="1">
      <c r="A15" s="1831" t="s">
        <v>3362</v>
      </c>
      <c r="B15" s="1832" t="s">
        <v>1120</v>
      </c>
      <c r="C15" s="1843">
        <f ca="1">ROUND(C11*F15,0)</f>
        <v>0</v>
      </c>
      <c r="D15" s="1838"/>
      <c r="E15" s="1843"/>
      <c r="F15" s="1844">
        <f>'数据-取费表'!B36</f>
        <v>1.4999999999999999E-2</v>
      </c>
      <c r="G15" s="474" t="s">
        <v>1121</v>
      </c>
      <c r="H15" s="1839"/>
      <c r="I15" s="1839"/>
      <c r="J15" s="1839"/>
      <c r="K15" s="1840"/>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7" customFormat="1" ht="13.5" customHeight="1">
      <c r="A16" s="1831" t="s">
        <v>2290</v>
      </c>
      <c r="B16" s="3258" t="s">
        <v>3363</v>
      </c>
      <c r="C16" s="1843">
        <f ca="1">SUM(C11:C15)</f>
        <v>0</v>
      </c>
      <c r="D16" s="1838"/>
      <c r="E16" s="1843"/>
      <c r="F16" s="1844"/>
      <c r="G16" s="474"/>
      <c r="H16" s="3068"/>
      <c r="I16" s="1839"/>
      <c r="J16" s="1839"/>
      <c r="K16" s="1840"/>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7" customFormat="1" ht="13.5" customHeight="1">
      <c r="A17" s="1831" t="s">
        <v>2291</v>
      </c>
      <c r="B17" s="1832" t="s">
        <v>1115</v>
      </c>
      <c r="C17" s="319">
        <f ca="1">ROUND(D17*E17/10000,0)</f>
        <v>0</v>
      </c>
      <c r="D17" s="1914">
        <f ca="1">D14</f>
        <v>494831.87</v>
      </c>
      <c r="E17" s="319">
        <f>'数据-取费表'!B32</f>
        <v>0</v>
      </c>
      <c r="F17" s="1838"/>
      <c r="G17" s="474" t="s">
        <v>1116</v>
      </c>
      <c r="H17" s="3068"/>
      <c r="I17" s="1839"/>
      <c r="J17" s="1839"/>
      <c r="K17" s="1840"/>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31" t="s">
        <v>3364</v>
      </c>
      <c r="B18" s="1832" t="s">
        <v>1117</v>
      </c>
      <c r="C18" s="319">
        <f ca="1">C19+C20-IF(C1="",'数据-取费表'!B29,IF(G18="已全部缴纳",C19+C20,H18))</f>
        <v>0</v>
      </c>
      <c r="D18" s="1914"/>
      <c r="E18" s="319"/>
      <c r="F18" s="1836"/>
      <c r="G18" s="3067" t="s">
        <v>3367</v>
      </c>
      <c r="H18" s="3065"/>
      <c r="I18" s="3066" t="s">
        <v>3207</v>
      </c>
      <c r="J18" s="1839"/>
      <c r="K18" s="1840"/>
    </row>
    <row r="19" spans="1:33" s="1835" customFormat="1" ht="13.5" customHeight="1">
      <c r="A19" s="1831" t="s">
        <v>2292</v>
      </c>
      <c r="B19" s="1832" t="s">
        <v>1118</v>
      </c>
      <c r="C19" s="319">
        <f ca="1">ROUND(D19*E19/10000,0)</f>
        <v>0</v>
      </c>
      <c r="D19" s="1914">
        <f ca="1">IF(C1="",'数据-汇总表'!E5,IF(INDIRECT("'数据-取费表'!c"&amp;$K$1)="住宅",INDIRECT("'数据-取费表'!k"&amp;$K$1),0))</f>
        <v>0</v>
      </c>
      <c r="E19" s="319">
        <f>'数据-取费表'!B27</f>
        <v>33.200000000000003</v>
      </c>
      <c r="F19" s="1836"/>
      <c r="G19" s="309"/>
      <c r="H19" s="3069"/>
      <c r="I19" s="1841"/>
      <c r="J19" s="1841"/>
      <c r="K19" s="1842"/>
    </row>
    <row r="20" spans="1:33" s="1835" customFormat="1" ht="13.5" customHeight="1">
      <c r="A20" s="1831" t="s">
        <v>2293</v>
      </c>
      <c r="B20" s="1832" t="s">
        <v>1119</v>
      </c>
      <c r="C20" s="319">
        <f ca="1">ROUND(D20*E20/10000,0)</f>
        <v>1069</v>
      </c>
      <c r="D20" s="1914">
        <f ca="1">IF(C1="",'数据-汇总表'!E6,IF(INDIRECT("'数据-取费表'!c"&amp;$K$1)="住宅",INDIRECT("'数据-取费表'!s"&amp;$K$1),INDIRECT("'数据-取费表'!k"&amp;$K$1)+INDIRECT("'数据-取费表'!s"&amp;$K$1)))</f>
        <v>494831.87</v>
      </c>
      <c r="E20" s="319">
        <f>'数据-取费表'!B28</f>
        <v>21.6</v>
      </c>
      <c r="F20" s="1836"/>
      <c r="G20" s="309"/>
      <c r="H20" s="1841"/>
      <c r="I20" s="1841"/>
      <c r="J20" s="1841"/>
      <c r="K20" s="1842"/>
    </row>
    <row r="21" spans="1:33" s="1835" customFormat="1" ht="13.5" customHeight="1">
      <c r="A21" s="1820" t="s">
        <v>2289</v>
      </c>
      <c r="B21" s="1845" t="s">
        <v>1122</v>
      </c>
      <c r="C21" s="1846">
        <f ca="1">C16+C17+C18</f>
        <v>0</v>
      </c>
      <c r="D21" s="1847"/>
      <c r="E21" s="660"/>
      <c r="F21" s="660"/>
      <c r="G21" s="474" t="s">
        <v>2928</v>
      </c>
      <c r="H21" s="1839"/>
      <c r="I21" s="1839"/>
      <c r="J21" s="1839"/>
      <c r="K21" s="1840"/>
    </row>
    <row r="22" spans="1:33" s="1835" customFormat="1" ht="13.5" customHeight="1">
      <c r="A22" s="1825" t="s">
        <v>2270</v>
      </c>
      <c r="B22" s="1845" t="s">
        <v>1123</v>
      </c>
      <c r="C22" s="1846">
        <f ca="1">ROUND(C21*F22,0)</f>
        <v>0</v>
      </c>
      <c r="D22" s="660"/>
      <c r="E22" s="660"/>
      <c r="F22" s="1848">
        <f>'数据-取费表'!B37</f>
        <v>0.03</v>
      </c>
      <c r="G22" s="301" t="s">
        <v>1124</v>
      </c>
      <c r="H22" s="1828"/>
      <c r="I22" s="1828"/>
      <c r="J22" s="1828"/>
      <c r="K22" s="1829"/>
    </row>
    <row r="23" spans="1:33" s="1835" customFormat="1" ht="13.5" customHeight="1">
      <c r="A23" s="1825" t="s">
        <v>2271</v>
      </c>
      <c r="B23" s="1845" t="s">
        <v>1125</v>
      </c>
      <c r="C23" s="1846">
        <f ca="1">ROUND(C4*F23*F11,0)</f>
        <v>0</v>
      </c>
      <c r="D23" s="660"/>
      <c r="E23" s="660"/>
      <c r="F23" s="1848">
        <f>'数据-取费表'!B38</f>
        <v>0.02</v>
      </c>
      <c r="G23" s="301" t="s">
        <v>1126</v>
      </c>
      <c r="H23" s="1828"/>
      <c r="I23" s="1828"/>
      <c r="J23" s="1828"/>
      <c r="K23" s="1829"/>
    </row>
    <row r="24" spans="1:33" s="1835" customFormat="1" ht="13.5" customHeight="1">
      <c r="A24" s="1825" t="s">
        <v>2272</v>
      </c>
      <c r="B24" s="1845" t="s">
        <v>1127</v>
      </c>
      <c r="C24" s="659">
        <f>ROUND(F24/(1+'数据-取费表'!B42),4)</f>
        <v>3.8600000000000002E-2</v>
      </c>
      <c r="D24" s="660" t="s">
        <v>53</v>
      </c>
      <c r="E24" s="660"/>
      <c r="F24" s="1848">
        <f>'数据-取费表'!B48+'数据-取费表'!B49</f>
        <v>4.0500000000000001E-2</v>
      </c>
      <c r="G24" s="2028" t="s">
        <v>3356</v>
      </c>
      <c r="H24" s="1850"/>
      <c r="I24" s="1850"/>
      <c r="J24" s="1850"/>
      <c r="K24" s="1851"/>
    </row>
    <row r="25" spans="1:33" s="1835" customFormat="1" ht="13.5" customHeight="1">
      <c r="A25" s="1825" t="s">
        <v>2273</v>
      </c>
      <c r="B25" s="1847" t="s">
        <v>1128</v>
      </c>
      <c r="C25" s="2718">
        <f ca="1">C27</f>
        <v>0</v>
      </c>
      <c r="D25" s="659">
        <f ca="1">C26</f>
        <v>0</v>
      </c>
      <c r="E25" s="661" t="s">
        <v>53</v>
      </c>
      <c r="F25" s="662">
        <f ca="1">'数据-取费表'!B40</f>
        <v>4.7500000000000001E-2</v>
      </c>
      <c r="G25" s="2717" t="str">
        <f>IF('数据-取费表'!B22&lt;=1,"单利计息。","复利计息。")&amp;"后续开发成本、管理费用及销售费用产生的利息。"</f>
        <v>复利计息。后续开发成本、管理费用及销售费用产生的利息。</v>
      </c>
      <c r="H25" s="1850"/>
      <c r="I25" s="1850"/>
      <c r="J25" s="1850"/>
      <c r="K25" s="1851"/>
    </row>
    <row r="26" spans="1:33" s="1853" customFormat="1" ht="13.5" customHeight="1">
      <c r="A26" s="1831" t="s">
        <v>2290</v>
      </c>
      <c r="B26" s="1852" t="s">
        <v>1129</v>
      </c>
      <c r="C26" s="2719">
        <f ca="1">ROUND(IF('数据-取费表'!B22&lt;=1,(1+C24)*F25*'数据-取费表'!B24,(1+C24)*(POWER((1+F25),'数据-取费表'!B24)-1)),4)</f>
        <v>0</v>
      </c>
      <c r="D26" s="663"/>
      <c r="E26" s="664"/>
      <c r="F26" s="665"/>
      <c r="G26" s="2724" t="str">
        <f>IF('数据-取费表'!B22&lt;=1,"（(1)+取得税费率/(1+5%)）×年利率×建设期","（(1)+取得税费率）/(1+5%)×((1+年利率)^建设期-1)")</f>
        <v>（(1)+取得税费率）/(1+5%)×((1+年利率)^建设期-1)</v>
      </c>
      <c r="H26" s="1839"/>
      <c r="I26" s="1839"/>
      <c r="J26" s="1839"/>
      <c r="K26" s="1840"/>
    </row>
    <row r="27" spans="1:33" s="1853" customFormat="1" ht="13.5" customHeight="1">
      <c r="A27" s="1831" t="s">
        <v>2291</v>
      </c>
      <c r="B27" s="1852" t="s">
        <v>3018</v>
      </c>
      <c r="C27" s="2720">
        <f ca="1">ROUND(IF('数据-取费表'!B22&lt;=1,(C21+C22+C23)*F25*'数据-取费表'!B24/2,(C21+C22+C23)*(POWER((1+F25),'数据-取费表'!B24/2)-1)),0)</f>
        <v>0</v>
      </c>
      <c r="D27" s="663"/>
      <c r="E27" s="664"/>
      <c r="F27" s="665"/>
      <c r="G27" s="2724" t="str">
        <f>IF('数据-取费表'!B22&lt;=1,"（1）-（3）项×年利率×建设期÷2","（1）-（3）项×((1+年利率)^(建设期÷2)-1)")</f>
        <v>（1）-（3）项×((1+年利率)^(建设期÷2)-1)</v>
      </c>
      <c r="H27" s="1839"/>
      <c r="I27" s="1839"/>
      <c r="J27" s="1839"/>
      <c r="K27" s="1840"/>
    </row>
    <row r="28" spans="1:33" s="668" customFormat="1" ht="13.5" customHeight="1">
      <c r="A28" s="1825" t="s">
        <v>2274</v>
      </c>
      <c r="B28" s="3259" t="s">
        <v>3365</v>
      </c>
      <c r="C28" s="666">
        <f ca="1">C30</f>
        <v>0</v>
      </c>
      <c r="D28" s="659">
        <f ca="1">C29</f>
        <v>0</v>
      </c>
      <c r="E28" s="661" t="s">
        <v>53</v>
      </c>
      <c r="F28" s="667">
        <f ca="1">IF(C1="",'数据-取费表'!Q16,INDIRECT("'数据-取费表'!q"&amp;$K$1))</f>
        <v>0.15</v>
      </c>
      <c r="G28" s="1849"/>
      <c r="H28" s="1850"/>
      <c r="I28" s="1850"/>
      <c r="J28" s="1850"/>
      <c r="K28" s="1851"/>
    </row>
    <row r="29" spans="1:33" s="670" customFormat="1" ht="13.5" customHeight="1">
      <c r="A29" s="1831" t="s">
        <v>2290</v>
      </c>
      <c r="B29" s="1854" t="s">
        <v>1130</v>
      </c>
      <c r="C29" s="663">
        <f ca="1">ROUND((1+C24)*F28*'数据-取费表'!B24/'数据-取费表'!B20,4)</f>
        <v>0</v>
      </c>
      <c r="D29" s="663"/>
      <c r="E29" s="664"/>
      <c r="F29" s="669"/>
      <c r="G29" s="474" t="s">
        <v>1131</v>
      </c>
      <c r="H29" s="1839"/>
      <c r="I29" s="1839"/>
      <c r="J29" s="1839"/>
      <c r="K29" s="1840"/>
    </row>
    <row r="30" spans="1:33" s="670" customFormat="1" ht="13.5" customHeight="1">
      <c r="A30" s="1831" t="s">
        <v>2291</v>
      </c>
      <c r="B30" s="2725" t="s">
        <v>3019</v>
      </c>
      <c r="C30" s="671">
        <f ca="1">ROUND((C21+C22+C23)*F28,0)</f>
        <v>0</v>
      </c>
      <c r="D30" s="663"/>
      <c r="E30" s="664"/>
      <c r="F30" s="669"/>
      <c r="G30" s="474"/>
      <c r="H30" s="1839"/>
      <c r="I30" s="1839"/>
      <c r="J30" s="1839"/>
      <c r="K30" s="1840"/>
    </row>
    <row r="31" spans="1:33" s="1835" customFormat="1" ht="13.5" customHeight="1" thickBot="1">
      <c r="A31" s="1866" t="s">
        <v>2275</v>
      </c>
      <c r="B31" s="1867" t="s">
        <v>1132</v>
      </c>
      <c r="C31" s="1868">
        <f>ROUND(C4*F31/(1+'数据-取费表'!B42),0)</f>
        <v>3078</v>
      </c>
      <c r="D31" s="1869"/>
      <c r="E31" s="1870"/>
      <c r="F31" s="1871">
        <f>'数据-取费表'!B41</f>
        <v>5.5000000000000007E-2</v>
      </c>
      <c r="G31" s="1872" t="s">
        <v>1133</v>
      </c>
      <c r="H31" s="1873"/>
      <c r="I31" s="1873"/>
      <c r="J31" s="1873"/>
      <c r="K31" s="1874"/>
    </row>
    <row r="32" spans="1:33" s="1830" customFormat="1" ht="13.5" customHeight="1" thickBot="1">
      <c r="A32" s="1861" t="s">
        <v>3357</v>
      </c>
      <c r="B32" s="1862"/>
      <c r="C32" s="1863">
        <f ca="1">ROUND((C4-C21-C22-C23-C25-C28-C31)/(1+C24+D25+D28),0)</f>
        <v>53615</v>
      </c>
      <c r="D32" s="1862"/>
      <c r="E32" s="1862"/>
      <c r="F32" s="1862"/>
      <c r="G32" s="1864" t="s">
        <v>1134</v>
      </c>
      <c r="H32" s="1862"/>
      <c r="I32" s="1862"/>
      <c r="J32" s="1862"/>
      <c r="K32" s="186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H32" sqref="H32:K43"/>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7"/>
  </cols>
  <sheetData>
    <row r="1" spans="1:37" s="674" customFormat="1" ht="21">
      <c r="A1" s="672" t="s">
        <v>1135</v>
      </c>
      <c r="B1" s="673"/>
      <c r="C1" s="2399" t="s">
        <v>4026</v>
      </c>
      <c r="D1" s="1277"/>
      <c r="E1" s="2596" t="s">
        <v>2833</v>
      </c>
      <c r="F1" s="2597">
        <f ca="1">J53</f>
        <v>40</v>
      </c>
      <c r="G1" s="675">
        <f>MATCH(C1,'数据-取费表'!A6:A16,0)+5</f>
        <v>6</v>
      </c>
      <c r="H1" s="1300"/>
      <c r="I1" s="679"/>
      <c r="J1" s="679"/>
      <c r="K1" s="1301"/>
      <c r="L1" s="679"/>
      <c r="M1" s="679"/>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0" t="s">
        <v>1045</v>
      </c>
      <c r="B2" s="1410">
        <f ca="1">C40+J29+L46</f>
        <v>239596</v>
      </c>
      <c r="C2" s="1303" t="s">
        <v>1409</v>
      </c>
      <c r="D2" s="1279"/>
      <c r="E2" s="2586"/>
      <c r="F2" s="1280"/>
      <c r="G2" s="2294"/>
      <c r="H2" s="1278"/>
      <c r="I2" s="1278"/>
      <c r="J2" s="1278"/>
      <c r="K2" s="1302"/>
      <c r="L2" s="1278"/>
      <c r="M2" s="1278"/>
    </row>
    <row r="3" spans="1:37" ht="18" customHeight="1" thickBot="1">
      <c r="A3" s="678" t="s">
        <v>1046</v>
      </c>
      <c r="B3" s="1411">
        <f ca="1">IF(ISERROR(B2*10000/F43),0,ROUND(B2*10000/F43,0))</f>
        <v>4951</v>
      </c>
      <c r="C3" s="1303" t="s">
        <v>1410</v>
      </c>
      <c r="D3" s="1279"/>
      <c r="E3" s="2586"/>
      <c r="F3" s="1280"/>
      <c r="G3" s="2294"/>
      <c r="H3" s="679" t="s">
        <v>1136</v>
      </c>
      <c r="I3" s="1278"/>
      <c r="J3" s="1278"/>
      <c r="K3" s="1302"/>
      <c r="L3" s="1278"/>
      <c r="M3" s="1278"/>
    </row>
    <row r="4" spans="1:37" ht="18" customHeight="1">
      <c r="A4" s="680" t="s">
        <v>1137</v>
      </c>
      <c r="B4" s="681" t="s">
        <v>1138</v>
      </c>
      <c r="C4" s="681" t="s">
        <v>1139</v>
      </c>
      <c r="D4" s="681" t="s">
        <v>1140</v>
      </c>
      <c r="E4" s="682" t="s">
        <v>1141</v>
      </c>
      <c r="F4" s="683"/>
      <c r="G4" s="2295"/>
      <c r="H4" s="680" t="s">
        <v>1137</v>
      </c>
      <c r="I4" s="681" t="s">
        <v>1138</v>
      </c>
      <c r="J4" s="681" t="s">
        <v>1139</v>
      </c>
      <c r="K4" s="681" t="s">
        <v>1140</v>
      </c>
      <c r="L4" s="682" t="s">
        <v>1141</v>
      </c>
      <c r="M4" s="683"/>
    </row>
    <row r="5" spans="1:37" ht="18" customHeight="1">
      <c r="A5" s="684">
        <v>1</v>
      </c>
      <c r="B5" s="685" t="s">
        <v>2936</v>
      </c>
      <c r="C5" s="2641">
        <f ca="1">C6+C10+C12</f>
        <v>17662</v>
      </c>
      <c r="D5" s="2651" t="s">
        <v>2938</v>
      </c>
      <c r="E5" s="2642"/>
      <c r="F5" s="2643"/>
      <c r="G5" s="2295"/>
      <c r="H5" s="684">
        <v>1</v>
      </c>
      <c r="I5" s="685" t="s">
        <v>2936</v>
      </c>
      <c r="J5" s="2641">
        <f ca="1">J6+J10+J12</f>
        <v>0</v>
      </c>
      <c r="K5" s="2644" t="s">
        <v>2938</v>
      </c>
      <c r="L5" s="2642"/>
      <c r="M5" s="2643"/>
    </row>
    <row r="6" spans="1:37" ht="18" customHeight="1">
      <c r="A6" s="2637" t="s">
        <v>2943</v>
      </c>
      <c r="B6" s="3750" t="s">
        <v>2937</v>
      </c>
      <c r="C6" s="2646">
        <f ca="1">ROUND(F6*F8*F7*(1-F9)/10000,0)</f>
        <v>17662</v>
      </c>
      <c r="D6" s="2640" t="s">
        <v>2939</v>
      </c>
      <c r="E6" s="687" t="s">
        <v>1142</v>
      </c>
      <c r="F6" s="688">
        <f ca="1">INDIRECT("'数据-取费表'!u"&amp;$G$1)</f>
        <v>1</v>
      </c>
      <c r="G6" s="2295"/>
      <c r="H6" s="2637" t="s">
        <v>2946</v>
      </c>
      <c r="I6" s="3750" t="s">
        <v>2937</v>
      </c>
      <c r="J6" s="686">
        <f ca="1">ROUND(M6*M8*M7*(1-M9)/10000,0)</f>
        <v>0</v>
      </c>
      <c r="K6" s="2640" t="s">
        <v>2939</v>
      </c>
      <c r="L6" s="687" t="s">
        <v>1142</v>
      </c>
      <c r="M6" s="688">
        <f ca="1">INDIRECT("'数据-取费表'!z"&amp;$G$1)</f>
        <v>0</v>
      </c>
    </row>
    <row r="7" spans="1:37" ht="18" customHeight="1">
      <c r="A7" s="2645"/>
      <c r="B7" s="3751"/>
      <c r="C7" s="2647"/>
      <c r="D7" s="2067"/>
      <c r="E7" s="2648" t="s">
        <v>1143</v>
      </c>
      <c r="F7" s="688">
        <f ca="1">IF(INDIRECT("'数据-取费表'!ah"&amp;$G$1)="",INDIRECT("'数据-取费表'!k"&amp;$G$1),INDIRECT("'数据-取费表'!ah"&amp;$G$1))</f>
        <v>483897.51999999996</v>
      </c>
      <c r="G7" s="2295"/>
      <c r="H7" s="689"/>
      <c r="I7" s="3751"/>
      <c r="J7" s="691"/>
      <c r="K7" s="692"/>
      <c r="L7" s="687" t="s">
        <v>1143</v>
      </c>
      <c r="M7" s="688">
        <f ca="1">F7</f>
        <v>483897.51999999996</v>
      </c>
    </row>
    <row r="8" spans="1:37" ht="18" customHeight="1">
      <c r="A8" s="689"/>
      <c r="B8" s="3751"/>
      <c r="C8" s="691"/>
      <c r="D8" s="692"/>
      <c r="E8" s="687" t="s">
        <v>1144</v>
      </c>
      <c r="F8" s="688">
        <f ca="1">INDIRECT("'数据-取费表'!ai"&amp;$G$1)</f>
        <v>365</v>
      </c>
      <c r="G8" s="2295"/>
      <c r="H8" s="689"/>
      <c r="I8" s="3751"/>
      <c r="J8" s="691"/>
      <c r="K8" s="692"/>
      <c r="L8" s="687" t="s">
        <v>1144</v>
      </c>
      <c r="M8" s="688">
        <f ca="1">INDIRECT("'数据-取费表'!ai"&amp;$G$1)</f>
        <v>365</v>
      </c>
    </row>
    <row r="9" spans="1:37" ht="18" customHeight="1">
      <c r="A9" s="689"/>
      <c r="B9" s="3752"/>
      <c r="C9" s="691"/>
      <c r="D9" s="692"/>
      <c r="E9" s="687" t="s">
        <v>1145</v>
      </c>
      <c r="F9" s="697">
        <f ca="1">INDIRECT("'数据-取费表'!w"&amp;$G$1)</f>
        <v>0</v>
      </c>
      <c r="G9" s="2295"/>
      <c r="H9" s="689"/>
      <c r="I9" s="3752"/>
      <c r="J9" s="691"/>
      <c r="K9" s="692"/>
      <c r="L9" s="698" t="s">
        <v>1145</v>
      </c>
      <c r="M9" s="699">
        <f ca="1">INDIRECT("'数据-取费表'!ab"&amp;$G$1)</f>
        <v>0</v>
      </c>
    </row>
    <row r="10" spans="1:37" ht="18" customHeight="1">
      <c r="A10" s="2637" t="s">
        <v>2944</v>
      </c>
      <c r="B10" s="2638" t="s">
        <v>2932</v>
      </c>
      <c r="C10" s="701">
        <f ca="1">ROUND(IF(F10="押一",F6*F8*F7/12*F11,IF(F10="押二",F6*F8*F7/12*2*F11,IF(F10="押三",F6*F8*F7/12*3*F11,C11*F11)))/10000,0)</f>
        <v>0</v>
      </c>
      <c r="D10" s="2649" t="s">
        <v>2940</v>
      </c>
      <c r="E10" s="2103" t="s">
        <v>2934</v>
      </c>
      <c r="F10" s="3488" t="s">
        <v>3097</v>
      </c>
      <c r="G10" s="2295"/>
      <c r="H10" s="2637" t="s">
        <v>2947</v>
      </c>
      <c r="I10" s="2638" t="s">
        <v>2932</v>
      </c>
      <c r="J10" s="686">
        <f ca="1">ROUND(IF(M10="押一",M6*M8*M7/12*M11,IF(M10="押二",M6*M8*M7/12*2*M11,IF(M10="押三",M6*M8*M7/12*3*M11,J11*M11)))/10000,0)</f>
        <v>0</v>
      </c>
      <c r="K10" s="2649" t="s">
        <v>2940</v>
      </c>
      <c r="L10" s="2103" t="s">
        <v>2934</v>
      </c>
      <c r="M10" s="2745" t="s">
        <v>3026</v>
      </c>
    </row>
    <row r="11" spans="1:37" ht="18" customHeight="1">
      <c r="A11" s="693"/>
      <c r="B11" s="2639" t="s">
        <v>3100</v>
      </c>
      <c r="C11" s="2422"/>
      <c r="D11" s="2886"/>
      <c r="E11" s="2103" t="s">
        <v>2935</v>
      </c>
      <c r="F11" s="699">
        <f ca="1">'数据-取费表'!B39</f>
        <v>1.4999999999999999E-2</v>
      </c>
      <c r="G11" s="2295"/>
      <c r="H11" s="2650"/>
      <c r="I11" s="2639" t="s">
        <v>3100</v>
      </c>
      <c r="J11" s="2422"/>
      <c r="K11" s="1284"/>
      <c r="L11" s="2103" t="s">
        <v>2935</v>
      </c>
      <c r="M11" s="2102">
        <f ca="1">'数据-取费表'!B39</f>
        <v>1.4999999999999999E-2</v>
      </c>
    </row>
    <row r="12" spans="1:37" ht="18" customHeight="1" thickBot="1">
      <c r="A12" s="2686" t="s">
        <v>2945</v>
      </c>
      <c r="B12" s="2687" t="s">
        <v>2933</v>
      </c>
      <c r="C12" s="2688"/>
      <c r="D12" s="2689"/>
      <c r="E12" s="2690"/>
      <c r="F12" s="2691"/>
      <c r="G12" s="2295"/>
      <c r="H12" s="2686" t="s">
        <v>2948</v>
      </c>
      <c r="I12" s="2687" t="s">
        <v>2933</v>
      </c>
      <c r="J12" s="2688"/>
      <c r="K12" s="2705"/>
      <c r="L12" s="2690"/>
      <c r="M12" s="2706"/>
    </row>
    <row r="13" spans="1:37" ht="18" customHeight="1" thickTop="1">
      <c r="A13" s="2682">
        <v>2</v>
      </c>
      <c r="B13" s="2683" t="s">
        <v>1146</v>
      </c>
      <c r="C13" s="705">
        <f ca="1">ROUND(C29*F13,0)</f>
        <v>309022</v>
      </c>
      <c r="D13" s="2684" t="s">
        <v>1147</v>
      </c>
      <c r="E13" s="2684" t="s">
        <v>1148</v>
      </c>
      <c r="F13" s="2685">
        <f ca="1">INDIRECT("'数据-取费表'!y"&amp;$G$1)</f>
        <v>0.8</v>
      </c>
      <c r="G13" s="2295"/>
      <c r="H13" s="2682">
        <v>2</v>
      </c>
      <c r="I13" s="2683" t="s">
        <v>1146</v>
      </c>
      <c r="J13" s="2636">
        <f ca="1">ROUND(J14*J15,0)</f>
        <v>0</v>
      </c>
      <c r="K13" s="2692" t="s">
        <v>1147</v>
      </c>
      <c r="L13" s="2703"/>
      <c r="M13" s="2704"/>
    </row>
    <row r="14" spans="1:37" ht="18" customHeight="1">
      <c r="A14" s="2445" t="s">
        <v>2741</v>
      </c>
      <c r="B14" s="687" t="s">
        <v>523</v>
      </c>
      <c r="C14" s="705">
        <f ca="1">INDIRECT("'数据-取费表'!m"&amp;$G$1)+INDIRECT("'数据-取费表'!t"&amp;$G$1)</f>
        <v>245776</v>
      </c>
      <c r="D14" s="2222" t="s">
        <v>1149</v>
      </c>
      <c r="E14" s="2221"/>
      <c r="F14" s="706"/>
      <c r="G14" s="2295"/>
      <c r="H14" s="2445" t="s">
        <v>2744</v>
      </c>
      <c r="I14" s="687" t="s">
        <v>1150</v>
      </c>
      <c r="J14" s="319">
        <f ca="1">C29</f>
        <v>386278</v>
      </c>
      <c r="K14" s="309"/>
      <c r="L14" s="703"/>
      <c r="M14" s="704"/>
    </row>
    <row r="15" spans="1:37" s="709" customFormat="1" ht="18" customHeight="1" thickBot="1">
      <c r="A15" s="2445" t="s">
        <v>3009</v>
      </c>
      <c r="B15" s="687" t="s">
        <v>524</v>
      </c>
      <c r="C15" s="319">
        <f ca="1">ROUND(C14*F15,0)</f>
        <v>12289</v>
      </c>
      <c r="D15" s="707" t="s">
        <v>1151</v>
      </c>
      <c r="E15" s="707" t="s">
        <v>1152</v>
      </c>
      <c r="F15" s="708">
        <f>'数据-取费表'!B33</f>
        <v>0.05</v>
      </c>
      <c r="G15" s="2296"/>
      <c r="H15" s="2694" t="s">
        <v>2751</v>
      </c>
      <c r="I15" s="2695" t="s">
        <v>1148</v>
      </c>
      <c r="J15" s="2706">
        <f ca="1">INDIRECT("'数据-取费表'!ad"&amp;$G$1)</f>
        <v>0</v>
      </c>
      <c r="K15" s="2707"/>
      <c r="L15" s="2708"/>
      <c r="M15" s="2709"/>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5" t="s">
        <v>3010</v>
      </c>
      <c r="B16" s="687" t="s">
        <v>525</v>
      </c>
      <c r="C16" s="319">
        <f ca="1">ROUND(INDIRECT("'数据-取费表'!m"&amp;$G$1)*F16,0)</f>
        <v>0</v>
      </c>
      <c r="D16" s="687" t="s">
        <v>1151</v>
      </c>
      <c r="E16" s="687" t="s">
        <v>1152</v>
      </c>
      <c r="F16" s="710">
        <f ca="1">IF(INDIRECT("'数据-取费表'!c"&amp;$G$1)="住宅",'数据-取费表'!B34,0)</f>
        <v>0</v>
      </c>
      <c r="G16" s="2295"/>
      <c r="H16" s="2682" t="s">
        <v>2709</v>
      </c>
      <c r="I16" s="2683" t="s">
        <v>1153</v>
      </c>
      <c r="J16" s="695">
        <f ca="1">ROUND(J17+J22+J23+J24,0)</f>
        <v>7293</v>
      </c>
      <c r="K16" s="2692" t="s">
        <v>1154</v>
      </c>
      <c r="L16" s="2693"/>
      <c r="M16" s="2643"/>
    </row>
    <row r="17" spans="1:37" s="709" customFormat="1" ht="18" customHeight="1">
      <c r="A17" s="2445" t="s">
        <v>3011</v>
      </c>
      <c r="B17" s="687" t="s">
        <v>526</v>
      </c>
      <c r="C17" s="319">
        <f ca="1">ROUND(F17*(F43+INDIRECT("'数据-取费表'!S"&amp;$G$1))/10000,0)</f>
        <v>9897</v>
      </c>
      <c r="D17" s="687" t="s">
        <v>1155</v>
      </c>
      <c r="E17" s="687" t="s">
        <v>1156</v>
      </c>
      <c r="F17" s="321">
        <f>'数据-取费表'!B35</f>
        <v>200</v>
      </c>
      <c r="G17" s="2296"/>
      <c r="H17" s="2445" t="s">
        <v>2744</v>
      </c>
      <c r="I17" s="687" t="s">
        <v>527</v>
      </c>
      <c r="J17" s="319">
        <f ca="1">ROUND(IF(项目基本情况!B11="自然人",J5*M17,J18+J19+J20),1)</f>
        <v>3430.6</v>
      </c>
      <c r="K17" s="2222" t="s">
        <v>1157</v>
      </c>
      <c r="L17" s="2220" t="s">
        <v>1158</v>
      </c>
      <c r="M17" s="711"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9" customFormat="1" ht="18" customHeight="1">
      <c r="A18" s="2445" t="s">
        <v>3012</v>
      </c>
      <c r="B18" s="687" t="s">
        <v>528</v>
      </c>
      <c r="C18" s="319">
        <f ca="1">ROUND(C14*F18,0)</f>
        <v>3687</v>
      </c>
      <c r="D18" s="687" t="s">
        <v>1151</v>
      </c>
      <c r="E18" s="687" t="s">
        <v>1152</v>
      </c>
      <c r="F18" s="710">
        <f>'数据-取费表'!B36</f>
        <v>1.4999999999999999E-2</v>
      </c>
      <c r="G18" s="2296"/>
      <c r="H18" s="2445" t="s">
        <v>2741</v>
      </c>
      <c r="I18" s="687" t="s">
        <v>1159</v>
      </c>
      <c r="J18" s="319">
        <f ca="1">ROUND(J5*M18/(1+'数据-取费表'!B42),2)</f>
        <v>0</v>
      </c>
      <c r="K18" s="2220" t="s">
        <v>1160</v>
      </c>
      <c r="L18" s="687" t="s">
        <v>1152</v>
      </c>
      <c r="M18" s="710">
        <f>'数据-取费表'!B41</f>
        <v>5.5000000000000007E-2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5" t="s">
        <v>2943</v>
      </c>
      <c r="B19" s="687" t="s">
        <v>530</v>
      </c>
      <c r="C19" s="319">
        <f ca="1">SUM(C14:C18)</f>
        <v>271649</v>
      </c>
      <c r="D19" s="474" t="s">
        <v>1161</v>
      </c>
      <c r="E19" s="2230"/>
      <c r="F19" s="321"/>
      <c r="G19" s="2295"/>
      <c r="H19" s="2445" t="s">
        <v>3009</v>
      </c>
      <c r="I19" s="687" t="s">
        <v>1162</v>
      </c>
      <c r="J19" s="319">
        <f ca="1">IF(K19="按租金收入计税",ROUND(J5*M19,2),ROUND(C29*M19*0.7,2))</f>
        <v>3244.74</v>
      </c>
      <c r="K19" s="1304" t="s">
        <v>2792</v>
      </c>
      <c r="L19" s="687" t="s">
        <v>1152</v>
      </c>
      <c r="M19" s="710">
        <f>IF(K19="按租金收入计税",'数据-取费表'!B51,'数据-取费表'!B50)</f>
        <v>1.2E-2</v>
      </c>
    </row>
    <row r="20" spans="1:37" s="709" customFormat="1" ht="18" customHeight="1">
      <c r="A20" s="2445" t="s">
        <v>3013</v>
      </c>
      <c r="B20" s="687" t="s">
        <v>531</v>
      </c>
      <c r="C20" s="319">
        <f ca="1">ROUND(C19*F20,0)</f>
        <v>8149</v>
      </c>
      <c r="D20" s="712" t="s">
        <v>1163</v>
      </c>
      <c r="E20" s="687" t="s">
        <v>1152</v>
      </c>
      <c r="F20" s="710">
        <f>'数据-取费表'!B37</f>
        <v>0.03</v>
      </c>
      <c r="G20" s="2296"/>
      <c r="H20" s="2445" t="s">
        <v>3010</v>
      </c>
      <c r="I20" s="499" t="s">
        <v>1164</v>
      </c>
      <c r="J20" s="320">
        <f ca="1">ROUND(M20*M21/10000,2)</f>
        <v>185.89</v>
      </c>
      <c r="K20" s="713" t="s">
        <v>1165</v>
      </c>
      <c r="L20" s="687" t="s">
        <v>1166</v>
      </c>
      <c r="M20" s="714">
        <f>'数据-取费表'!B52</f>
        <v>3</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9" customFormat="1" ht="18" customHeight="1">
      <c r="A21" s="2445" t="s">
        <v>3014</v>
      </c>
      <c r="B21" s="687" t="s">
        <v>1167</v>
      </c>
      <c r="C21" s="319" t="s">
        <v>76</v>
      </c>
      <c r="D21" s="712" t="s">
        <v>1168</v>
      </c>
      <c r="E21" s="687" t="s">
        <v>1169</v>
      </c>
      <c r="F21" s="710">
        <f>'数据-取费表'!B38</f>
        <v>0.02</v>
      </c>
      <c r="G21" s="2296"/>
      <c r="H21" s="715"/>
      <c r="I21" s="696"/>
      <c r="J21" s="324"/>
      <c r="K21" s="716"/>
      <c r="L21" s="687" t="s">
        <v>1170</v>
      </c>
      <c r="M21" s="688">
        <f ca="1">INDIRECT("'数据-取费表'!r"&amp;$G$1)</f>
        <v>619634</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5" t="s">
        <v>3015</v>
      </c>
      <c r="B22" s="687" t="s">
        <v>1171</v>
      </c>
      <c r="C22" s="319"/>
      <c r="D22" s="2717" t="str">
        <f>IF(F23&lt;=1,"单利计息。","复利计息。")&amp;"建造成本、管理费用、销售费用产生的利息。"</f>
        <v>复利计息。建造成本、管理费用、销售费用产生的利息。</v>
      </c>
      <c r="E22" s="2230"/>
      <c r="F22" s="321"/>
      <c r="G22" s="2295"/>
      <c r="H22" s="2445" t="s">
        <v>2751</v>
      </c>
      <c r="I22" s="687" t="s">
        <v>1172</v>
      </c>
      <c r="J22" s="319">
        <f ca="1">ROUND(J14*M22,1)</f>
        <v>3862.8</v>
      </c>
      <c r="K22" s="2220" t="s">
        <v>1173</v>
      </c>
      <c r="L22" s="687" t="s">
        <v>1152</v>
      </c>
      <c r="M22" s="717">
        <f ca="1">INDIRECT("'数据-取费表'!Ak"&amp;$G$1)</f>
        <v>0.01</v>
      </c>
    </row>
    <row r="23" spans="1:37" s="709" customFormat="1" ht="18" customHeight="1">
      <c r="A23" s="2445" t="s">
        <v>2741</v>
      </c>
      <c r="B23" s="687" t="s">
        <v>2929</v>
      </c>
      <c r="C23" s="319">
        <f ca="1">IF('数据-取费表'!B22&lt;=1,ROUND(C19*F24*F23/2,0)+ROUND(C20*F24*F23/2,0),ROUND(C19*(POWER((1+F24),F23/2)-1),0)+ROUND(C20*(POWER((1+F24),F23/2)-1),0))</f>
        <v>34419</v>
      </c>
      <c r="D23" s="2721" t="str">
        <f>IF(F23&lt;=1,"(建造成本+管理费用)×利率×(建设周期÷2)","(建造成本+管理费用)×((1+利率)^(建设周期÷2)-1)")</f>
        <v>(建造成本+管理费用)×((1+利率)^(建设周期÷2)-1)</v>
      </c>
      <c r="E23" s="687" t="s">
        <v>1174</v>
      </c>
      <c r="F23" s="714">
        <f>'数据-取费表'!B20</f>
        <v>5</v>
      </c>
      <c r="G23" s="2296"/>
      <c r="H23" s="2445" t="s">
        <v>3014</v>
      </c>
      <c r="I23" s="687" t="s">
        <v>532</v>
      </c>
      <c r="J23" s="319">
        <f ca="1">ROUND(J13*M23,1)</f>
        <v>0</v>
      </c>
      <c r="K23" s="2220" t="s">
        <v>1175</v>
      </c>
      <c r="L23" s="687" t="s">
        <v>1152</v>
      </c>
      <c r="M23" s="719">
        <f ca="1">INDIRECT("'数据-取费表'!Al"&amp;$G$1)</f>
        <v>1E-3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9" customFormat="1" ht="18" customHeight="1" thickBot="1">
      <c r="A24" s="2445" t="s">
        <v>2747</v>
      </c>
      <c r="B24" s="687" t="s">
        <v>1176</v>
      </c>
      <c r="C24" s="319">
        <f ca="1">ROUND(IF('数据-取费表'!B22&lt;=1,F21*F24*F23/2,F21*(POWER((1+F24),F23/2)-1)),4)</f>
        <v>2.5000000000000001E-3</v>
      </c>
      <c r="D24" s="2721" t="str">
        <f>IF(F23&lt;=1,"销售费用×利率×(建设周期÷2)","销售费用×((1+利率)^(建设周期÷2)-1)")</f>
        <v>销售费用×((1+利率)^(建设周期÷2)-1)</v>
      </c>
      <c r="E24" s="687" t="s">
        <v>1177</v>
      </c>
      <c r="F24" s="720">
        <f ca="1">'数据-取费表'!B40</f>
        <v>4.7500000000000001E-2</v>
      </c>
      <c r="G24" s="2296"/>
      <c r="H24" s="2694" t="s">
        <v>3015</v>
      </c>
      <c r="I24" s="2695" t="s">
        <v>531</v>
      </c>
      <c r="J24" s="2696">
        <f ca="1">ROUND(J5*M24,1)</f>
        <v>0</v>
      </c>
      <c r="K24" s="2697" t="s">
        <v>1178</v>
      </c>
      <c r="L24" s="2695" t="s">
        <v>1152</v>
      </c>
      <c r="M24" s="2691">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5" t="s">
        <v>2748</v>
      </c>
      <c r="B25" s="687" t="s">
        <v>536</v>
      </c>
      <c r="C25" s="319"/>
      <c r="D25" s="474" t="s">
        <v>1179</v>
      </c>
      <c r="E25" s="2230"/>
      <c r="F25" s="321"/>
      <c r="G25" s="2295"/>
      <c r="H25" s="2682" t="s">
        <v>2724</v>
      </c>
      <c r="I25" s="2699" t="s">
        <v>1180</v>
      </c>
      <c r="J25" s="695">
        <f ca="1">J5-J16</f>
        <v>-7293</v>
      </c>
      <c r="K25" s="2700" t="s">
        <v>1181</v>
      </c>
      <c r="L25" s="2701"/>
      <c r="M25" s="2702"/>
    </row>
    <row r="26" spans="1:37" ht="18" customHeight="1">
      <c r="A26" s="2445" t="s">
        <v>2741</v>
      </c>
      <c r="B26" s="687" t="s">
        <v>2930</v>
      </c>
      <c r="C26" s="319">
        <f ca="1">ROUND((C19+C20)*F26,0)</f>
        <v>41970</v>
      </c>
      <c r="D26" s="712" t="s">
        <v>1182</v>
      </c>
      <c r="E26" s="698" t="s">
        <v>1183</v>
      </c>
      <c r="F26" s="697">
        <f ca="1">INDIRECT("'数据-取费表'!q"&amp;$G$1)</f>
        <v>0.15</v>
      </c>
      <c r="G26" s="2295"/>
      <c r="H26" s="684" t="s">
        <v>2727</v>
      </c>
      <c r="I26" s="685" t="s">
        <v>1184</v>
      </c>
      <c r="J26" s="686">
        <f ca="1">IF(J5&lt;&gt;0,ROUND(J25*(1-((1+M28)/(1+M26))^M27)/(M26-M28),0),0)</f>
        <v>0</v>
      </c>
      <c r="K26" s="713" t="s">
        <v>1185</v>
      </c>
      <c r="L26" s="687" t="s">
        <v>1191</v>
      </c>
      <c r="M26" s="697">
        <f ca="1">INDIRECT("'数据-取费表'!I"&amp;$G$1)</f>
        <v>5.5E-2</v>
      </c>
    </row>
    <row r="27" spans="1:37" ht="18" customHeight="1">
      <c r="A27" s="2445" t="s">
        <v>2747</v>
      </c>
      <c r="B27" s="687" t="s">
        <v>539</v>
      </c>
      <c r="C27" s="319">
        <f ca="1">ROUND(F21*F26,4)</f>
        <v>3.0000000000000001E-3</v>
      </c>
      <c r="D27" s="712" t="s">
        <v>1186</v>
      </c>
      <c r="E27" s="707"/>
      <c r="F27" s="708"/>
      <c r="G27" s="2295"/>
      <c r="H27" s="689"/>
      <c r="I27" s="690"/>
      <c r="J27" s="691"/>
      <c r="K27" s="721" t="s">
        <v>1187</v>
      </c>
      <c r="L27" s="687" t="s">
        <v>1192</v>
      </c>
      <c r="M27" s="722">
        <f ca="1">INDIRECT("'数据-取费表'!ag"&amp;$G$1)</f>
        <v>0</v>
      </c>
    </row>
    <row r="28" spans="1:37" s="709" customFormat="1" ht="18" customHeight="1">
      <c r="A28" s="2445" t="s">
        <v>2749</v>
      </c>
      <c r="B28" s="687" t="s">
        <v>540</v>
      </c>
      <c r="C28" s="319">
        <f>ROUND(F28/(1+'数据-取费表'!B42),4)</f>
        <v>5.2400000000000002E-2</v>
      </c>
      <c r="D28" s="712" t="s">
        <v>1193</v>
      </c>
      <c r="E28" s="687" t="s">
        <v>1152</v>
      </c>
      <c r="F28" s="710">
        <f>'数据-取费表'!B41</f>
        <v>5.5000000000000007E-2</v>
      </c>
      <c r="G28" s="2296"/>
      <c r="H28" s="693"/>
      <c r="I28" s="694"/>
      <c r="J28" s="695"/>
      <c r="K28" s="716"/>
      <c r="L28" s="687" t="s">
        <v>1194</v>
      </c>
      <c r="M28" s="697">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9" customFormat="1" ht="18" customHeight="1" thickBot="1">
      <c r="A29" s="2694" t="s">
        <v>2750</v>
      </c>
      <c r="B29" s="2695" t="s">
        <v>1195</v>
      </c>
      <c r="C29" s="2696">
        <f ca="1">ROUND((C19+C20+C23+C26)/(1-F21-C24-C27-C28),0)</f>
        <v>386278</v>
      </c>
      <c r="D29" s="2697"/>
      <c r="E29" s="2695"/>
      <c r="F29" s="2698"/>
      <c r="G29" s="2296"/>
      <c r="H29" s="723" t="s">
        <v>2734</v>
      </c>
      <c r="I29" s="724" t="s">
        <v>1188</v>
      </c>
      <c r="J29" s="725">
        <f ca="1">ROUND(J26/(1+F40)^F41,0)</f>
        <v>0</v>
      </c>
      <c r="K29" s="726" t="s">
        <v>1189</v>
      </c>
      <c r="L29" s="727"/>
      <c r="M29" s="728">
        <f ca="1">INDIRECT("'数据-取费表'!k"&amp;$G$1)</f>
        <v>483897.51999999996</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82" t="s">
        <v>2709</v>
      </c>
      <c r="B30" s="2683" t="s">
        <v>1153</v>
      </c>
      <c r="C30" s="695">
        <f ca="1">ROUND(C31+C36+C37+C38,0)</f>
        <v>8704</v>
      </c>
      <c r="D30" s="2692" t="s">
        <v>1154</v>
      </c>
      <c r="E30" s="2693"/>
      <c r="F30" s="2643"/>
      <c r="G30" s="2295"/>
      <c r="H30" s="1281"/>
      <c r="I30" s="1282"/>
      <c r="J30" s="1283"/>
      <c r="K30" s="1284"/>
      <c r="L30" s="1285"/>
      <c r="M30" s="1286"/>
    </row>
    <row r="31" spans="1:37" ht="18" customHeight="1">
      <c r="A31" s="2445" t="s">
        <v>2943</v>
      </c>
      <c r="B31" s="687" t="s">
        <v>527</v>
      </c>
      <c r="C31" s="319">
        <f ca="1">ROUND(IF(项目基本情况!B11="自然人",C5*F31,C32+C33+C34),1)</f>
        <v>4355.8</v>
      </c>
      <c r="D31" s="2222" t="s">
        <v>1157</v>
      </c>
      <c r="E31" s="2220" t="s">
        <v>1196</v>
      </c>
      <c r="F31" s="711" t="str">
        <f ca="1">IF(项目基本情况!B11="企业","",IF(INDIRECT("'数据-取费表'!c"&amp;$G$1)="住宅",4.5%,IF(F6*F7*F8/12&gt;20000,11%,6%)))</f>
        <v/>
      </c>
      <c r="G31" s="2295"/>
      <c r="H31" s="1281"/>
      <c r="I31" s="1282"/>
      <c r="J31" s="1283"/>
      <c r="K31" s="1284"/>
      <c r="L31" s="1285"/>
      <c r="M31" s="1286"/>
    </row>
    <row r="32" spans="1:37" ht="18" customHeight="1">
      <c r="A32" s="2445" t="s">
        <v>3008</v>
      </c>
      <c r="B32" s="687" t="s">
        <v>1159</v>
      </c>
      <c r="C32" s="319">
        <f ca="1">IF(项目基本情况!B11="自然人","——",ROUND(C5*F32/(1+'数据-取费表'!B42),2))</f>
        <v>925.15</v>
      </c>
      <c r="D32" s="2220" t="s">
        <v>1160</v>
      </c>
      <c r="E32" s="687" t="s">
        <v>1152</v>
      </c>
      <c r="F32" s="720">
        <f>'数据-取费表'!B41</f>
        <v>5.5000000000000007E-2</v>
      </c>
      <c r="G32" s="2295"/>
      <c r="H32" s="1287"/>
      <c r="I32" s="1288"/>
      <c r="J32" s="1289"/>
      <c r="K32" s="1290"/>
      <c r="L32" s="1291"/>
      <c r="M32" s="1292"/>
    </row>
    <row r="33" spans="1:18" ht="18" customHeight="1">
      <c r="A33" s="2445" t="s">
        <v>3009</v>
      </c>
      <c r="B33" s="687" t="s">
        <v>1162</v>
      </c>
      <c r="C33" s="319">
        <f ca="1">IF(项目基本情况!B11="自然人","——",IF(D33="按租金收入计税",ROUND(C5*F33,2),IF(D33="按房产原值计税",ROUND(C29*F33*0.7,2),INDIRECT("'数据-取费表'!Aj"&amp;$G$1))))</f>
        <v>3244.74</v>
      </c>
      <c r="D33" s="1304" t="s">
        <v>2792</v>
      </c>
      <c r="E33" s="687" t="s">
        <v>529</v>
      </c>
      <c r="F33" s="710">
        <f>IF(D33="按票据","——",IF(D33="按租金收入计税",'数据-取费表'!B51,'数据-取费表'!B50))</f>
        <v>1.2E-2</v>
      </c>
      <c r="G33" s="2295"/>
      <c r="H33" s="1293"/>
      <c r="I33" s="2900"/>
      <c r="J33" s="2901"/>
      <c r="K33" s="1294"/>
      <c r="L33" s="1293"/>
      <c r="M33" s="1293"/>
    </row>
    <row r="34" spans="1:18" ht="18" customHeight="1">
      <c r="A34" s="2637" t="s">
        <v>3010</v>
      </c>
      <c r="B34" s="499" t="s">
        <v>1197</v>
      </c>
      <c r="C34" s="320">
        <f ca="1">IF(项目基本情况!B11="自然人","——",ROUND(F34*F35/10000,2))</f>
        <v>185.89</v>
      </c>
      <c r="D34" s="713" t="s">
        <v>1198</v>
      </c>
      <c r="E34" s="687" t="s">
        <v>1199</v>
      </c>
      <c r="F34" s="714">
        <f>'数据-取费表'!B52</f>
        <v>3</v>
      </c>
      <c r="G34" s="2295"/>
      <c r="H34" s="1281"/>
      <c r="I34" s="2900"/>
      <c r="J34" s="2901"/>
      <c r="K34" s="1295"/>
      <c r="L34" s="1296"/>
      <c r="M34" s="1296"/>
    </row>
    <row r="35" spans="1:18" ht="18" customHeight="1">
      <c r="A35" s="2712"/>
      <c r="B35" s="2710"/>
      <c r="C35" s="324"/>
      <c r="D35" s="716"/>
      <c r="E35" s="687" t="s">
        <v>1170</v>
      </c>
      <c r="F35" s="688">
        <f ca="1">INDIRECT("'数据-取费表'!r"&amp;$G$1)</f>
        <v>619634</v>
      </c>
      <c r="G35" s="2295"/>
      <c r="H35" s="1281"/>
      <c r="I35" s="2900"/>
      <c r="J35" s="2901"/>
      <c r="K35" s="1294"/>
      <c r="L35" s="1293"/>
      <c r="M35" s="1293"/>
    </row>
    <row r="36" spans="1:18" ht="18" customHeight="1">
      <c r="A36" s="2711" t="s">
        <v>2751</v>
      </c>
      <c r="B36" s="687" t="s">
        <v>1172</v>
      </c>
      <c r="C36" s="319">
        <f ca="1">ROUND(C29*F36,1)</f>
        <v>3862.8</v>
      </c>
      <c r="D36" s="2220" t="s">
        <v>1202</v>
      </c>
      <c r="E36" s="687" t="s">
        <v>1203</v>
      </c>
      <c r="F36" s="717">
        <f ca="1">INDIRECT("'数据-取费表'!Ak"&amp;$G$1)</f>
        <v>0.01</v>
      </c>
      <c r="G36" s="2295"/>
      <c r="H36" s="1293"/>
      <c r="I36" s="2900"/>
      <c r="J36" s="2901"/>
      <c r="K36" s="1297"/>
      <c r="L36" s="1293"/>
      <c r="M36" s="1293"/>
    </row>
    <row r="37" spans="1:18" ht="18" customHeight="1">
      <c r="A37" s="2445" t="s">
        <v>3014</v>
      </c>
      <c r="B37" s="687" t="s">
        <v>532</v>
      </c>
      <c r="C37" s="319">
        <f ca="1">ROUND(C13*F37,1)</f>
        <v>309</v>
      </c>
      <c r="D37" s="2220" t="s">
        <v>533</v>
      </c>
      <c r="E37" s="687" t="s">
        <v>534</v>
      </c>
      <c r="F37" s="719">
        <f ca="1">INDIRECT("'数据-取费表'!Al"&amp;$G$1)</f>
        <v>1E-3</v>
      </c>
      <c r="G37" s="2295"/>
      <c r="H37" s="1293"/>
      <c r="I37" s="2900"/>
      <c r="J37" s="2901"/>
      <c r="K37" s="1297"/>
      <c r="L37" s="1293"/>
      <c r="M37" s="1293"/>
    </row>
    <row r="38" spans="1:18" ht="18" customHeight="1" thickBot="1">
      <c r="A38" s="2694" t="s">
        <v>3015</v>
      </c>
      <c r="B38" s="2695" t="s">
        <v>531</v>
      </c>
      <c r="C38" s="2696">
        <f ca="1">ROUND(C5*F38,1)</f>
        <v>176.6</v>
      </c>
      <c r="D38" s="2697" t="s">
        <v>535</v>
      </c>
      <c r="E38" s="2695" t="s">
        <v>534</v>
      </c>
      <c r="F38" s="2691">
        <f ca="1">INDIRECT("'数据-取费表'!Am"&amp;$G$1)</f>
        <v>0.01</v>
      </c>
      <c r="G38" s="2295"/>
      <c r="H38" s="1293"/>
      <c r="I38" s="2900"/>
      <c r="J38" s="2901"/>
      <c r="K38" s="1298"/>
      <c r="L38" s="1293"/>
      <c r="M38" s="1293"/>
    </row>
    <row r="39" spans="1:18" ht="24.6" customHeight="1" thickTop="1">
      <c r="A39" s="2682" t="s">
        <v>2724</v>
      </c>
      <c r="B39" s="2699" t="s">
        <v>541</v>
      </c>
      <c r="C39" s="695">
        <f ca="1">C5-C30</f>
        <v>8958</v>
      </c>
      <c r="D39" s="2700" t="s">
        <v>542</v>
      </c>
      <c r="E39" s="2701"/>
      <c r="F39" s="2702"/>
      <c r="G39" s="2295"/>
      <c r="H39" s="1293"/>
      <c r="I39" s="2900"/>
      <c r="J39" s="2901"/>
      <c r="K39" s="1298"/>
      <c r="L39" s="1293"/>
      <c r="M39" s="1293"/>
    </row>
    <row r="40" spans="1:18" ht="18" customHeight="1">
      <c r="A40" s="684" t="s">
        <v>2727</v>
      </c>
      <c r="B40" s="685" t="s">
        <v>543</v>
      </c>
      <c r="C40" s="686">
        <f ca="1">ROUND(C39*(1-((1+F42)/(1+F40))^F41)/(F40-F42),0)</f>
        <v>239596</v>
      </c>
      <c r="D40" s="713" t="s">
        <v>537</v>
      </c>
      <c r="E40" s="687" t="s">
        <v>538</v>
      </c>
      <c r="F40" s="697">
        <f ca="1">INDIRECT("'数据-取费表'!I"&amp;$G$1)</f>
        <v>5.5E-2</v>
      </c>
      <c r="G40" s="2295"/>
      <c r="H40" s="1299"/>
      <c r="I40" s="2900"/>
      <c r="J40" s="2901"/>
      <c r="K40" s="1298"/>
      <c r="L40" s="1299"/>
      <c r="M40" s="1299"/>
    </row>
    <row r="41" spans="1:18" ht="18" customHeight="1">
      <c r="A41" s="689"/>
      <c r="B41" s="690"/>
      <c r="C41" s="691"/>
      <c r="D41" s="721" t="s">
        <v>544</v>
      </c>
      <c r="E41" s="687" t="s">
        <v>545</v>
      </c>
      <c r="F41" s="722">
        <f ca="1">IF(INDIRECT("'数据-取费表'!af"&amp;$G$1)=0,INDIRECT("'数据-取费表'!ae"&amp;$G$1),INDIRECT("'数据-取费表'!af"&amp;$G$1))</f>
        <v>40</v>
      </c>
      <c r="G41" s="2295"/>
      <c r="H41" s="1195"/>
      <c r="I41" s="2900"/>
      <c r="J41" s="2901"/>
      <c r="K41" s="1297"/>
      <c r="L41" s="1195"/>
      <c r="M41" s="1195"/>
    </row>
    <row r="42" spans="1:18" ht="18" customHeight="1">
      <c r="A42" s="693"/>
      <c r="B42" s="694"/>
      <c r="C42" s="695"/>
      <c r="D42" s="716"/>
      <c r="E42" s="687" t="s">
        <v>546</v>
      </c>
      <c r="F42" s="697">
        <f ca="1">INDIRECT("'数据-取费表'!v"&amp;$G$1)</f>
        <v>3.5000000000000003E-2</v>
      </c>
      <c r="G42" s="2295"/>
      <c r="H42" s="1195"/>
      <c r="I42" s="2900"/>
      <c r="J42" s="2901"/>
      <c r="K42" s="1297"/>
      <c r="L42" s="1195"/>
      <c r="M42" s="1195"/>
    </row>
    <row r="43" spans="1:18" ht="18" customHeight="1" thickBot="1">
      <c r="A43" s="723" t="s">
        <v>2734</v>
      </c>
      <c r="B43" s="724" t="s">
        <v>547</v>
      </c>
      <c r="C43" s="725">
        <f ca="1">ROUND(C40*10000/F43,0)</f>
        <v>4951</v>
      </c>
      <c r="D43" s="726" t="s">
        <v>548</v>
      </c>
      <c r="E43" s="727" t="s">
        <v>549</v>
      </c>
      <c r="F43" s="728">
        <f ca="1">INDIRECT("'数据-取费表'!k"&amp;$G$1)</f>
        <v>483897.51999999996</v>
      </c>
      <c r="G43" s="2295"/>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602" t="s">
        <v>2877</v>
      </c>
      <c r="P45" s="1299"/>
      <c r="Q45" s="1299"/>
      <c r="R45" s="1299"/>
    </row>
    <row r="46" spans="1:18" s="1458" customFormat="1" ht="21" thickBot="1">
      <c r="A46" s="2403" t="s">
        <v>2696</v>
      </c>
      <c r="B46" s="2404"/>
      <c r="C46" s="2741">
        <f ca="1">C68-C40</f>
        <v>-72028</v>
      </c>
      <c r="D46" s="2742" t="str">
        <f>C2</f>
        <v>万元</v>
      </c>
      <c r="E46" s="1436"/>
      <c r="F46" s="1436"/>
      <c r="I46" s="2589" t="s">
        <v>2810</v>
      </c>
      <c r="J46" s="2590"/>
      <c r="K46" s="2591"/>
      <c r="L46" s="2593" t="str">
        <f ca="1">IF(M47="住宅",0,IF(L48&gt;J51,L60,J60))</f>
        <v>0</v>
      </c>
      <c r="O46" s="2605" t="s">
        <v>2855</v>
      </c>
      <c r="P46" s="2606" t="s">
        <v>2856</v>
      </c>
      <c r="Q46" s="2607" t="s">
        <v>2854</v>
      </c>
      <c r="R46" s="2607" t="s">
        <v>2857</v>
      </c>
    </row>
    <row r="47" spans="1:18" s="1458" customFormat="1" ht="15.75" thickBot="1">
      <c r="A47" s="2405" t="s">
        <v>2698</v>
      </c>
      <c r="B47" s="2441" t="s">
        <v>2699</v>
      </c>
      <c r="C47" s="2746" t="s">
        <v>2700</v>
      </c>
      <c r="D47" s="2441" t="s">
        <v>2701</v>
      </c>
      <c r="E47" s="2545" t="s">
        <v>2702</v>
      </c>
      <c r="F47" s="2546"/>
      <c r="G47" s="1460"/>
      <c r="I47" s="2564" t="s">
        <v>2803</v>
      </c>
      <c r="J47" s="2565" t="s">
        <v>131</v>
      </c>
      <c r="K47" s="2574" t="s">
        <v>2826</v>
      </c>
      <c r="L47" s="2575">
        <f ca="1">INDIRECT("'数据-取费表'!d"&amp;$G$1)</f>
        <v>40</v>
      </c>
      <c r="M47" s="2595" t="str">
        <f>IF(ISNUMBER(FIND("住宅",C1)),"住宅","非住宅")</f>
        <v>非住宅</v>
      </c>
      <c r="O47" s="2598" t="s">
        <v>2839</v>
      </c>
      <c r="P47" s="2608" t="s">
        <v>2858</v>
      </c>
      <c r="Q47" s="2599">
        <f ca="1">C40+J29</f>
        <v>239596</v>
      </c>
      <c r="R47" s="2599" t="s">
        <v>2859</v>
      </c>
    </row>
    <row r="48" spans="1:18" s="1458" customFormat="1" ht="47.25" thickBot="1">
      <c r="A48" s="2727" t="s">
        <v>3020</v>
      </c>
      <c r="B48" s="685" t="s">
        <v>2703</v>
      </c>
      <c r="C48" s="2737">
        <f ca="1">C49+C53+C55</f>
        <v>15940</v>
      </c>
      <c r="D48" s="2731"/>
      <c r="E48" s="2732"/>
      <c r="F48" s="2425"/>
      <c r="G48" s="1460"/>
      <c r="H48" s="1461"/>
      <c r="I48" s="2554" t="s">
        <v>2804</v>
      </c>
      <c r="J48" s="2566" t="s">
        <v>2805</v>
      </c>
      <c r="K48" s="2576" t="s">
        <v>2827</v>
      </c>
      <c r="L48" s="2174">
        <f ca="1">INDIRECT("'数据-取费表'!f"&amp;$G$1)</f>
        <v>40</v>
      </c>
      <c r="O48" s="2598" t="s">
        <v>2840</v>
      </c>
      <c r="P48" s="2608" t="s">
        <v>2860</v>
      </c>
      <c r="Q48" s="2599" t="str">
        <f ca="1">J60</f>
        <v>0</v>
      </c>
      <c r="R48" s="2599" t="s">
        <v>2868</v>
      </c>
    </row>
    <row r="49" spans="1:18" s="1458" customFormat="1" ht="15.75" thickBot="1">
      <c r="A49" s="2438" t="s">
        <v>3021</v>
      </c>
      <c r="B49" s="2730" t="s">
        <v>3023</v>
      </c>
      <c r="C49" s="2739">
        <f ca="1">ROUND(F49*F51*F50*(1-F52)/10000,0)</f>
        <v>15896</v>
      </c>
      <c r="D49" s="2541" t="s">
        <v>2704</v>
      </c>
      <c r="E49" s="2544" t="s">
        <v>2697</v>
      </c>
      <c r="F49" s="2547">
        <v>1</v>
      </c>
      <c r="G49" s="1462"/>
      <c r="H49" s="1461"/>
      <c r="I49" s="2554" t="s">
        <v>2824</v>
      </c>
      <c r="J49" s="2567">
        <v>2002</v>
      </c>
      <c r="K49" s="2577" t="s">
        <v>2829</v>
      </c>
      <c r="L49" s="2578">
        <v>5000</v>
      </c>
      <c r="O49" s="2600" t="s">
        <v>2841</v>
      </c>
      <c r="P49" s="2608" t="s">
        <v>2861</v>
      </c>
      <c r="Q49" s="2599">
        <f ca="1">C29</f>
        <v>386278</v>
      </c>
      <c r="R49" s="2599" t="s">
        <v>2859</v>
      </c>
    </row>
    <row r="50" spans="1:18" s="1458" customFormat="1" ht="15.75" thickBot="1">
      <c r="A50" s="2439"/>
      <c r="B50" s="2442"/>
      <c r="C50" s="2747"/>
      <c r="D50" s="2412"/>
      <c r="E50" s="2542" t="s">
        <v>2705</v>
      </c>
      <c r="F50" s="2543">
        <f ca="1">F7</f>
        <v>483897.51999999996</v>
      </c>
      <c r="H50" s="1461"/>
      <c r="I50" s="2554" t="s">
        <v>2806</v>
      </c>
      <c r="J50" s="2568">
        <f>SUMPRODUCT((I63:I65=J47)*(J62:L62=J48)*(J63:L65))</f>
        <v>60</v>
      </c>
      <c r="K50" s="2577" t="s">
        <v>2830</v>
      </c>
      <c r="L50" s="2578">
        <v>0</v>
      </c>
      <c r="M50" s="2572"/>
      <c r="O50" s="2600" t="s">
        <v>2842</v>
      </c>
      <c r="P50" s="2608" t="s">
        <v>2869</v>
      </c>
      <c r="Q50" s="2601">
        <f>J58</f>
        <v>0.6</v>
      </c>
      <c r="R50" s="2599"/>
    </row>
    <row r="51" spans="1:18" s="1458" customFormat="1" ht="15.75" thickBot="1">
      <c r="A51" s="2440"/>
      <c r="B51" s="2442"/>
      <c r="C51" s="2443"/>
      <c r="D51" s="2412"/>
      <c r="E51" s="2444" t="s">
        <v>2706</v>
      </c>
      <c r="F51" s="688">
        <f ca="1">F8</f>
        <v>365</v>
      </c>
      <c r="I51" s="2569" t="s">
        <v>2811</v>
      </c>
      <c r="J51" s="2570">
        <f>IF(J49="",J50,J49+J50-YEAR('数据-取费表'!B2))</f>
        <v>45</v>
      </c>
      <c r="K51" s="2579" t="s">
        <v>2831</v>
      </c>
      <c r="L51" s="2592">
        <f ca="1">ROUND(-PV(INDIRECT("'数据-取费表'!h"&amp;$G$1),L48,(C39-C13*C76),0),0)</f>
        <v>-297004</v>
      </c>
      <c r="M51" s="2573"/>
      <c r="O51" s="2600" t="s">
        <v>2843</v>
      </c>
      <c r="P51" s="2608" t="s">
        <v>2870</v>
      </c>
      <c r="Q51" s="2601">
        <f>J52</f>
        <v>0.09</v>
      </c>
      <c r="R51" s="2599"/>
    </row>
    <row r="52" spans="1:18" s="1458" customFormat="1" ht="15.75" thickBot="1">
      <c r="A52" s="2440"/>
      <c r="B52" s="2442"/>
      <c r="C52" s="2443"/>
      <c r="D52" s="2412"/>
      <c r="E52" s="2444" t="s">
        <v>2707</v>
      </c>
      <c r="F52" s="2540">
        <v>0.1</v>
      </c>
      <c r="I52" s="2571" t="s">
        <v>2835</v>
      </c>
      <c r="J52" s="2585">
        <v>0.09</v>
      </c>
      <c r="K52" s="2571" t="s">
        <v>2819</v>
      </c>
      <c r="L52" s="2585">
        <v>0.04</v>
      </c>
      <c r="M52" s="2404"/>
      <c r="O52" s="2600" t="s">
        <v>2844</v>
      </c>
      <c r="P52" s="2608" t="s">
        <v>2862</v>
      </c>
      <c r="Q52" s="2599">
        <f ca="1">J53</f>
        <v>40</v>
      </c>
      <c r="R52" s="2599" t="s">
        <v>2863</v>
      </c>
    </row>
    <row r="53" spans="1:18" s="1458" customFormat="1" ht="43.5" thickBot="1">
      <c r="A53" s="2845" t="s">
        <v>3022</v>
      </c>
      <c r="B53" s="436" t="s">
        <v>2932</v>
      </c>
      <c r="C53" s="701">
        <f ca="1">ROUND(IF(F53="押一",F49*F51*F50/12*F11,IF(F53="押二",F49*F51*F50/12*2*F11,IF(F53="押三",F49*F51*F50/12*3*F11,C54*F11)))/10000,0)</f>
        <v>44</v>
      </c>
      <c r="D53" s="2649" t="s">
        <v>2940</v>
      </c>
      <c r="E53" s="2103" t="s">
        <v>2934</v>
      </c>
      <c r="F53" s="2847" t="s">
        <v>3026</v>
      </c>
      <c r="I53" s="2581" t="s">
        <v>2837</v>
      </c>
      <c r="J53" s="2582">
        <f ca="1">IF(M47="住宅",J51,MIN(J51,L48))</f>
        <v>40</v>
      </c>
      <c r="K53" s="37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49"/>
      <c r="O53" s="2598" t="s">
        <v>2845</v>
      </c>
      <c r="P53" s="2608" t="s">
        <v>2864</v>
      </c>
      <c r="Q53" s="2599">
        <f ca="1">Q47+Q48</f>
        <v>239596</v>
      </c>
      <c r="R53" s="2599" t="s">
        <v>2846</v>
      </c>
    </row>
    <row r="54" spans="1:18" s="1458" customFormat="1" ht="16.5" thickBot="1">
      <c r="A54" s="2846"/>
      <c r="B54" s="2639" t="s">
        <v>3100</v>
      </c>
      <c r="C54" s="2422"/>
      <c r="D54" s="2649"/>
      <c r="E54" s="2794"/>
      <c r="F54" s="2548"/>
      <c r="I54" s="2419"/>
      <c r="J54" s="2580"/>
      <c r="K54" s="2580"/>
      <c r="L54" s="2580"/>
      <c r="M54" s="1462"/>
      <c r="O54" s="2602" t="s">
        <v>2871</v>
      </c>
      <c r="P54" s="1299"/>
      <c r="Q54" s="1299"/>
      <c r="R54" s="1299"/>
    </row>
    <row r="55" spans="1:18" s="1458" customFormat="1" ht="16.5" thickBot="1">
      <c r="A55" s="2686" t="s">
        <v>2945</v>
      </c>
      <c r="B55" s="2687" t="s">
        <v>2933</v>
      </c>
      <c r="C55" s="2688"/>
      <c r="D55" s="2649"/>
      <c r="E55" s="2726"/>
      <c r="F55" s="2548"/>
      <c r="I55" s="2551" t="s">
        <v>2812</v>
      </c>
      <c r="J55" s="2552"/>
      <c r="K55" s="2562" t="s">
        <v>2813</v>
      </c>
      <c r="L55" s="2584" t="s">
        <v>2853</v>
      </c>
      <c r="O55" s="2605" t="s">
        <v>2855</v>
      </c>
      <c r="P55" s="2606" t="s">
        <v>2856</v>
      </c>
      <c r="Q55" s="2607" t="s">
        <v>2854</v>
      </c>
      <c r="R55" s="2607" t="s">
        <v>2857</v>
      </c>
    </row>
    <row r="56" spans="1:18" s="1458" customFormat="1" ht="44.25" thickTop="1" thickBot="1">
      <c r="A56" s="2416">
        <v>2</v>
      </c>
      <c r="B56" s="2417" t="s">
        <v>2708</v>
      </c>
      <c r="C56" s="611">
        <f ca="1">C13</f>
        <v>309022</v>
      </c>
      <c r="D56" s="2714"/>
      <c r="E56" s="2418"/>
      <c r="F56" s="2548"/>
      <c r="I56" s="2553" t="s">
        <v>2814</v>
      </c>
      <c r="J56" s="2583" t="s">
        <v>39</v>
      </c>
      <c r="K56" s="2554" t="s">
        <v>2818</v>
      </c>
      <c r="L56" s="2174" t="str">
        <f ca="1">IF(L48&lt;J51,"——",L48-J51)</f>
        <v>——</v>
      </c>
      <c r="O56" s="2598" t="s">
        <v>2839</v>
      </c>
      <c r="P56" s="2608" t="s">
        <v>2858</v>
      </c>
      <c r="Q56" s="2599">
        <f ca="1">C40+J29</f>
        <v>239596</v>
      </c>
      <c r="R56" s="2599" t="s">
        <v>2859</v>
      </c>
    </row>
    <row r="57" spans="1:18" s="1458" customFormat="1" ht="29.25" thickBot="1">
      <c r="A57" s="2549"/>
      <c r="B57" s="2409" t="s">
        <v>2738</v>
      </c>
      <c r="C57" s="617">
        <f ca="1">C29</f>
        <v>386278</v>
      </c>
      <c r="D57" s="2420"/>
      <c r="E57" s="2421"/>
      <c r="F57" s="2550"/>
      <c r="I57" s="2555" t="s">
        <v>2836</v>
      </c>
      <c r="J57" s="2559" t="str">
        <f ca="1">IF(OR(M47="住宅",J51&lt;L48,J56="是"),"——",J51-L48)</f>
        <v>——</v>
      </c>
      <c r="K57" s="2554" t="s">
        <v>3310</v>
      </c>
      <c r="L57" s="2174" t="str">
        <f ca="1">IF(L48&lt;J51,"——",IF(L55="比较法",L49,IF(L55="基准地价",L50,L51)))</f>
        <v>——</v>
      </c>
      <c r="O57" s="2598" t="s">
        <v>2840</v>
      </c>
      <c r="P57" s="2608" t="s">
        <v>2865</v>
      </c>
      <c r="Q57" s="2599">
        <f ca="1">L60</f>
        <v>0</v>
      </c>
      <c r="R57" s="2599" t="s">
        <v>2880</v>
      </c>
    </row>
    <row r="58" spans="1:18" s="1458" customFormat="1" ht="29.25" thickBot="1">
      <c r="A58" s="700" t="s">
        <v>2709</v>
      </c>
      <c r="B58" s="2417" t="s">
        <v>2739</v>
      </c>
      <c r="C58" s="701">
        <f ca="1">ROUND(C59+C64+C65+C66,0)</f>
        <v>8597</v>
      </c>
      <c r="D58" s="2423" t="s">
        <v>2740</v>
      </c>
      <c r="E58" s="2424"/>
      <c r="F58" s="2425"/>
      <c r="I58" s="2555" t="s">
        <v>2815</v>
      </c>
      <c r="J58" s="2560">
        <v>0.6</v>
      </c>
      <c r="K58" s="2579" t="s">
        <v>3311</v>
      </c>
      <c r="L58" s="2174">
        <f ca="1">IF(ISERROR(POWER(1+L52,L47-L48)*(POWER(1+L52,L48)-1)/(POWER(1+L52,L47)-1)),0,POWER(1+L52,L47-L48)*(POWER(1+L52,L48)-1)/(POWER(1+L52,L47)-1))</f>
        <v>1</v>
      </c>
      <c r="O58" s="2600" t="s">
        <v>2841</v>
      </c>
      <c r="P58" s="2608" t="s">
        <v>2872</v>
      </c>
      <c r="Q58" s="2599">
        <f>IF(L55="比较法",L49,IF(L55="基准地价",L50,0))</f>
        <v>5000</v>
      </c>
      <c r="R58" s="2599" t="s">
        <v>2859</v>
      </c>
    </row>
    <row r="59" spans="1:18" s="1458" customFormat="1" ht="29.25" thickBot="1">
      <c r="A59" s="2445" t="s">
        <v>2744</v>
      </c>
      <c r="B59" s="2409" t="s">
        <v>527</v>
      </c>
      <c r="C59" s="319">
        <f ca="1">ROUND(IF(项目基本情况!B11="自然人",C48*F59,C60+C61+C62),1)</f>
        <v>4265.6000000000004</v>
      </c>
      <c r="D59" s="2426" t="s">
        <v>2710</v>
      </c>
      <c r="E59" s="2427" t="s">
        <v>2711</v>
      </c>
      <c r="F59" s="711" t="str">
        <f ca="1">IF(项目基本情况!B11="企业","",IF(INDIRECT("'数据-取费表'!c"&amp;$G$1)="住宅",4.5%,IF(F49*F50*F51/12&gt;20000,11%,6%)))</f>
        <v/>
      </c>
      <c r="I59" s="2555" t="s">
        <v>2816</v>
      </c>
      <c r="J59" s="2559" t="str">
        <f ca="1">IF(OR(M47="住宅",J51&lt;L48,J56="是"),"——",ROUND(C29*J58,0))</f>
        <v>——</v>
      </c>
      <c r="K59" s="2579" t="s">
        <v>3312</v>
      </c>
      <c r="L59" s="2174">
        <f ca="1">IF(ISERROR(POWER(1+L52,L47-J51)*(POWER(1+L52,J51)-1)/(POWER(1+L52,L47)-1)),0,POWER(1+L52,L47-J51)*(POWER(1+L52,J51)-1)/(POWER(1+L52,L47)-1))</f>
        <v>1.0468487047746733</v>
      </c>
      <c r="O59" s="2600" t="s">
        <v>2842</v>
      </c>
      <c r="P59" s="2608" t="s">
        <v>2873</v>
      </c>
      <c r="Q59" s="2601">
        <f>L52</f>
        <v>0.04</v>
      </c>
      <c r="R59" s="2599"/>
    </row>
    <row r="60" spans="1:18" s="1458" customFormat="1" ht="20.25" thickBot="1">
      <c r="A60" s="2445" t="s">
        <v>2741</v>
      </c>
      <c r="B60" s="2409" t="s">
        <v>2712</v>
      </c>
      <c r="C60" s="319">
        <f ca="1">IF(项目基本情况!B11="自然人","——",ROUND(C48*F60/(1+'数据-取费表'!B42),2))</f>
        <v>834.95</v>
      </c>
      <c r="D60" s="2427" t="s">
        <v>2713</v>
      </c>
      <c r="E60" s="2409" t="s">
        <v>2714</v>
      </c>
      <c r="F60" s="720">
        <f t="shared" ref="F60:F66" si="0">F32</f>
        <v>5.5000000000000007E-2</v>
      </c>
      <c r="I60" s="2556" t="s">
        <v>2817</v>
      </c>
      <c r="J60" s="2561" t="str">
        <f ca="1">IF(OR(M47="住宅",J51&lt;L48,J56="是"),"0",ROUND(J59/(1+J52)^J53,0))</f>
        <v>0</v>
      </c>
      <c r="K60" s="2563" t="s">
        <v>2820</v>
      </c>
      <c r="L60" s="2561">
        <f ca="1">IF(OR(M47="住宅",L48&lt;J51),0,ROUND(L57*(L58/L59-1),0))</f>
        <v>0</v>
      </c>
      <c r="O60" s="2600" t="s">
        <v>2843</v>
      </c>
      <c r="P60" s="2608" t="s">
        <v>2874</v>
      </c>
      <c r="Q60" s="2599">
        <f ca="1">L58</f>
        <v>1</v>
      </c>
      <c r="R60" s="2599" t="s">
        <v>2848</v>
      </c>
    </row>
    <row r="61" spans="1:18" s="1458" customFormat="1" ht="20.25" thickBot="1">
      <c r="A61" s="2445" t="s">
        <v>2742</v>
      </c>
      <c r="B61" s="2409" t="s">
        <v>2715</v>
      </c>
      <c r="C61" s="319">
        <f ca="1">IF(项目基本情况!B11="自然人","——",IF(D61="按租金收入计税",ROUND(C48*F61,2),IF(D61="按房产原值计税",ROUND(C57*F61*0.7,2),INDIRECT("'数据-取费表'!Aj"&amp;$G$1))))</f>
        <v>3244.74</v>
      </c>
      <c r="D61" s="1304" t="s">
        <v>2792</v>
      </c>
      <c r="E61" s="2409" t="s">
        <v>2714</v>
      </c>
      <c r="F61" s="710">
        <f t="shared" si="0"/>
        <v>1.2E-2</v>
      </c>
      <c r="I61" s="2419"/>
      <c r="J61" s="2419"/>
      <c r="K61" s="2419"/>
      <c r="L61" s="2419"/>
      <c r="O61" s="2600" t="s">
        <v>2844</v>
      </c>
      <c r="P61" s="2608" t="s">
        <v>2875</v>
      </c>
      <c r="Q61" s="2599">
        <f ca="1">L59</f>
        <v>1.0468487047746733</v>
      </c>
      <c r="R61" s="2599" t="s">
        <v>2849</v>
      </c>
    </row>
    <row r="62" spans="1:18" s="1458" customFormat="1" ht="15.75" thickBot="1">
      <c r="A62" s="2445" t="s">
        <v>2743</v>
      </c>
      <c r="B62" s="2408" t="s">
        <v>2716</v>
      </c>
      <c r="C62" s="320">
        <f ca="1">IF(项目基本情况!B11="自然人","——",ROUND(F62*F63/10000,2))</f>
        <v>185.89</v>
      </c>
      <c r="D62" s="2428" t="s">
        <v>2717</v>
      </c>
      <c r="E62" s="2409" t="s">
        <v>2718</v>
      </c>
      <c r="F62" s="714">
        <f t="shared" si="0"/>
        <v>3</v>
      </c>
      <c r="I62" s="2557" t="s">
        <v>2807</v>
      </c>
      <c r="J62" s="2558" t="s">
        <v>2808</v>
      </c>
      <c r="K62" s="2558" t="s">
        <v>2809</v>
      </c>
      <c r="L62" s="2558" t="s">
        <v>2805</v>
      </c>
      <c r="O62" s="2598" t="s">
        <v>2845</v>
      </c>
      <c r="P62" s="2608" t="s">
        <v>2864</v>
      </c>
      <c r="Q62" s="2599">
        <f ca="1">Q56+Q57</f>
        <v>239596</v>
      </c>
      <c r="R62" s="2599" t="s">
        <v>2846</v>
      </c>
    </row>
    <row r="63" spans="1:18" s="1458" customFormat="1" ht="16.5" thickBot="1">
      <c r="A63" s="715"/>
      <c r="B63" s="2415"/>
      <c r="C63" s="324"/>
      <c r="D63" s="2429"/>
      <c r="E63" s="2409" t="s">
        <v>2719</v>
      </c>
      <c r="F63" s="688">
        <f t="shared" ca="1" si="0"/>
        <v>619634</v>
      </c>
      <c r="I63" s="2557" t="s">
        <v>2821</v>
      </c>
      <c r="J63" s="2558">
        <v>70</v>
      </c>
      <c r="K63" s="2558">
        <v>50</v>
      </c>
      <c r="L63" s="2558">
        <v>80</v>
      </c>
      <c r="O63" s="2602" t="s">
        <v>2878</v>
      </c>
      <c r="P63" s="1299"/>
      <c r="Q63" s="1299"/>
      <c r="R63" s="1299"/>
    </row>
    <row r="64" spans="1:18" s="1458" customFormat="1" ht="15.75" thickBot="1">
      <c r="A64" s="2445" t="s">
        <v>2751</v>
      </c>
      <c r="B64" s="2409" t="s">
        <v>2720</v>
      </c>
      <c r="C64" s="319">
        <f ca="1">ROUND(C57*F64,1)</f>
        <v>3862.8</v>
      </c>
      <c r="D64" s="2427" t="s">
        <v>2721</v>
      </c>
      <c r="E64" s="2409" t="s">
        <v>2714</v>
      </c>
      <c r="F64" s="717">
        <f t="shared" ca="1" si="0"/>
        <v>0.01</v>
      </c>
      <c r="I64" s="2557" t="s">
        <v>2822</v>
      </c>
      <c r="J64" s="2558">
        <v>50</v>
      </c>
      <c r="K64" s="2558">
        <v>35</v>
      </c>
      <c r="L64" s="2558">
        <v>60</v>
      </c>
      <c r="O64" s="2605" t="s">
        <v>2855</v>
      </c>
      <c r="P64" s="2606" t="s">
        <v>2856</v>
      </c>
      <c r="Q64" s="2607" t="s">
        <v>2854</v>
      </c>
      <c r="R64" s="2607" t="s">
        <v>2857</v>
      </c>
    </row>
    <row r="65" spans="1:18" s="1458" customFormat="1" ht="15.75" thickBot="1">
      <c r="A65" s="2445" t="s">
        <v>2745</v>
      </c>
      <c r="B65" s="2409" t="s">
        <v>532</v>
      </c>
      <c r="C65" s="319">
        <f ca="1">ROUND(C56*F65,1)</f>
        <v>309</v>
      </c>
      <c r="D65" s="2427" t="s">
        <v>2722</v>
      </c>
      <c r="E65" s="2409" t="s">
        <v>2714</v>
      </c>
      <c r="F65" s="719">
        <f t="shared" ca="1" si="0"/>
        <v>1E-3</v>
      </c>
      <c r="I65" s="2557" t="s">
        <v>2823</v>
      </c>
      <c r="J65" s="2558">
        <v>40</v>
      </c>
      <c r="K65" s="2558">
        <v>30</v>
      </c>
      <c r="L65" s="2558">
        <v>50</v>
      </c>
      <c r="O65" s="2598" t="s">
        <v>2839</v>
      </c>
      <c r="P65" s="2608" t="s">
        <v>2858</v>
      </c>
      <c r="Q65" s="2599">
        <f ca="1">C40+J29</f>
        <v>239596</v>
      </c>
      <c r="R65" s="2599" t="s">
        <v>2859</v>
      </c>
    </row>
    <row r="66" spans="1:18" s="1458" customFormat="1" ht="20.25" thickBot="1">
      <c r="A66" s="2445" t="s">
        <v>2746</v>
      </c>
      <c r="B66" s="2409" t="s">
        <v>531</v>
      </c>
      <c r="C66" s="319">
        <f ca="1">ROUND(C48*F66,1)</f>
        <v>159.4</v>
      </c>
      <c r="D66" s="2427" t="s">
        <v>2723</v>
      </c>
      <c r="E66" s="2409" t="s">
        <v>2714</v>
      </c>
      <c r="F66" s="697">
        <f t="shared" ca="1" si="0"/>
        <v>0.01</v>
      </c>
      <c r="O66" s="2598" t="s">
        <v>2840</v>
      </c>
      <c r="P66" s="2608" t="s">
        <v>2865</v>
      </c>
      <c r="Q66" s="2599">
        <f ca="1">L60</f>
        <v>0</v>
      </c>
      <c r="R66" s="2599" t="s">
        <v>2847</v>
      </c>
    </row>
    <row r="67" spans="1:18" s="1458" customFormat="1" ht="24.75" thickBot="1">
      <c r="A67" s="2416" t="s">
        <v>2724</v>
      </c>
      <c r="B67" s="2430" t="s">
        <v>2725</v>
      </c>
      <c r="C67" s="701">
        <f ca="1">C48-C58</f>
        <v>7343</v>
      </c>
      <c r="D67" s="2426" t="s">
        <v>2726</v>
      </c>
      <c r="E67" s="2431"/>
      <c r="F67" s="2432"/>
      <c r="O67" s="2600" t="s">
        <v>2841</v>
      </c>
      <c r="P67" s="2608" t="s">
        <v>2872</v>
      </c>
      <c r="Q67" s="2603">
        <f ca="1">L51</f>
        <v>-297004</v>
      </c>
      <c r="R67" s="2604" t="s">
        <v>2882</v>
      </c>
    </row>
    <row r="68" spans="1:18" s="1458" customFormat="1" ht="20.25" thickBot="1">
      <c r="A68" s="2406" t="s">
        <v>2727</v>
      </c>
      <c r="B68" s="2407" t="s">
        <v>2728</v>
      </c>
      <c r="C68" s="686">
        <f ca="1">ROUND(C67*(1-((1+F70)/(1+F68))^F69)/(F68-F70),0)</f>
        <v>167568</v>
      </c>
      <c r="D68" s="2428" t="s">
        <v>2729</v>
      </c>
      <c r="E68" s="2409" t="s">
        <v>2730</v>
      </c>
      <c r="F68" s="697">
        <f ca="1">F40</f>
        <v>5.5E-2</v>
      </c>
      <c r="O68" s="2600" t="s">
        <v>2842</v>
      </c>
      <c r="P68" s="2609" t="s">
        <v>2876</v>
      </c>
      <c r="Q68" s="2599">
        <f ca="1">ROUND(Q69-Q70*Q71,0)</f>
        <v>-17309</v>
      </c>
      <c r="R68" s="2599" t="s">
        <v>2881</v>
      </c>
    </row>
    <row r="69" spans="1:18" s="1458" customFormat="1" ht="15.75" thickBot="1">
      <c r="A69" s="2410"/>
      <c r="B69" s="2411"/>
      <c r="C69" s="691"/>
      <c r="D69" s="2433" t="s">
        <v>2731</v>
      </c>
      <c r="E69" s="2409" t="s">
        <v>2732</v>
      </c>
      <c r="F69" s="722">
        <f ca="1">F41</f>
        <v>40</v>
      </c>
      <c r="O69" s="2600" t="s">
        <v>2850</v>
      </c>
      <c r="P69" s="2609" t="s">
        <v>2866</v>
      </c>
      <c r="Q69" s="2599">
        <f ca="1">C39</f>
        <v>8958</v>
      </c>
      <c r="R69" s="2599" t="s">
        <v>2859</v>
      </c>
    </row>
    <row r="70" spans="1:18" s="1458" customFormat="1" ht="15.75" thickBot="1">
      <c r="A70" s="2413"/>
      <c r="B70" s="2414"/>
      <c r="C70" s="695"/>
      <c r="D70" s="2429"/>
      <c r="E70" s="2409" t="s">
        <v>2733</v>
      </c>
      <c r="F70" s="2540">
        <v>2.5000000000000001E-2</v>
      </c>
      <c r="O70" s="2600" t="s">
        <v>2851</v>
      </c>
      <c r="P70" s="2609" t="s">
        <v>2867</v>
      </c>
      <c r="Q70" s="2599">
        <f ca="1">C13</f>
        <v>309022</v>
      </c>
      <c r="R70" s="2599" t="s">
        <v>2859</v>
      </c>
    </row>
    <row r="71" spans="1:18" s="1458" customFormat="1" ht="15.75" thickBot="1">
      <c r="A71" s="2434" t="s">
        <v>2734</v>
      </c>
      <c r="B71" s="2435" t="s">
        <v>2735</v>
      </c>
      <c r="C71" s="725">
        <f ca="1">ROUND(C68*10000/F71,0)</f>
        <v>3463</v>
      </c>
      <c r="D71" s="2436" t="s">
        <v>2736</v>
      </c>
      <c r="E71" s="2437" t="s">
        <v>2737</v>
      </c>
      <c r="F71" s="728">
        <f ca="1">F43</f>
        <v>483897.51999999996</v>
      </c>
      <c r="I71" s="2404"/>
      <c r="K71" s="2404"/>
      <c r="O71" s="2600" t="s">
        <v>2852</v>
      </c>
      <c r="P71" s="2609" t="s">
        <v>2879</v>
      </c>
      <c r="Q71" s="2601">
        <f ca="1">C76</f>
        <v>8.5000000000000006E-2</v>
      </c>
      <c r="R71" s="2599"/>
    </row>
    <row r="72" spans="1:18" s="1458" customFormat="1" ht="15.75" thickBot="1">
      <c r="B72" s="1463"/>
      <c r="C72" s="1463"/>
      <c r="I72" s="2404"/>
      <c r="O72" s="2600" t="s">
        <v>2843</v>
      </c>
      <c r="P72" s="2608" t="s">
        <v>2873</v>
      </c>
      <c r="Q72" s="2601">
        <f>L52</f>
        <v>0.04</v>
      </c>
      <c r="R72" s="2599"/>
    </row>
    <row r="73" spans="1:18" ht="20.25" thickBot="1">
      <c r="A73" s="1458"/>
      <c r="B73" s="1463"/>
      <c r="C73" s="1463"/>
      <c r="D73" s="1458"/>
      <c r="E73" s="1458"/>
      <c r="F73" s="1458"/>
      <c r="I73" s="2594"/>
      <c r="O73" s="2600" t="s">
        <v>2844</v>
      </c>
      <c r="P73" s="2608" t="s">
        <v>2874</v>
      </c>
      <c r="Q73" s="2599">
        <f ca="1">L58</f>
        <v>1</v>
      </c>
      <c r="R73" s="2599" t="s">
        <v>2848</v>
      </c>
    </row>
    <row r="74" spans="1:18" ht="20.25" thickBot="1">
      <c r="A74" s="1458"/>
      <c r="B74" s="730" t="s">
        <v>550</v>
      </c>
      <c r="C74" s="731"/>
      <c r="D74" s="1458"/>
      <c r="E74" s="1458"/>
      <c r="F74" s="1458"/>
      <c r="O74" s="2600" t="s">
        <v>2883</v>
      </c>
      <c r="P74" s="2608" t="s">
        <v>2875</v>
      </c>
      <c r="Q74" s="2599">
        <f ca="1">L59</f>
        <v>1.0468487047746733</v>
      </c>
      <c r="R74" s="2599" t="s">
        <v>2849</v>
      </c>
    </row>
    <row r="75" spans="1:18" ht="15.75" thickBot="1">
      <c r="A75" s="1458"/>
      <c r="B75" s="732" t="s">
        <v>1200</v>
      </c>
      <c r="C75" s="733">
        <f ca="1">ROUND(C13*C76,0)</f>
        <v>26267</v>
      </c>
      <c r="D75" s="1458"/>
      <c r="E75" s="1458"/>
      <c r="F75" s="1458"/>
      <c r="K75" s="1459"/>
      <c r="L75" s="1458"/>
      <c r="O75" s="2598" t="s">
        <v>2845</v>
      </c>
      <c r="P75" s="2608" t="s">
        <v>2864</v>
      </c>
      <c r="Q75" s="2599">
        <f ca="1">Q65+Q66</f>
        <v>239596</v>
      </c>
      <c r="R75" s="2599" t="s">
        <v>2846</v>
      </c>
    </row>
    <row r="76" spans="1:18">
      <c r="B76" s="734" t="s">
        <v>1201</v>
      </c>
      <c r="C76" s="735">
        <f ca="1">INDIRECT("'数据-取费表'!j"&amp;$G$1)</f>
        <v>8.5000000000000006E-2</v>
      </c>
      <c r="I76" s="1458"/>
      <c r="J76" s="1458"/>
      <c r="K76" s="1459"/>
      <c r="L76" s="1458"/>
    </row>
    <row r="77" spans="1:18">
      <c r="B77" s="736" t="s">
        <v>1204</v>
      </c>
      <c r="C77" s="737"/>
      <c r="I77" s="1458"/>
      <c r="J77" s="1458"/>
      <c r="K77" s="1459"/>
      <c r="L77" s="1458"/>
    </row>
    <row r="78" spans="1:18">
      <c r="B78" s="649" t="s">
        <v>3103</v>
      </c>
      <c r="C78" s="738"/>
    </row>
    <row r="79" spans="1:18">
      <c r="B79" s="2892" t="s">
        <v>3107</v>
      </c>
      <c r="C79" s="653">
        <f ca="1">1-C80</f>
        <v>-1.9319999999999999</v>
      </c>
    </row>
    <row r="80" spans="1:18">
      <c r="B80" s="2892" t="s">
        <v>3106</v>
      </c>
      <c r="C80" s="653">
        <f ca="1">ROUND(C75/C39,3)</f>
        <v>2.9319999999999999</v>
      </c>
    </row>
    <row r="81" spans="2:3">
      <c r="B81" s="649" t="s">
        <v>551</v>
      </c>
      <c r="C81" s="650"/>
    </row>
    <row r="82" spans="2:3">
      <c r="B82" s="2891" t="s">
        <v>3105</v>
      </c>
      <c r="C82" s="654">
        <f ca="1">1-C83</f>
        <v>-0.29000000000000004</v>
      </c>
    </row>
    <row r="83" spans="2:3">
      <c r="B83" s="2891" t="s">
        <v>3104</v>
      </c>
      <c r="C83" s="653">
        <f ca="1">ROUND(C13/C40,3)</f>
        <v>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7"/>
  </cols>
  <sheetData>
    <row r="1" spans="1:37" s="674" customFormat="1" ht="21">
      <c r="A1" s="672" t="s">
        <v>1135</v>
      </c>
      <c r="B1" s="673"/>
      <c r="C1" s="2399" t="s">
        <v>3366</v>
      </c>
      <c r="D1" s="1277"/>
      <c r="E1" s="2596" t="s">
        <v>760</v>
      </c>
      <c r="F1" s="2597">
        <f>J53</f>
        <v>45</v>
      </c>
      <c r="G1" s="675" t="e">
        <f>MATCH(C1,'数据-取费表'!A6:A16,0)+5</f>
        <v>#N/A</v>
      </c>
      <c r="H1" s="1300"/>
      <c r="I1" s="679"/>
      <c r="J1" s="679"/>
      <c r="K1" s="1301"/>
      <c r="L1" s="679"/>
      <c r="M1" s="679"/>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0" t="s">
        <v>509</v>
      </c>
      <c r="B2" s="1410" t="e">
        <f ca="1">ROUND(D2/10000,0)</f>
        <v>#N/A</v>
      </c>
      <c r="C2" s="1303" t="s">
        <v>1409</v>
      </c>
      <c r="D2" s="2740" t="e">
        <f ca="1">C40+J29+L46</f>
        <v>#N/A</v>
      </c>
      <c r="E2" s="2586" t="s">
        <v>3024</v>
      </c>
      <c r="F2" s="1280"/>
      <c r="G2" s="2294"/>
      <c r="H2" s="1278"/>
      <c r="I2" s="1278"/>
      <c r="J2" s="1278"/>
      <c r="K2" s="1302"/>
      <c r="L2" s="1278"/>
      <c r="M2" s="1278"/>
    </row>
    <row r="3" spans="1:37" ht="18" customHeight="1" thickBot="1">
      <c r="A3" s="678" t="s">
        <v>510</v>
      </c>
      <c r="B3" s="1411">
        <f ca="1">IF(ISERROR(D2/F43),0,ROUND(D2/F43,0))</f>
        <v>0</v>
      </c>
      <c r="C3" s="1303" t="s">
        <v>1410</v>
      </c>
      <c r="D3" s="1279"/>
      <c r="E3" s="2586"/>
      <c r="F3" s="1280"/>
      <c r="G3" s="2294"/>
      <c r="H3" s="679" t="s">
        <v>1136</v>
      </c>
      <c r="I3" s="1278"/>
      <c r="J3" s="1278"/>
      <c r="K3" s="1302"/>
      <c r="L3" s="1278"/>
      <c r="M3" s="1278"/>
    </row>
    <row r="4" spans="1:37" ht="18" customHeight="1">
      <c r="A4" s="680" t="s">
        <v>1137</v>
      </c>
      <c r="B4" s="681" t="s">
        <v>1138</v>
      </c>
      <c r="C4" s="681" t="s">
        <v>1139</v>
      </c>
      <c r="D4" s="681" t="s">
        <v>1140</v>
      </c>
      <c r="E4" s="682" t="s">
        <v>1141</v>
      </c>
      <c r="F4" s="683"/>
      <c r="G4" s="2295"/>
      <c r="H4" s="680" t="s">
        <v>1137</v>
      </c>
      <c r="I4" s="681" t="s">
        <v>1138</v>
      </c>
      <c r="J4" s="681" t="s">
        <v>1139</v>
      </c>
      <c r="K4" s="681" t="s">
        <v>1140</v>
      </c>
      <c r="L4" s="682" t="s">
        <v>1141</v>
      </c>
      <c r="M4" s="683"/>
    </row>
    <row r="5" spans="1:37" ht="18" customHeight="1">
      <c r="A5" s="684">
        <v>1</v>
      </c>
      <c r="B5" s="685" t="s">
        <v>2703</v>
      </c>
      <c r="C5" s="2641" t="e">
        <f ca="1">C6+C10+C12</f>
        <v>#N/A</v>
      </c>
      <c r="D5" s="2651" t="s">
        <v>2938</v>
      </c>
      <c r="E5" s="2642"/>
      <c r="F5" s="2643"/>
      <c r="G5" s="2295"/>
      <c r="H5" s="684">
        <v>1</v>
      </c>
      <c r="I5" s="685" t="s">
        <v>2703</v>
      </c>
      <c r="J5" s="2641" t="e">
        <f ca="1">J6+J10+J12</f>
        <v>#N/A</v>
      </c>
      <c r="K5" s="2644" t="s">
        <v>2938</v>
      </c>
      <c r="L5" s="2642"/>
      <c r="M5" s="2643"/>
    </row>
    <row r="6" spans="1:37" ht="18" customHeight="1">
      <c r="A6" s="2637" t="s">
        <v>2744</v>
      </c>
      <c r="B6" s="3750" t="s">
        <v>2937</v>
      </c>
      <c r="C6" s="2646" t="e">
        <f ca="1">ROUND(F6*F8*F7*(1-F9),0)</f>
        <v>#N/A</v>
      </c>
      <c r="D6" s="2640" t="s">
        <v>2939</v>
      </c>
      <c r="E6" s="687" t="s">
        <v>1142</v>
      </c>
      <c r="F6" s="688" t="e">
        <f ca="1">INDIRECT("'数据-取费表'!u"&amp;$G$1)</f>
        <v>#N/A</v>
      </c>
      <c r="G6" s="2295"/>
      <c r="H6" s="2637" t="s">
        <v>2744</v>
      </c>
      <c r="I6" s="3750" t="s">
        <v>2937</v>
      </c>
      <c r="J6" s="686" t="e">
        <f ca="1">ROUND(M6*M8*M7*(1-M9),0)</f>
        <v>#N/A</v>
      </c>
      <c r="K6" s="2640" t="s">
        <v>2939</v>
      </c>
      <c r="L6" s="687" t="s">
        <v>1142</v>
      </c>
      <c r="M6" s="688" t="e">
        <f ca="1">INDIRECT("'数据-取费表'!z"&amp;$G$1)</f>
        <v>#N/A</v>
      </c>
    </row>
    <row r="7" spans="1:37" ht="18" customHeight="1">
      <c r="A7" s="2645"/>
      <c r="B7" s="3751"/>
      <c r="C7" s="2647"/>
      <c r="D7" s="2067"/>
      <c r="E7" s="2648" t="s">
        <v>1143</v>
      </c>
      <c r="F7" s="688" t="e">
        <f ca="1">IF(INDIRECT("'数据-取费表'!ah"&amp;$G$1)="",INDIRECT("'数据-取费表'!k"&amp;$G$1),INDIRECT("'数据-取费表'!ah"&amp;$G$1))</f>
        <v>#N/A</v>
      </c>
      <c r="G7" s="2295"/>
      <c r="H7" s="689"/>
      <c r="I7" s="3751"/>
      <c r="J7" s="691"/>
      <c r="K7" s="692"/>
      <c r="L7" s="687" t="s">
        <v>1143</v>
      </c>
      <c r="M7" s="688" t="e">
        <f ca="1">F7</f>
        <v>#N/A</v>
      </c>
    </row>
    <row r="8" spans="1:37" ht="18" customHeight="1">
      <c r="A8" s="689"/>
      <c r="B8" s="3751"/>
      <c r="C8" s="691"/>
      <c r="D8" s="692"/>
      <c r="E8" s="687" t="s">
        <v>1144</v>
      </c>
      <c r="F8" s="688" t="e">
        <f ca="1">INDIRECT("'数据-取费表'!ai"&amp;$G$1)</f>
        <v>#N/A</v>
      </c>
      <c r="G8" s="2295"/>
      <c r="H8" s="689"/>
      <c r="I8" s="3751"/>
      <c r="J8" s="691"/>
      <c r="K8" s="692"/>
      <c r="L8" s="687" t="s">
        <v>1144</v>
      </c>
      <c r="M8" s="688" t="e">
        <f ca="1">INDIRECT("'数据-取费表'!ai"&amp;$G$1)</f>
        <v>#N/A</v>
      </c>
    </row>
    <row r="9" spans="1:37" ht="18" customHeight="1">
      <c r="A9" s="689"/>
      <c r="B9" s="3752"/>
      <c r="C9" s="691"/>
      <c r="D9" s="692"/>
      <c r="E9" s="687" t="s">
        <v>1145</v>
      </c>
      <c r="F9" s="697" t="e">
        <f ca="1">INDIRECT("'数据-取费表'!w"&amp;$G$1)</f>
        <v>#N/A</v>
      </c>
      <c r="G9" s="2295"/>
      <c r="H9" s="689"/>
      <c r="I9" s="3752"/>
      <c r="J9" s="691"/>
      <c r="K9" s="692"/>
      <c r="L9" s="698" t="s">
        <v>1145</v>
      </c>
      <c r="M9" s="699" t="e">
        <f ca="1">INDIRECT("'数据-取费表'!ab"&amp;$G$1)</f>
        <v>#N/A</v>
      </c>
    </row>
    <row r="10" spans="1:37" ht="18" customHeight="1">
      <c r="A10" s="2637" t="s">
        <v>2751</v>
      </c>
      <c r="B10" s="2638" t="s">
        <v>2932</v>
      </c>
      <c r="C10" s="701" t="e">
        <f ca="1">ROUND(IF(F10="押一",F6*F8*F7/12*F11,IF(F10="押二",F6*F8*F7/12*2*F11,IF(F10="押三",F6*F8*F7/12*3*F11,C11*F11))),0)</f>
        <v>#N/A</v>
      </c>
      <c r="D10" s="2649" t="s">
        <v>2940</v>
      </c>
      <c r="E10" s="2103" t="s">
        <v>2934</v>
      </c>
      <c r="F10" s="2847" t="s">
        <v>3026</v>
      </c>
      <c r="G10" s="2295"/>
      <c r="H10" s="2637" t="s">
        <v>2751</v>
      </c>
      <c r="I10" s="2638" t="s">
        <v>2932</v>
      </c>
      <c r="J10" s="686">
        <f ca="1">ROUND(IF(M10="押一",M6*M8*M7/12*M11,IF(M10="押二",M6*M8*M7/12*2*M11,IF(M10="押三",M6*M8*M7/12*3*M11,J11*M11))),0)</f>
        <v>0</v>
      </c>
      <c r="K10" s="2649" t="s">
        <v>2940</v>
      </c>
      <c r="L10" s="2103" t="s">
        <v>2934</v>
      </c>
      <c r="M10" s="2847" t="s">
        <v>3097</v>
      </c>
    </row>
    <row r="11" spans="1:37" ht="18" customHeight="1">
      <c r="A11" s="693"/>
      <c r="B11" s="2639" t="s">
        <v>2942</v>
      </c>
      <c r="C11" s="2422"/>
      <c r="D11" s="692"/>
      <c r="E11" s="2103" t="s">
        <v>2935</v>
      </c>
      <c r="F11" s="699">
        <f ca="1">'数据-取费表'!B39</f>
        <v>1.4999999999999999E-2</v>
      </c>
      <c r="G11" s="2295"/>
      <c r="H11" s="2650"/>
      <c r="I11" s="2639" t="s">
        <v>3098</v>
      </c>
      <c r="J11" s="2422"/>
      <c r="K11" s="1284"/>
      <c r="L11" s="2103" t="s">
        <v>2935</v>
      </c>
      <c r="M11" s="2102">
        <f ca="1">'数据-取费表'!B39</f>
        <v>1.4999999999999999E-2</v>
      </c>
    </row>
    <row r="12" spans="1:37" ht="18" customHeight="1" thickBot="1">
      <c r="A12" s="2686" t="s">
        <v>2945</v>
      </c>
      <c r="B12" s="2687" t="s">
        <v>2933</v>
      </c>
      <c r="C12" s="2688"/>
      <c r="D12" s="2689"/>
      <c r="E12" s="2690"/>
      <c r="F12" s="2691"/>
      <c r="G12" s="2295"/>
      <c r="H12" s="2686" t="s">
        <v>2945</v>
      </c>
      <c r="I12" s="2687" t="s">
        <v>2933</v>
      </c>
      <c r="J12" s="2688"/>
      <c r="K12" s="2705"/>
      <c r="L12" s="2690"/>
      <c r="M12" s="2706"/>
    </row>
    <row r="13" spans="1:37" ht="18" customHeight="1" thickTop="1">
      <c r="A13" s="2682">
        <v>2</v>
      </c>
      <c r="B13" s="2683" t="s">
        <v>1146</v>
      </c>
      <c r="C13" s="695" t="e">
        <f ca="1">ROUND(C29*F13,0)</f>
        <v>#N/A</v>
      </c>
      <c r="D13" s="2684" t="s">
        <v>1147</v>
      </c>
      <c r="E13" s="2684" t="s">
        <v>1148</v>
      </c>
      <c r="F13" s="2685" t="e">
        <f ca="1">INDIRECT("'数据-取费表'!y"&amp;$G$1)</f>
        <v>#N/A</v>
      </c>
      <c r="G13" s="2295"/>
      <c r="H13" s="2682">
        <v>2</v>
      </c>
      <c r="I13" s="2683" t="s">
        <v>1146</v>
      </c>
      <c r="J13" s="2636" t="e">
        <f ca="1">ROUND(J14*J15,0)</f>
        <v>#N/A</v>
      </c>
      <c r="K13" s="2692" t="s">
        <v>1147</v>
      </c>
      <c r="L13" s="2703"/>
      <c r="M13" s="2704"/>
    </row>
    <row r="14" spans="1:37" ht="18" customHeight="1">
      <c r="A14" s="2445" t="s">
        <v>2741</v>
      </c>
      <c r="B14" s="687" t="s">
        <v>523</v>
      </c>
      <c r="C14" s="705" t="e">
        <f ca="1">ROUND(INDIRECT("'数据-取费表'!l"&amp;$G$1)*F43+'数据-取费表'!L14*INDIRECT("'数据-取费表'!S"&amp;$G$1),0)</f>
        <v>#N/A</v>
      </c>
      <c r="D14" s="2735" t="s">
        <v>1149</v>
      </c>
      <c r="E14" s="2734"/>
      <c r="F14" s="706"/>
      <c r="G14" s="2295"/>
      <c r="H14" s="2445" t="s">
        <v>2744</v>
      </c>
      <c r="I14" s="687" t="s">
        <v>1150</v>
      </c>
      <c r="J14" s="319" t="e">
        <f ca="1">C29</f>
        <v>#N/A</v>
      </c>
      <c r="K14" s="309"/>
      <c r="L14" s="703"/>
      <c r="M14" s="704"/>
    </row>
    <row r="15" spans="1:37" s="709" customFormat="1" ht="18" customHeight="1" thickBot="1">
      <c r="A15" s="2445" t="s">
        <v>3009</v>
      </c>
      <c r="B15" s="687" t="s">
        <v>524</v>
      </c>
      <c r="C15" s="319" t="e">
        <f ca="1">ROUND(C14*F15,0)</f>
        <v>#N/A</v>
      </c>
      <c r="D15" s="707" t="s">
        <v>1151</v>
      </c>
      <c r="E15" s="707" t="s">
        <v>529</v>
      </c>
      <c r="F15" s="708">
        <f>'数据-取费表'!B33</f>
        <v>0.05</v>
      </c>
      <c r="G15" s="2296"/>
      <c r="H15" s="2694" t="s">
        <v>2751</v>
      </c>
      <c r="I15" s="2695" t="s">
        <v>1148</v>
      </c>
      <c r="J15" s="2706" t="e">
        <f ca="1">INDIRECT("'数据-取费表'!ad"&amp;$G$1)</f>
        <v>#N/A</v>
      </c>
      <c r="K15" s="2707"/>
      <c r="L15" s="2708"/>
      <c r="M15" s="2709"/>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5" t="s">
        <v>3010</v>
      </c>
      <c r="B16" s="687" t="s">
        <v>525</v>
      </c>
      <c r="C16" s="319" t="e">
        <f ca="1">ROUND(INDIRECT("'数据-取费表'!l"&amp;$G$1)*F43*F16,0)</f>
        <v>#N/A</v>
      </c>
      <c r="D16" s="687" t="s">
        <v>1151</v>
      </c>
      <c r="E16" s="687" t="s">
        <v>529</v>
      </c>
      <c r="F16" s="710" t="e">
        <f ca="1">IF(INDIRECT("'数据-取费表'!c"&amp;$G$1)="住宅",'数据-取费表'!B34,0)</f>
        <v>#N/A</v>
      </c>
      <c r="G16" s="2295"/>
      <c r="H16" s="2682" t="s">
        <v>2709</v>
      </c>
      <c r="I16" s="2683" t="s">
        <v>1153</v>
      </c>
      <c r="J16" s="695" t="e">
        <f ca="1">ROUND(J17+J22+J23+J24,0)</f>
        <v>#N/A</v>
      </c>
      <c r="K16" s="2692" t="s">
        <v>1154</v>
      </c>
      <c r="L16" s="2693"/>
      <c r="M16" s="2643"/>
    </row>
    <row r="17" spans="1:37" s="709" customFormat="1" ht="18" customHeight="1">
      <c r="A17" s="2445" t="s">
        <v>3011</v>
      </c>
      <c r="B17" s="687" t="s">
        <v>526</v>
      </c>
      <c r="C17" s="319" t="e">
        <f ca="1">ROUND(F17*(F43+INDIRECT("'数据-取费表'!S"&amp;$G$1)),0)</f>
        <v>#N/A</v>
      </c>
      <c r="D17" s="687" t="s">
        <v>1155</v>
      </c>
      <c r="E17" s="687" t="s">
        <v>1156</v>
      </c>
      <c r="F17" s="321">
        <f>'数据-取费表'!B35</f>
        <v>200</v>
      </c>
      <c r="G17" s="2296"/>
      <c r="H17" s="2445" t="s">
        <v>2744</v>
      </c>
      <c r="I17" s="687" t="s">
        <v>527</v>
      </c>
      <c r="J17" s="319" t="e">
        <f ca="1">ROUND(IF(项目基本情况!B11="自然人",J5*M17,J18+J19+J20),0)</f>
        <v>#N/A</v>
      </c>
      <c r="K17" s="2735" t="s">
        <v>1157</v>
      </c>
      <c r="L17" s="2736" t="s">
        <v>1158</v>
      </c>
      <c r="M17" s="711"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9" customFormat="1" ht="18" customHeight="1">
      <c r="A18" s="2445" t="s">
        <v>3012</v>
      </c>
      <c r="B18" s="687" t="s">
        <v>528</v>
      </c>
      <c r="C18" s="319" t="e">
        <f ca="1">ROUND(C14*F18,0)</f>
        <v>#N/A</v>
      </c>
      <c r="D18" s="687" t="s">
        <v>1151</v>
      </c>
      <c r="E18" s="687" t="s">
        <v>529</v>
      </c>
      <c r="F18" s="710">
        <f>'数据-取费表'!B36</f>
        <v>1.4999999999999999E-2</v>
      </c>
      <c r="G18" s="2296"/>
      <c r="H18" s="2445" t="s">
        <v>2741</v>
      </c>
      <c r="I18" s="687" t="s">
        <v>1159</v>
      </c>
      <c r="J18" s="319" t="e">
        <f ca="1">ROUND(J5*M18/(1+'数据-取费表'!B42),0)</f>
        <v>#N/A</v>
      </c>
      <c r="K18" s="2736" t="s">
        <v>1160</v>
      </c>
      <c r="L18" s="687" t="s">
        <v>529</v>
      </c>
      <c r="M18" s="710">
        <f>'数据-取费表'!B41</f>
        <v>5.5000000000000007E-2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5" t="s">
        <v>2744</v>
      </c>
      <c r="B19" s="687" t="s">
        <v>530</v>
      </c>
      <c r="C19" s="319" t="e">
        <f ca="1">SUM(C14:C18)</f>
        <v>#N/A</v>
      </c>
      <c r="D19" s="474" t="s">
        <v>1161</v>
      </c>
      <c r="E19" s="2738"/>
      <c r="F19" s="321"/>
      <c r="G19" s="2295"/>
      <c r="H19" s="2445" t="s">
        <v>3009</v>
      </c>
      <c r="I19" s="687" t="s">
        <v>1162</v>
      </c>
      <c r="J19" s="319" t="e">
        <f ca="1">IF(K19="按租金收入计税",ROUND(J5*M19,0),ROUND(C29*M19*0.7,0))</f>
        <v>#N/A</v>
      </c>
      <c r="K19" s="1304" t="s">
        <v>2792</v>
      </c>
      <c r="L19" s="687" t="s">
        <v>529</v>
      </c>
      <c r="M19" s="710">
        <f>IF(K19="按租金收入计税",'数据-取费表'!B51,'数据-取费表'!B50)</f>
        <v>1.2E-2</v>
      </c>
    </row>
    <row r="20" spans="1:37" s="709" customFormat="1" ht="18" customHeight="1">
      <c r="A20" s="2445" t="s">
        <v>3013</v>
      </c>
      <c r="B20" s="687" t="s">
        <v>531</v>
      </c>
      <c r="C20" s="319" t="e">
        <f ca="1">ROUND(C19*F20,0)</f>
        <v>#N/A</v>
      </c>
      <c r="D20" s="712" t="s">
        <v>1163</v>
      </c>
      <c r="E20" s="687" t="s">
        <v>529</v>
      </c>
      <c r="F20" s="710">
        <f>'数据-取费表'!B37</f>
        <v>0.03</v>
      </c>
      <c r="G20" s="2296"/>
      <c r="H20" s="2445" t="s">
        <v>3010</v>
      </c>
      <c r="I20" s="499" t="s">
        <v>1164</v>
      </c>
      <c r="J20" s="320" t="e">
        <f ca="1">ROUND(M20*M21,0)</f>
        <v>#N/A</v>
      </c>
      <c r="K20" s="713" t="s">
        <v>1165</v>
      </c>
      <c r="L20" s="687" t="s">
        <v>1166</v>
      </c>
      <c r="M20" s="714">
        <f>'数据-取费表'!B52</f>
        <v>3</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9" customFormat="1" ht="18" customHeight="1">
      <c r="A21" s="2445" t="s">
        <v>3014</v>
      </c>
      <c r="B21" s="687" t="s">
        <v>1167</v>
      </c>
      <c r="C21" s="319" t="s">
        <v>23</v>
      </c>
      <c r="D21" s="712" t="s">
        <v>1168</v>
      </c>
      <c r="E21" s="687" t="s">
        <v>1169</v>
      </c>
      <c r="F21" s="710">
        <f>'数据-取费表'!B38</f>
        <v>0.02</v>
      </c>
      <c r="G21" s="2296"/>
      <c r="H21" s="715"/>
      <c r="I21" s="696"/>
      <c r="J21" s="324"/>
      <c r="K21" s="716"/>
      <c r="L21" s="687" t="s">
        <v>1170</v>
      </c>
      <c r="M21" s="688" t="e">
        <f ca="1">INDIRECT("'数据-取费表'!r"&amp;$G$1)</f>
        <v>#N/A</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5" t="s">
        <v>3015</v>
      </c>
      <c r="B22" s="687" t="s">
        <v>1171</v>
      </c>
      <c r="C22" s="319"/>
      <c r="D22" s="2717" t="str">
        <f>IF(F23&lt;=1,"单利计息。","复利计息。")&amp;"建造成本、管理费用、销售费用产生的利息。"</f>
        <v>复利计息。建造成本、管理费用、销售费用产生的利息。</v>
      </c>
      <c r="E22" s="2738"/>
      <c r="F22" s="321"/>
      <c r="G22" s="2295"/>
      <c r="H22" s="2445" t="s">
        <v>2751</v>
      </c>
      <c r="I22" s="687" t="s">
        <v>1172</v>
      </c>
      <c r="J22" s="319" t="e">
        <f ca="1">ROUND(J14*M22,0)</f>
        <v>#N/A</v>
      </c>
      <c r="K22" s="2736" t="s">
        <v>1173</v>
      </c>
      <c r="L22" s="687" t="s">
        <v>529</v>
      </c>
      <c r="M22" s="717" t="e">
        <f ca="1">INDIRECT("'数据-取费表'!Ak"&amp;$G$1)</f>
        <v>#N/A</v>
      </c>
    </row>
    <row r="23" spans="1:37" s="709" customFormat="1" ht="18" customHeight="1">
      <c r="A23" s="2445" t="s">
        <v>2741</v>
      </c>
      <c r="B23" s="687" t="s">
        <v>2929</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7" t="s">
        <v>1174</v>
      </c>
      <c r="F23" s="714">
        <f>'数据-取费表'!B20</f>
        <v>5</v>
      </c>
      <c r="G23" s="2296"/>
      <c r="H23" s="2445" t="s">
        <v>3014</v>
      </c>
      <c r="I23" s="687" t="s">
        <v>532</v>
      </c>
      <c r="J23" s="319" t="e">
        <f ca="1">ROUND(J13*M23,0)</f>
        <v>#N/A</v>
      </c>
      <c r="K23" s="2736" t="s">
        <v>533</v>
      </c>
      <c r="L23" s="687" t="s">
        <v>529</v>
      </c>
      <c r="M23" s="719" t="e">
        <f ca="1">INDIRECT("'数据-取费表'!Al"&amp;$G$1)</f>
        <v>#N/A</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9" customFormat="1" ht="18" customHeight="1" thickBot="1">
      <c r="A24" s="2445" t="s">
        <v>2747</v>
      </c>
      <c r="B24" s="687" t="s">
        <v>1176</v>
      </c>
      <c r="C24" s="319">
        <f ca="1">ROUND(IF('数据-取费表'!B22&lt;=1,F21*F24*F23/2,F21*(POWER((1+F24),F23/2)-1)),4)</f>
        <v>2.5000000000000001E-3</v>
      </c>
      <c r="D24" s="2721" t="str">
        <f>IF(F23&lt;=1,"销售费用×利率×(建设周期÷2)","销售费用×((1+利率)^(建设周期÷2)-1)")</f>
        <v>销售费用×((1+利率)^(建设周期÷2)-1)</v>
      </c>
      <c r="E24" s="687" t="s">
        <v>1177</v>
      </c>
      <c r="F24" s="720">
        <f ca="1">'数据-取费表'!B40</f>
        <v>4.7500000000000001E-2</v>
      </c>
      <c r="G24" s="2296"/>
      <c r="H24" s="2694" t="s">
        <v>3015</v>
      </c>
      <c r="I24" s="2695" t="s">
        <v>531</v>
      </c>
      <c r="J24" s="2696" t="e">
        <f ca="1">ROUND(J5*M24,0)</f>
        <v>#N/A</v>
      </c>
      <c r="K24" s="2697" t="s">
        <v>535</v>
      </c>
      <c r="L24" s="2695" t="s">
        <v>529</v>
      </c>
      <c r="M24" s="2691" t="e">
        <f ca="1">INDIRECT("'数据-取费表'!Am"&amp;$G$1)</f>
        <v>#N/A</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5" t="s">
        <v>2748</v>
      </c>
      <c r="B25" s="687" t="s">
        <v>536</v>
      </c>
      <c r="C25" s="319"/>
      <c r="D25" s="474" t="s">
        <v>1179</v>
      </c>
      <c r="E25" s="2738"/>
      <c r="F25" s="321"/>
      <c r="G25" s="2295"/>
      <c r="H25" s="2682" t="s">
        <v>2724</v>
      </c>
      <c r="I25" s="2699" t="s">
        <v>541</v>
      </c>
      <c r="J25" s="695" t="e">
        <f ca="1">J5-J16</f>
        <v>#N/A</v>
      </c>
      <c r="K25" s="2700" t="s">
        <v>542</v>
      </c>
      <c r="L25" s="2701"/>
      <c r="M25" s="2702"/>
    </row>
    <row r="26" spans="1:37" ht="18" customHeight="1">
      <c r="A26" s="2445" t="s">
        <v>2741</v>
      </c>
      <c r="B26" s="687" t="s">
        <v>2930</v>
      </c>
      <c r="C26" s="319" t="e">
        <f ca="1">ROUND((C19+C20)*F26,0)</f>
        <v>#N/A</v>
      </c>
      <c r="D26" s="712" t="s">
        <v>1182</v>
      </c>
      <c r="E26" s="698" t="s">
        <v>1183</v>
      </c>
      <c r="F26" s="697" t="e">
        <f ca="1">INDIRECT("'数据-取费表'!q"&amp;$G$1)</f>
        <v>#N/A</v>
      </c>
      <c r="G26" s="2295"/>
      <c r="H26" s="684" t="s">
        <v>2727</v>
      </c>
      <c r="I26" s="685" t="s">
        <v>1184</v>
      </c>
      <c r="J26" s="686" t="e">
        <f ca="1">IF(J5&lt;&gt;0,ROUND(J25*(1-((1+M28)/(1+M26))^M27)/(M26-M28),0),0)</f>
        <v>#N/A</v>
      </c>
      <c r="K26" s="713" t="s">
        <v>537</v>
      </c>
      <c r="L26" s="687" t="s">
        <v>538</v>
      </c>
      <c r="M26" s="697" t="e">
        <f ca="1">INDIRECT("'数据-取费表'!I"&amp;$G$1)</f>
        <v>#N/A</v>
      </c>
    </row>
    <row r="27" spans="1:37" ht="18" customHeight="1">
      <c r="A27" s="2445" t="s">
        <v>2747</v>
      </c>
      <c r="B27" s="687" t="s">
        <v>539</v>
      </c>
      <c r="C27" s="319" t="e">
        <f ca="1">ROUND(F21*F26,4)</f>
        <v>#N/A</v>
      </c>
      <c r="D27" s="712" t="s">
        <v>1186</v>
      </c>
      <c r="E27" s="707"/>
      <c r="F27" s="708"/>
      <c r="G27" s="2295"/>
      <c r="H27" s="689"/>
      <c r="I27" s="690"/>
      <c r="J27" s="691"/>
      <c r="K27" s="721" t="s">
        <v>1187</v>
      </c>
      <c r="L27" s="687" t="s">
        <v>545</v>
      </c>
      <c r="M27" s="722" t="e">
        <f ca="1">INDIRECT("'数据-取费表'!ag"&amp;$G$1)</f>
        <v>#N/A</v>
      </c>
    </row>
    <row r="28" spans="1:37" s="709" customFormat="1" ht="18" customHeight="1">
      <c r="A28" s="2445" t="s">
        <v>2749</v>
      </c>
      <c r="B28" s="687" t="s">
        <v>540</v>
      </c>
      <c r="C28" s="319">
        <f>ROUND(F28/(1+'数据-取费表'!B42),4)</f>
        <v>5.2400000000000002E-2</v>
      </c>
      <c r="D28" s="712" t="s">
        <v>1193</v>
      </c>
      <c r="E28" s="687" t="s">
        <v>529</v>
      </c>
      <c r="F28" s="710">
        <f>'数据-取费表'!B41</f>
        <v>5.5000000000000007E-2</v>
      </c>
      <c r="G28" s="2296"/>
      <c r="H28" s="693"/>
      <c r="I28" s="694"/>
      <c r="J28" s="695"/>
      <c r="K28" s="716"/>
      <c r="L28" s="687" t="s">
        <v>546</v>
      </c>
      <c r="M28" s="697" t="e">
        <f ca="1">INDIRECT("'数据-取费表'!aa"&amp;$G$1)</f>
        <v>#N/A</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9" customFormat="1" ht="18" customHeight="1" thickBot="1">
      <c r="A29" s="2694" t="s">
        <v>2750</v>
      </c>
      <c r="B29" s="2695" t="s">
        <v>1195</v>
      </c>
      <c r="C29" s="2696" t="e">
        <f ca="1">ROUND((C19+C20+C23+C26)/(1-F21-C24-C27-C28),0)</f>
        <v>#N/A</v>
      </c>
      <c r="D29" s="2697"/>
      <c r="E29" s="2695"/>
      <c r="F29" s="2698"/>
      <c r="G29" s="2296"/>
      <c r="H29" s="723" t="s">
        <v>2734</v>
      </c>
      <c r="I29" s="724" t="s">
        <v>1188</v>
      </c>
      <c r="J29" s="725" t="e">
        <f ca="1">ROUND(J26/(1+F40)^F41,0)</f>
        <v>#N/A</v>
      </c>
      <c r="K29" s="726" t="s">
        <v>1189</v>
      </c>
      <c r="L29" s="727"/>
      <c r="M29" s="728" t="e">
        <f ca="1">INDIRECT("'数据-取费表'!k"&amp;$G$1)</f>
        <v>#N/A</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82" t="s">
        <v>2709</v>
      </c>
      <c r="B30" s="2683" t="s">
        <v>1153</v>
      </c>
      <c r="C30" s="695" t="e">
        <f ca="1">ROUND(C31+C36+C37+C38,0)</f>
        <v>#N/A</v>
      </c>
      <c r="D30" s="2692" t="s">
        <v>1154</v>
      </c>
      <c r="E30" s="2693"/>
      <c r="F30" s="2643"/>
      <c r="G30" s="2295"/>
      <c r="H30" s="1281"/>
      <c r="I30" s="1282"/>
      <c r="J30" s="1283"/>
      <c r="K30" s="1284"/>
      <c r="L30" s="1285"/>
      <c r="M30" s="1286"/>
    </row>
    <row r="31" spans="1:37" ht="18" customHeight="1">
      <c r="A31" s="2445" t="s">
        <v>2744</v>
      </c>
      <c r="B31" s="687" t="s">
        <v>527</v>
      </c>
      <c r="C31" s="319" t="e">
        <f ca="1">ROUND(IF(项目基本情况!B11="自然人",C5*F31,C32+C33+C34),0)</f>
        <v>#N/A</v>
      </c>
      <c r="D31" s="2735" t="s">
        <v>1157</v>
      </c>
      <c r="E31" s="2736" t="s">
        <v>1196</v>
      </c>
      <c r="F31" s="711" t="str">
        <f ca="1">IF(项目基本情况!B11="企业","",IF(INDIRECT("'数据-取费表'!c"&amp;$G$1)="住宅",4.5%,IF(F6*F7*F8/12&gt;20000,11%,6%)))</f>
        <v/>
      </c>
      <c r="G31" s="2295"/>
      <c r="H31" s="1281"/>
      <c r="I31" s="1282"/>
      <c r="J31" s="1283"/>
      <c r="K31" s="1284"/>
      <c r="L31" s="1285"/>
      <c r="M31" s="1286"/>
    </row>
    <row r="32" spans="1:37" ht="18" customHeight="1">
      <c r="A32" s="2445" t="s">
        <v>2741</v>
      </c>
      <c r="B32" s="687" t="s">
        <v>1159</v>
      </c>
      <c r="C32" s="319" t="e">
        <f ca="1">IF(项目基本情况!B11="自然人","——",ROUND(C5*F32/(1+'数据-取费表'!B42),0))</f>
        <v>#N/A</v>
      </c>
      <c r="D32" s="2736" t="s">
        <v>1160</v>
      </c>
      <c r="E32" s="687" t="s">
        <v>529</v>
      </c>
      <c r="F32" s="720">
        <f>'数据-取费表'!B41</f>
        <v>5.5000000000000007E-2</v>
      </c>
      <c r="G32" s="2295"/>
      <c r="H32" s="1287"/>
      <c r="I32" s="1288"/>
      <c r="J32" s="1289"/>
      <c r="K32" s="1290"/>
      <c r="L32" s="1291"/>
      <c r="M32" s="1292"/>
    </row>
    <row r="33" spans="1:18" ht="18" customHeight="1">
      <c r="A33" s="2445" t="s">
        <v>3009</v>
      </c>
      <c r="B33" s="687" t="s">
        <v>1162</v>
      </c>
      <c r="C33" s="319" t="e">
        <f ca="1">IF(项目基本情况!B11="自然人","——",IF(D33="按租金收入计税",ROUND(C5*F33,0),IF(D33="按房产原值计税",ROUND(C29*F33*0.7,0),INDIRECT("'数据-取费表'!Aj"&amp;$G$1))))</f>
        <v>#N/A</v>
      </c>
      <c r="D33" s="1304" t="s">
        <v>2792</v>
      </c>
      <c r="E33" s="687" t="s">
        <v>529</v>
      </c>
      <c r="F33" s="710">
        <f>IF(D33="按票据","——",IF(D33="按租金收入计税",'数据-取费表'!B51,'数据-取费表'!B50))</f>
        <v>1.2E-2</v>
      </c>
      <c r="G33" s="2295"/>
      <c r="H33" s="1293"/>
      <c r="I33" s="2900"/>
      <c r="J33" s="2901"/>
      <c r="K33" s="1294"/>
      <c r="L33" s="1293"/>
      <c r="M33" s="1293"/>
    </row>
    <row r="34" spans="1:18" ht="18" customHeight="1">
      <c r="A34" s="2637" t="s">
        <v>3010</v>
      </c>
      <c r="B34" s="499" t="s">
        <v>1164</v>
      </c>
      <c r="C34" s="320" t="e">
        <f ca="1">IF(项目基本情况!B11="自然人","——",ROUND(F34*F35,))</f>
        <v>#N/A</v>
      </c>
      <c r="D34" s="713" t="s">
        <v>1165</v>
      </c>
      <c r="E34" s="687" t="s">
        <v>1166</v>
      </c>
      <c r="F34" s="714">
        <f>'数据-取费表'!B52</f>
        <v>3</v>
      </c>
      <c r="G34" s="2295"/>
      <c r="H34" s="1281"/>
      <c r="I34" s="2900"/>
      <c r="J34" s="2901"/>
      <c r="K34" s="1295"/>
      <c r="L34" s="1296"/>
      <c r="M34" s="1296"/>
    </row>
    <row r="35" spans="1:18" ht="18" customHeight="1">
      <c r="A35" s="2712"/>
      <c r="B35" s="2710"/>
      <c r="C35" s="324"/>
      <c r="D35" s="716"/>
      <c r="E35" s="687" t="s">
        <v>1170</v>
      </c>
      <c r="F35" s="688" t="e">
        <f ca="1">INDIRECT("'数据-取费表'!r"&amp;$G$1)</f>
        <v>#N/A</v>
      </c>
      <c r="G35" s="2295"/>
      <c r="H35" s="1281"/>
      <c r="I35" s="2900"/>
      <c r="J35" s="2901"/>
      <c r="K35" s="1294"/>
      <c r="L35" s="1293"/>
      <c r="M35" s="1293"/>
    </row>
    <row r="36" spans="1:18" ht="18" customHeight="1">
      <c r="A36" s="2711" t="s">
        <v>2751</v>
      </c>
      <c r="B36" s="687" t="s">
        <v>1172</v>
      </c>
      <c r="C36" s="319" t="e">
        <f ca="1">ROUND(C29*F36,0)</f>
        <v>#N/A</v>
      </c>
      <c r="D36" s="2736" t="s">
        <v>1202</v>
      </c>
      <c r="E36" s="687" t="s">
        <v>529</v>
      </c>
      <c r="F36" s="717" t="e">
        <f ca="1">INDIRECT("'数据-取费表'!Ak"&amp;$G$1)</f>
        <v>#N/A</v>
      </c>
      <c r="G36" s="2295"/>
      <c r="H36" s="1293"/>
      <c r="I36" s="2900"/>
      <c r="J36" s="2901"/>
      <c r="K36" s="1297"/>
      <c r="L36" s="1293"/>
      <c r="M36" s="1293"/>
    </row>
    <row r="37" spans="1:18" ht="18" customHeight="1">
      <c r="A37" s="2445" t="s">
        <v>3014</v>
      </c>
      <c r="B37" s="687" t="s">
        <v>532</v>
      </c>
      <c r="C37" s="319" t="e">
        <f ca="1">ROUND(C13*F37,0)</f>
        <v>#N/A</v>
      </c>
      <c r="D37" s="2736" t="s">
        <v>533</v>
      </c>
      <c r="E37" s="687" t="s">
        <v>529</v>
      </c>
      <c r="F37" s="719" t="e">
        <f ca="1">INDIRECT("'数据-取费表'!Al"&amp;$G$1)</f>
        <v>#N/A</v>
      </c>
      <c r="G37" s="2295"/>
      <c r="H37" s="1293"/>
      <c r="I37" s="2900"/>
      <c r="J37" s="2901"/>
      <c r="K37" s="1297"/>
      <c r="L37" s="1293"/>
      <c r="M37" s="1293"/>
    </row>
    <row r="38" spans="1:18" ht="18" customHeight="1" thickBot="1">
      <c r="A38" s="2694" t="s">
        <v>3015</v>
      </c>
      <c r="B38" s="2695" t="s">
        <v>531</v>
      </c>
      <c r="C38" s="2696" t="e">
        <f ca="1">ROUND(C5*F38,1)</f>
        <v>#N/A</v>
      </c>
      <c r="D38" s="2697" t="s">
        <v>535</v>
      </c>
      <c r="E38" s="2695" t="s">
        <v>529</v>
      </c>
      <c r="F38" s="2691" t="e">
        <f ca="1">INDIRECT("'数据-取费表'!Am"&amp;$G$1)</f>
        <v>#N/A</v>
      </c>
      <c r="G38" s="2295"/>
      <c r="H38" s="1293"/>
      <c r="I38" s="2900"/>
      <c r="J38" s="2901"/>
      <c r="K38" s="1298"/>
      <c r="L38" s="1293"/>
      <c r="M38" s="1293"/>
    </row>
    <row r="39" spans="1:18" ht="24.6" customHeight="1" thickTop="1">
      <c r="A39" s="2682" t="s">
        <v>2724</v>
      </c>
      <c r="B39" s="2699" t="s">
        <v>541</v>
      </c>
      <c r="C39" s="695" t="e">
        <f ca="1">C5-C30</f>
        <v>#N/A</v>
      </c>
      <c r="D39" s="2700" t="s">
        <v>542</v>
      </c>
      <c r="E39" s="2701"/>
      <c r="F39" s="2702"/>
      <c r="G39" s="2295"/>
      <c r="H39" s="1293"/>
      <c r="I39" s="2900"/>
      <c r="J39" s="2901"/>
      <c r="K39" s="1298"/>
      <c r="L39" s="1293"/>
      <c r="M39" s="1293"/>
    </row>
    <row r="40" spans="1:18" ht="18" customHeight="1">
      <c r="A40" s="684" t="s">
        <v>2727</v>
      </c>
      <c r="B40" s="685" t="s">
        <v>543</v>
      </c>
      <c r="C40" s="686" t="e">
        <f ca="1">ROUND(C39*(1-((1+F42)/(1+F40))^F41)/(F40-F42),0)</f>
        <v>#N/A</v>
      </c>
      <c r="D40" s="713" t="s">
        <v>537</v>
      </c>
      <c r="E40" s="687" t="s">
        <v>538</v>
      </c>
      <c r="F40" s="697" t="e">
        <f ca="1">INDIRECT("'数据-取费表'!I"&amp;$G$1)</f>
        <v>#N/A</v>
      </c>
      <c r="G40" s="2295"/>
      <c r="H40" s="1299"/>
      <c r="I40" s="2900"/>
      <c r="J40" s="2901"/>
      <c r="K40" s="1298"/>
      <c r="L40" s="1299"/>
      <c r="M40" s="1299"/>
    </row>
    <row r="41" spans="1:18" ht="18" customHeight="1">
      <c r="A41" s="689"/>
      <c r="B41" s="690"/>
      <c r="C41" s="691"/>
      <c r="D41" s="721" t="s">
        <v>544</v>
      </c>
      <c r="E41" s="687" t="s">
        <v>545</v>
      </c>
      <c r="F41" s="722" t="e">
        <f ca="1">IF(INDIRECT("'数据-取费表'!af"&amp;$G$1)=0,INDIRECT("'数据-取费表'!ae"&amp;$G$1),INDIRECT("'数据-取费表'!af"&amp;$G$1))</f>
        <v>#N/A</v>
      </c>
      <c r="G41" s="2295"/>
      <c r="H41" s="1195"/>
      <c r="I41" s="2900"/>
      <c r="J41" s="2901"/>
      <c r="K41" s="1297"/>
      <c r="L41" s="1195"/>
      <c r="M41" s="1195"/>
    </row>
    <row r="42" spans="1:18" ht="18" customHeight="1">
      <c r="A42" s="693"/>
      <c r="B42" s="694"/>
      <c r="C42" s="695"/>
      <c r="D42" s="716"/>
      <c r="E42" s="687" t="s">
        <v>546</v>
      </c>
      <c r="F42" s="697" t="e">
        <f ca="1">INDIRECT("'数据-取费表'!v"&amp;$G$1)</f>
        <v>#N/A</v>
      </c>
      <c r="G42" s="2295"/>
      <c r="H42" s="1195"/>
      <c r="I42" s="2900"/>
      <c r="J42" s="2901"/>
      <c r="K42" s="1297"/>
      <c r="L42" s="1195"/>
      <c r="M42" s="1195"/>
    </row>
    <row r="43" spans="1:18" ht="18" customHeight="1" thickBot="1">
      <c r="A43" s="723" t="s">
        <v>2734</v>
      </c>
      <c r="B43" s="724" t="s">
        <v>547</v>
      </c>
      <c r="C43" s="725" t="e">
        <f ca="1">ROUND(C40/F43,0)</f>
        <v>#N/A</v>
      </c>
      <c r="D43" s="726" t="s">
        <v>548</v>
      </c>
      <c r="E43" s="727" t="s">
        <v>549</v>
      </c>
      <c r="F43" s="728" t="e">
        <f ca="1">INDIRECT("'数据-取费表'!k"&amp;$G$1)</f>
        <v>#N/A</v>
      </c>
      <c r="G43" s="2295"/>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2743" t="e">
        <f ca="1">C68-C40</f>
        <v>#N/A</v>
      </c>
      <c r="D45" s="2744" t="s">
        <v>3025</v>
      </c>
      <c r="E45" s="1436"/>
      <c r="F45" s="1436"/>
      <c r="O45" s="2602" t="s">
        <v>2877</v>
      </c>
      <c r="P45" s="1299"/>
      <c r="Q45" s="1299"/>
      <c r="R45" s="1299"/>
    </row>
    <row r="46" spans="1:18" s="1458" customFormat="1" ht="21" thickBot="1">
      <c r="A46" s="2403" t="s">
        <v>2696</v>
      </c>
      <c r="B46" s="2404"/>
      <c r="C46" s="2741" t="e">
        <f ca="1">ROUND(C45/10000,0)</f>
        <v>#N/A</v>
      </c>
      <c r="D46" s="2742" t="str">
        <f>C2</f>
        <v>万元</v>
      </c>
      <c r="I46" s="2589" t="s">
        <v>2810</v>
      </c>
      <c r="J46" s="2590"/>
      <c r="K46" s="2591"/>
      <c r="L46" s="2593">
        <f>IF(M47="住宅",0,IF(L48&gt;J51,L60,J60))</f>
        <v>0</v>
      </c>
      <c r="O46" s="2605" t="s">
        <v>2855</v>
      </c>
      <c r="P46" s="2606" t="s">
        <v>2856</v>
      </c>
      <c r="Q46" s="2607" t="s">
        <v>2854</v>
      </c>
      <c r="R46" s="2607" t="s">
        <v>2857</v>
      </c>
    </row>
    <row r="47" spans="1:18" s="1458" customFormat="1" ht="15.75" thickBot="1">
      <c r="A47" s="2405" t="s">
        <v>1137</v>
      </c>
      <c r="B47" s="2441" t="s">
        <v>1138</v>
      </c>
      <c r="C47" s="2441" t="s">
        <v>1139</v>
      </c>
      <c r="D47" s="2441" t="s">
        <v>1140</v>
      </c>
      <c r="E47" s="2545" t="s">
        <v>1141</v>
      </c>
      <c r="F47" s="2546"/>
      <c r="G47" s="1460"/>
      <c r="I47" s="2564" t="s">
        <v>2803</v>
      </c>
      <c r="J47" s="2565" t="s">
        <v>131</v>
      </c>
      <c r="K47" s="2574" t="s">
        <v>2826</v>
      </c>
      <c r="L47" s="2575" t="e">
        <f ca="1">INDIRECT("'数据-取费表'!d"&amp;$G$1)</f>
        <v>#N/A</v>
      </c>
      <c r="M47" s="2595" t="str">
        <f>IF(ISNUMBER(FIND("住宅",C1)),"住宅","非住宅")</f>
        <v>住宅</v>
      </c>
      <c r="O47" s="2598" t="s">
        <v>2839</v>
      </c>
      <c r="P47" s="2608" t="s">
        <v>2858</v>
      </c>
      <c r="Q47" s="2599" t="e">
        <f ca="1">C40+J29</f>
        <v>#N/A</v>
      </c>
      <c r="R47" s="2599" t="s">
        <v>2859</v>
      </c>
    </row>
    <row r="48" spans="1:18" s="1458" customFormat="1" ht="47.25" thickBot="1">
      <c r="A48" s="2727" t="s">
        <v>3020</v>
      </c>
      <c r="B48" s="685" t="s">
        <v>2703</v>
      </c>
      <c r="C48" s="2737" t="e">
        <f ca="1">C49+C53+C55</f>
        <v>#N/A</v>
      </c>
      <c r="D48" s="2731"/>
      <c r="E48" s="2732"/>
      <c r="F48" s="2425"/>
      <c r="G48" s="1460"/>
      <c r="H48" s="1461"/>
      <c r="I48" s="2554" t="s">
        <v>2804</v>
      </c>
      <c r="J48" s="2566" t="s">
        <v>2805</v>
      </c>
      <c r="K48" s="2576" t="s">
        <v>905</v>
      </c>
      <c r="L48" s="2174" t="e">
        <f ca="1">INDIRECT("'数据-取费表'!f"&amp;$G$1)</f>
        <v>#N/A</v>
      </c>
      <c r="O48" s="2598" t="s">
        <v>2840</v>
      </c>
      <c r="P48" s="2608" t="s">
        <v>2860</v>
      </c>
      <c r="Q48" s="2599" t="e">
        <f ca="1">J60</f>
        <v>#N/A</v>
      </c>
      <c r="R48" s="2599" t="s">
        <v>2868</v>
      </c>
    </row>
    <row r="49" spans="1:18" s="1458" customFormat="1" ht="15.75" thickBot="1">
      <c r="A49" s="2438" t="s">
        <v>3021</v>
      </c>
      <c r="B49" s="2730" t="s">
        <v>3023</v>
      </c>
      <c r="C49" s="2739" t="e">
        <f ca="1">ROUND(F49*F51*F50*(1-F52),0)</f>
        <v>#N/A</v>
      </c>
      <c r="D49" s="2541" t="s">
        <v>2704</v>
      </c>
      <c r="E49" s="2544" t="s">
        <v>2697</v>
      </c>
      <c r="F49" s="2547">
        <v>1500</v>
      </c>
      <c r="G49" s="1462"/>
      <c r="H49" s="1461"/>
      <c r="I49" s="2554" t="s">
        <v>2824</v>
      </c>
      <c r="J49" s="2567">
        <v>2002</v>
      </c>
      <c r="K49" s="2577" t="s">
        <v>2829</v>
      </c>
      <c r="L49" s="2578">
        <v>0</v>
      </c>
      <c r="O49" s="2600" t="s">
        <v>2841</v>
      </c>
      <c r="P49" s="2608" t="s">
        <v>2861</v>
      </c>
      <c r="Q49" s="2599" t="e">
        <f ca="1">C29</f>
        <v>#N/A</v>
      </c>
      <c r="R49" s="2599" t="s">
        <v>2859</v>
      </c>
    </row>
    <row r="50" spans="1:18" s="1458" customFormat="1" ht="15.75" thickBot="1">
      <c r="A50" s="2439"/>
      <c r="B50" s="2442"/>
      <c r="C50" s="2443"/>
      <c r="D50" s="2412"/>
      <c r="E50" s="2542" t="s">
        <v>1143</v>
      </c>
      <c r="F50" s="2543" t="e">
        <f ca="1">F7</f>
        <v>#N/A</v>
      </c>
      <c r="H50" s="1461"/>
      <c r="I50" s="2554" t="s">
        <v>2806</v>
      </c>
      <c r="J50" s="2568">
        <f>SUMPRODUCT((I63:I65=J47)*(J62:L62=J48)*(J63:L65))</f>
        <v>60</v>
      </c>
      <c r="K50" s="2577" t="s">
        <v>2830</v>
      </c>
      <c r="L50" s="2578">
        <v>0</v>
      </c>
      <c r="M50" s="2572"/>
      <c r="O50" s="2600" t="s">
        <v>2842</v>
      </c>
      <c r="P50" s="2608" t="s">
        <v>2869</v>
      </c>
      <c r="Q50" s="2601">
        <f>J58</f>
        <v>0.6</v>
      </c>
      <c r="R50" s="2599"/>
    </row>
    <row r="51" spans="1:18" s="1458" customFormat="1" ht="15.75" thickBot="1">
      <c r="A51" s="2440"/>
      <c r="B51" s="2442"/>
      <c r="C51" s="2443"/>
      <c r="D51" s="2412"/>
      <c r="E51" s="2444" t="s">
        <v>1144</v>
      </c>
      <c r="F51" s="688" t="e">
        <f ca="1">F8</f>
        <v>#N/A</v>
      </c>
      <c r="I51" s="2569" t="s">
        <v>2811</v>
      </c>
      <c r="J51" s="2570">
        <f>IF(J49="",J50,J49+J50-YEAR('数据-取费表'!B2))</f>
        <v>45</v>
      </c>
      <c r="K51" s="2579" t="s">
        <v>2831</v>
      </c>
      <c r="L51" s="2592" t="e">
        <f ca="1">ROUND(-PV(INDIRECT("'数据-取费表'!h"&amp;$G$1),L48,(C39-C13*C76),0),0)</f>
        <v>#N/A</v>
      </c>
      <c r="M51" s="2573"/>
      <c r="O51" s="2600" t="s">
        <v>2843</v>
      </c>
      <c r="P51" s="2608" t="s">
        <v>2870</v>
      </c>
      <c r="Q51" s="2601">
        <f>J52</f>
        <v>0.09</v>
      </c>
      <c r="R51" s="2599"/>
    </row>
    <row r="52" spans="1:18" s="1458" customFormat="1" ht="15.75" thickBot="1">
      <c r="A52" s="2440"/>
      <c r="B52" s="2442"/>
      <c r="C52" s="2443"/>
      <c r="D52" s="2412"/>
      <c r="E52" s="2444" t="s">
        <v>1145</v>
      </c>
      <c r="F52" s="2540">
        <v>0.1</v>
      </c>
      <c r="I52" s="2571" t="s">
        <v>2835</v>
      </c>
      <c r="J52" s="2585">
        <v>0.09</v>
      </c>
      <c r="K52" s="2571" t="s">
        <v>2819</v>
      </c>
      <c r="L52" s="2585">
        <v>0.04</v>
      </c>
      <c r="M52" s="2404"/>
      <c r="O52" s="2600" t="s">
        <v>2844</v>
      </c>
      <c r="P52" s="2608" t="s">
        <v>2862</v>
      </c>
      <c r="Q52" s="2599">
        <f>J53</f>
        <v>45</v>
      </c>
      <c r="R52" s="2599" t="s">
        <v>2863</v>
      </c>
    </row>
    <row r="53" spans="1:18" s="1458" customFormat="1" ht="43.5" thickBot="1">
      <c r="A53" s="2728" t="s">
        <v>3022</v>
      </c>
      <c r="B53" s="2729" t="s">
        <v>2932</v>
      </c>
      <c r="C53" s="701" t="e">
        <f ca="1">ROUND(IF(F53="押一",F49*F51*F50/12*F11,IF(F53="押二",F49*F51*F50/12*2*F11,IF(F53="押三",F49*F51*F50/12*3*F11,C54*F11))),0)</f>
        <v>#N/A</v>
      </c>
      <c r="D53" s="2649" t="s">
        <v>2940</v>
      </c>
      <c r="E53" s="2103" t="s">
        <v>2934</v>
      </c>
      <c r="F53" s="2847" t="s">
        <v>3026</v>
      </c>
      <c r="I53" s="2581" t="s">
        <v>2837</v>
      </c>
      <c r="J53" s="2582">
        <f>IF(M47="住宅",J51,MIN(J51,L48))</f>
        <v>45</v>
      </c>
      <c r="K53" s="374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49"/>
      <c r="O53" s="2598" t="s">
        <v>2845</v>
      </c>
      <c r="P53" s="2608" t="s">
        <v>2864</v>
      </c>
      <c r="Q53" s="2599" t="e">
        <f ca="1">Q47+Q48</f>
        <v>#N/A</v>
      </c>
      <c r="R53" s="2599" t="s">
        <v>2846</v>
      </c>
    </row>
    <row r="54" spans="1:18" s="1458" customFormat="1" ht="16.5" thickBot="1">
      <c r="A54" s="2438"/>
      <c r="B54" s="2844" t="s">
        <v>3098</v>
      </c>
      <c r="C54" s="2422"/>
      <c r="D54" s="2649"/>
      <c r="E54" s="2794"/>
      <c r="F54" s="2548"/>
      <c r="I54" s="2419"/>
      <c r="J54" s="2580"/>
      <c r="K54" s="2580"/>
      <c r="L54" s="2580"/>
      <c r="M54" s="1462"/>
      <c r="O54" s="2602" t="s">
        <v>2871</v>
      </c>
      <c r="P54" s="1299"/>
      <c r="Q54" s="1299"/>
      <c r="R54" s="1299"/>
    </row>
    <row r="55" spans="1:18" s="1458" customFormat="1" ht="16.5" thickBot="1">
      <c r="A55" s="2686" t="s">
        <v>2945</v>
      </c>
      <c r="B55" s="2687" t="s">
        <v>2933</v>
      </c>
      <c r="C55" s="2688"/>
      <c r="D55" s="2649"/>
      <c r="E55" s="2733"/>
      <c r="F55" s="2548"/>
      <c r="I55" s="2551" t="s">
        <v>2812</v>
      </c>
      <c r="J55" s="2552"/>
      <c r="K55" s="2562" t="s">
        <v>2813</v>
      </c>
      <c r="L55" s="2584" t="s">
        <v>2853</v>
      </c>
      <c r="O55" s="2605" t="s">
        <v>2855</v>
      </c>
      <c r="P55" s="2606" t="s">
        <v>2856</v>
      </c>
      <c r="Q55" s="2607" t="s">
        <v>2854</v>
      </c>
      <c r="R55" s="2607" t="s">
        <v>2857</v>
      </c>
    </row>
    <row r="56" spans="1:18" s="1458" customFormat="1" ht="44.25" thickTop="1" thickBot="1">
      <c r="A56" s="2416">
        <v>2</v>
      </c>
      <c r="B56" s="2417" t="s">
        <v>1146</v>
      </c>
      <c r="C56" s="611" t="e">
        <f ca="1">C13</f>
        <v>#N/A</v>
      </c>
      <c r="D56" s="2714"/>
      <c r="E56" s="2418"/>
      <c r="F56" s="2548"/>
      <c r="I56" s="2553" t="s">
        <v>2814</v>
      </c>
      <c r="J56" s="2583" t="s">
        <v>44</v>
      </c>
      <c r="K56" s="2554" t="s">
        <v>2818</v>
      </c>
      <c r="L56" s="2174" t="e">
        <f ca="1">IF(L48&lt;J51,"——",L48-J51)</f>
        <v>#N/A</v>
      </c>
      <c r="O56" s="2598" t="s">
        <v>2839</v>
      </c>
      <c r="P56" s="2608" t="s">
        <v>2858</v>
      </c>
      <c r="Q56" s="2599" t="e">
        <f ca="1">C40+J29</f>
        <v>#N/A</v>
      </c>
      <c r="R56" s="2599" t="s">
        <v>2859</v>
      </c>
    </row>
    <row r="57" spans="1:18" s="1458" customFormat="1" ht="29.25" thickBot="1">
      <c r="A57" s="2549"/>
      <c r="B57" s="2409" t="s">
        <v>1195</v>
      </c>
      <c r="C57" s="617" t="e">
        <f ca="1">C29</f>
        <v>#N/A</v>
      </c>
      <c r="D57" s="2420"/>
      <c r="E57" s="2421"/>
      <c r="F57" s="2550"/>
      <c r="I57" s="2555" t="s">
        <v>2836</v>
      </c>
      <c r="J57" s="2559" t="e">
        <f ca="1">IF(OR(M47="住宅",J51&lt;L48,J56="是"),"——",J51-L48)</f>
        <v>#N/A</v>
      </c>
      <c r="K57" s="2554" t="s">
        <v>2828</v>
      </c>
      <c r="L57" s="2174" t="e">
        <f ca="1">IF(L48&lt;J51,"——",IF(L55="比较法",L49,IF(L55="基准地价",L50,L51)))</f>
        <v>#N/A</v>
      </c>
      <c r="O57" s="2598" t="s">
        <v>2840</v>
      </c>
      <c r="P57" s="2608" t="s">
        <v>2865</v>
      </c>
      <c r="Q57" s="2599" t="e">
        <f ca="1">L60</f>
        <v>#N/A</v>
      </c>
      <c r="R57" s="2599" t="s">
        <v>2880</v>
      </c>
    </row>
    <row r="58" spans="1:18" s="1458" customFormat="1" ht="29.25" thickBot="1">
      <c r="A58" s="700" t="s">
        <v>2709</v>
      </c>
      <c r="B58" s="2417" t="s">
        <v>1153</v>
      </c>
      <c r="C58" s="701" t="e">
        <f ca="1">ROUND(C59+C64+C65+C66,0)</f>
        <v>#N/A</v>
      </c>
      <c r="D58" s="2423" t="s">
        <v>1154</v>
      </c>
      <c r="E58" s="2424"/>
      <c r="F58" s="2425"/>
      <c r="I58" s="2555" t="s">
        <v>2815</v>
      </c>
      <c r="J58" s="2560">
        <v>0.6</v>
      </c>
      <c r="K58" s="2579" t="s">
        <v>2838</v>
      </c>
      <c r="L58" s="2174">
        <f ca="1">IF(ISERROR(POWER(1+L52,L47-L48)*(POWER(1+L52,L48)-1)/(POWER(1+L52,L47)-1)),0,POWER(1+L52,L47-L48)*(POWER(1+L52,L48)-1)/(POWER(1+L52,L47)-1))</f>
        <v>0</v>
      </c>
      <c r="O58" s="2600" t="s">
        <v>2841</v>
      </c>
      <c r="P58" s="2608" t="s">
        <v>2872</v>
      </c>
      <c r="Q58" s="2599">
        <f>IF(L55="比较法",L49,IF(L55="基准地价",L50,0))</f>
        <v>0</v>
      </c>
      <c r="R58" s="2599" t="s">
        <v>2859</v>
      </c>
    </row>
    <row r="59" spans="1:18" s="1458" customFormat="1" ht="29.25" thickBot="1">
      <c r="A59" s="2445" t="s">
        <v>2744</v>
      </c>
      <c r="B59" s="2409" t="s">
        <v>527</v>
      </c>
      <c r="C59" s="319" t="e">
        <f ca="1">ROUND(IF(项目基本情况!B11="自然人",C48*F59,C60+C61+C62),0)</f>
        <v>#N/A</v>
      </c>
      <c r="D59" s="2426" t="s">
        <v>1157</v>
      </c>
      <c r="E59" s="2427" t="s">
        <v>1158</v>
      </c>
      <c r="F59" s="711" t="str">
        <f ca="1">IF(项目基本情况!B11="企业","",IF(INDIRECT("'数据-取费表'!c"&amp;$G$1)="住宅",4.5%,IF(F49*F50*F51/12&gt;20000,11%,6%)))</f>
        <v/>
      </c>
      <c r="I59" s="2555" t="s">
        <v>2816</v>
      </c>
      <c r="J59" s="2559" t="e">
        <f ca="1">IF(OR(M47="住宅",J51&lt;L48,J56="是"),"——",ROUND(C29*J58,0))</f>
        <v>#N/A</v>
      </c>
      <c r="K59" s="2579" t="s">
        <v>2825</v>
      </c>
      <c r="L59" s="2174">
        <f ca="1">IF(ISERROR(POWER(1+L52,L47-J51)*(POWER(1+L52,J51)-1)/(POWER(1+L52,L47)-1)),0,POWER(1+L52,L47-J51)*(POWER(1+L52,J51)-1)/(POWER(1+L52,L47)-1))</f>
        <v>0</v>
      </c>
      <c r="O59" s="2600" t="s">
        <v>2842</v>
      </c>
      <c r="P59" s="2608" t="s">
        <v>2873</v>
      </c>
      <c r="Q59" s="2601">
        <f>L52</f>
        <v>0.04</v>
      </c>
      <c r="R59" s="2599"/>
    </row>
    <row r="60" spans="1:18" s="1458" customFormat="1" ht="20.25" thickBot="1">
      <c r="A60" s="2445" t="s">
        <v>2741</v>
      </c>
      <c r="B60" s="2409" t="s">
        <v>1159</v>
      </c>
      <c r="C60" s="319" t="e">
        <f ca="1">IF(项目基本情况!B11="自然人","——",ROUND(C48*F60/(1+'数据-取费表'!B42),0))</f>
        <v>#N/A</v>
      </c>
      <c r="D60" s="2427" t="s">
        <v>1160</v>
      </c>
      <c r="E60" s="2409" t="s">
        <v>529</v>
      </c>
      <c r="F60" s="720">
        <f t="shared" ref="F60:F66" si="0">F32</f>
        <v>5.5000000000000007E-2</v>
      </c>
      <c r="I60" s="2556" t="s">
        <v>2817</v>
      </c>
      <c r="J60" s="2561" t="e">
        <f ca="1">IF(OR(M47="住宅",J51&lt;L48,J56="是"),"0",ROUND(J59/(1+J52)^J53,0))</f>
        <v>#N/A</v>
      </c>
      <c r="K60" s="2563" t="s">
        <v>2820</v>
      </c>
      <c r="L60" s="2561" t="e">
        <f ca="1">IF(OR(M47="住宅",L48&lt;J51),0,ROUND(L57*(L58/L59-1),0))</f>
        <v>#N/A</v>
      </c>
      <c r="O60" s="2600" t="s">
        <v>2843</v>
      </c>
      <c r="P60" s="2608" t="s">
        <v>2874</v>
      </c>
      <c r="Q60" s="2599">
        <f ca="1">L58</f>
        <v>0</v>
      </c>
      <c r="R60" s="2599" t="s">
        <v>2848</v>
      </c>
    </row>
    <row r="61" spans="1:18" s="1458" customFormat="1" ht="20.25" thickBot="1">
      <c r="A61" s="2445" t="s">
        <v>2742</v>
      </c>
      <c r="B61" s="2409" t="s">
        <v>1162</v>
      </c>
      <c r="C61" s="319" t="e">
        <f ca="1">IF(项目基本情况!B11="自然人","——",IF(D61="按租金收入计税",ROUND(C48*F61,0),IF(D61="按房产原值计税",ROUND(C57*F61*0.7,0),INDIRECT("'数据-取费表'!Aj"&amp;$G$1))))</f>
        <v>#N/A</v>
      </c>
      <c r="D61" s="1304" t="s">
        <v>2792</v>
      </c>
      <c r="E61" s="2409" t="s">
        <v>529</v>
      </c>
      <c r="F61" s="710">
        <f t="shared" si="0"/>
        <v>1.2E-2</v>
      </c>
      <c r="I61" s="2419"/>
      <c r="J61" s="2419"/>
      <c r="K61" s="2419"/>
      <c r="L61" s="2419"/>
      <c r="O61" s="2600" t="s">
        <v>2844</v>
      </c>
      <c r="P61" s="2608" t="s">
        <v>2875</v>
      </c>
      <c r="Q61" s="2599">
        <f ca="1">L59</f>
        <v>0</v>
      </c>
      <c r="R61" s="2599" t="s">
        <v>2849</v>
      </c>
    </row>
    <row r="62" spans="1:18" s="1458" customFormat="1" ht="15.75" thickBot="1">
      <c r="A62" s="2445" t="s">
        <v>2743</v>
      </c>
      <c r="B62" s="2408" t="s">
        <v>1164</v>
      </c>
      <c r="C62" s="320" t="e">
        <f ca="1">IF(项目基本情况!B11="自然人","——",ROUND(F62*F63,0))</f>
        <v>#N/A</v>
      </c>
      <c r="D62" s="2428" t="s">
        <v>1165</v>
      </c>
      <c r="E62" s="2409" t="s">
        <v>1166</v>
      </c>
      <c r="F62" s="714">
        <f t="shared" si="0"/>
        <v>3</v>
      </c>
      <c r="I62" s="2557" t="s">
        <v>2807</v>
      </c>
      <c r="J62" s="2558" t="s">
        <v>2808</v>
      </c>
      <c r="K62" s="2558" t="s">
        <v>2809</v>
      </c>
      <c r="L62" s="2558" t="s">
        <v>2805</v>
      </c>
      <c r="O62" s="2598" t="s">
        <v>2845</v>
      </c>
      <c r="P62" s="2608" t="s">
        <v>2864</v>
      </c>
      <c r="Q62" s="2599" t="e">
        <f ca="1">Q56+Q57</f>
        <v>#N/A</v>
      </c>
      <c r="R62" s="2599" t="s">
        <v>2846</v>
      </c>
    </row>
    <row r="63" spans="1:18" s="1458" customFormat="1" ht="16.5" thickBot="1">
      <c r="A63" s="715"/>
      <c r="B63" s="2415"/>
      <c r="C63" s="324"/>
      <c r="D63" s="2429"/>
      <c r="E63" s="2409" t="s">
        <v>1170</v>
      </c>
      <c r="F63" s="688" t="e">
        <f t="shared" ca="1" si="0"/>
        <v>#N/A</v>
      </c>
      <c r="I63" s="2557" t="s">
        <v>2821</v>
      </c>
      <c r="J63" s="2558">
        <v>70</v>
      </c>
      <c r="K63" s="2558">
        <v>50</v>
      </c>
      <c r="L63" s="2558">
        <v>80</v>
      </c>
      <c r="O63" s="2602" t="s">
        <v>2878</v>
      </c>
      <c r="P63" s="1299"/>
      <c r="Q63" s="1299"/>
      <c r="R63" s="1299"/>
    </row>
    <row r="64" spans="1:18" s="1458" customFormat="1" ht="15.75" thickBot="1">
      <c r="A64" s="2445" t="s">
        <v>2751</v>
      </c>
      <c r="B64" s="2409" t="s">
        <v>1172</v>
      </c>
      <c r="C64" s="319" t="e">
        <f ca="1">ROUND(C57*F64,0)</f>
        <v>#N/A</v>
      </c>
      <c r="D64" s="2427" t="s">
        <v>1202</v>
      </c>
      <c r="E64" s="2409" t="s">
        <v>529</v>
      </c>
      <c r="F64" s="717" t="e">
        <f t="shared" ca="1" si="0"/>
        <v>#N/A</v>
      </c>
      <c r="I64" s="2557" t="s">
        <v>126</v>
      </c>
      <c r="J64" s="2558">
        <v>50</v>
      </c>
      <c r="K64" s="2558">
        <v>35</v>
      </c>
      <c r="L64" s="2558">
        <v>60</v>
      </c>
      <c r="O64" s="2605" t="s">
        <v>2855</v>
      </c>
      <c r="P64" s="2606" t="s">
        <v>2856</v>
      </c>
      <c r="Q64" s="2607" t="s">
        <v>2854</v>
      </c>
      <c r="R64" s="2607" t="s">
        <v>2857</v>
      </c>
    </row>
    <row r="65" spans="1:18" s="1458" customFormat="1" ht="15.75" thickBot="1">
      <c r="A65" s="2445" t="s">
        <v>2745</v>
      </c>
      <c r="B65" s="2409" t="s">
        <v>532</v>
      </c>
      <c r="C65" s="319" t="e">
        <f ca="1">ROUND(C56*F65,0)</f>
        <v>#N/A</v>
      </c>
      <c r="D65" s="2427" t="s">
        <v>533</v>
      </c>
      <c r="E65" s="2409" t="s">
        <v>529</v>
      </c>
      <c r="F65" s="719" t="e">
        <f t="shared" ca="1" si="0"/>
        <v>#N/A</v>
      </c>
      <c r="I65" s="2557" t="s">
        <v>2823</v>
      </c>
      <c r="J65" s="2558">
        <v>40</v>
      </c>
      <c r="K65" s="2558">
        <v>30</v>
      </c>
      <c r="L65" s="2558">
        <v>50</v>
      </c>
      <c r="O65" s="2598" t="s">
        <v>2839</v>
      </c>
      <c r="P65" s="2608" t="s">
        <v>2858</v>
      </c>
      <c r="Q65" s="2599" t="e">
        <f ca="1">C40+J29</f>
        <v>#N/A</v>
      </c>
      <c r="R65" s="2599" t="s">
        <v>2859</v>
      </c>
    </row>
    <row r="66" spans="1:18" s="1458" customFormat="1" ht="20.25" thickBot="1">
      <c r="A66" s="2445" t="s">
        <v>2746</v>
      </c>
      <c r="B66" s="2409" t="s">
        <v>531</v>
      </c>
      <c r="C66" s="319" t="e">
        <f ca="1">ROUND(C48*F66,0)</f>
        <v>#N/A</v>
      </c>
      <c r="D66" s="2427" t="s">
        <v>535</v>
      </c>
      <c r="E66" s="2409" t="s">
        <v>529</v>
      </c>
      <c r="F66" s="697" t="e">
        <f t="shared" ca="1" si="0"/>
        <v>#N/A</v>
      </c>
      <c r="O66" s="2598" t="s">
        <v>2840</v>
      </c>
      <c r="P66" s="2608" t="s">
        <v>2865</v>
      </c>
      <c r="Q66" s="2599" t="e">
        <f ca="1">L60</f>
        <v>#N/A</v>
      </c>
      <c r="R66" s="2599" t="s">
        <v>2847</v>
      </c>
    </row>
    <row r="67" spans="1:18" s="1458" customFormat="1" ht="24.75" thickBot="1">
      <c r="A67" s="2416" t="s">
        <v>2724</v>
      </c>
      <c r="B67" s="2430" t="s">
        <v>541</v>
      </c>
      <c r="C67" s="701" t="e">
        <f ca="1">C48-C58</f>
        <v>#N/A</v>
      </c>
      <c r="D67" s="2426" t="s">
        <v>542</v>
      </c>
      <c r="E67" s="2431"/>
      <c r="F67" s="2432"/>
      <c r="O67" s="2600" t="s">
        <v>2841</v>
      </c>
      <c r="P67" s="2608" t="s">
        <v>2872</v>
      </c>
      <c r="Q67" s="2603" t="e">
        <f ca="1">L51</f>
        <v>#N/A</v>
      </c>
      <c r="R67" s="2604" t="s">
        <v>2882</v>
      </c>
    </row>
    <row r="68" spans="1:18" s="1458" customFormat="1" ht="20.25" thickBot="1">
      <c r="A68" s="2406" t="s">
        <v>2727</v>
      </c>
      <c r="B68" s="2407" t="s">
        <v>543</v>
      </c>
      <c r="C68" s="686" t="e">
        <f ca="1">ROUND(C67*(1-((1+F70)/(1+F68))^F69)/(F68-F70),0)</f>
        <v>#N/A</v>
      </c>
      <c r="D68" s="2428" t="s">
        <v>537</v>
      </c>
      <c r="E68" s="2409" t="s">
        <v>538</v>
      </c>
      <c r="F68" s="697" t="e">
        <f ca="1">F40</f>
        <v>#N/A</v>
      </c>
      <c r="O68" s="2600" t="s">
        <v>2842</v>
      </c>
      <c r="P68" s="2609" t="s">
        <v>2876</v>
      </c>
      <c r="Q68" s="2599" t="e">
        <f ca="1">ROUND(Q69-Q70*Q71,0)</f>
        <v>#N/A</v>
      </c>
      <c r="R68" s="2599" t="s">
        <v>2881</v>
      </c>
    </row>
    <row r="69" spans="1:18" s="1458" customFormat="1" ht="15.75" thickBot="1">
      <c r="A69" s="2410"/>
      <c r="B69" s="2411"/>
      <c r="C69" s="691"/>
      <c r="D69" s="2433" t="s">
        <v>1187</v>
      </c>
      <c r="E69" s="2409" t="s">
        <v>545</v>
      </c>
      <c r="F69" s="722" t="e">
        <f ca="1">F41</f>
        <v>#N/A</v>
      </c>
      <c r="O69" s="2600" t="s">
        <v>2850</v>
      </c>
      <c r="P69" s="2609" t="s">
        <v>2866</v>
      </c>
      <c r="Q69" s="2599" t="e">
        <f ca="1">C39</f>
        <v>#N/A</v>
      </c>
      <c r="R69" s="2599" t="s">
        <v>2859</v>
      </c>
    </row>
    <row r="70" spans="1:18" s="1458" customFormat="1" ht="15.75" thickBot="1">
      <c r="A70" s="2413"/>
      <c r="B70" s="2414"/>
      <c r="C70" s="695"/>
      <c r="D70" s="2429"/>
      <c r="E70" s="2409" t="s">
        <v>546</v>
      </c>
      <c r="F70" s="2540" t="e">
        <f ca="1">F42</f>
        <v>#N/A</v>
      </c>
      <c r="O70" s="2600" t="s">
        <v>2851</v>
      </c>
      <c r="P70" s="2609" t="s">
        <v>2867</v>
      </c>
      <c r="Q70" s="2599" t="e">
        <f ca="1">C13</f>
        <v>#N/A</v>
      </c>
      <c r="R70" s="2599" t="s">
        <v>2859</v>
      </c>
    </row>
    <row r="71" spans="1:18" s="1458" customFormat="1" ht="15.75" thickBot="1">
      <c r="A71" s="2434" t="s">
        <v>2734</v>
      </c>
      <c r="B71" s="2435" t="s">
        <v>547</v>
      </c>
      <c r="C71" s="725" t="e">
        <f ca="1">ROUND(C68/F71,0)</f>
        <v>#N/A</v>
      </c>
      <c r="D71" s="2436" t="s">
        <v>548</v>
      </c>
      <c r="E71" s="2437" t="s">
        <v>549</v>
      </c>
      <c r="F71" s="728" t="e">
        <f ca="1">F43</f>
        <v>#N/A</v>
      </c>
      <c r="I71" s="2404"/>
      <c r="K71" s="2404"/>
      <c r="O71" s="2600" t="s">
        <v>2852</v>
      </c>
      <c r="P71" s="2609" t="s">
        <v>2879</v>
      </c>
      <c r="Q71" s="2601" t="e">
        <f ca="1">C76</f>
        <v>#N/A</v>
      </c>
      <c r="R71" s="2599"/>
    </row>
    <row r="72" spans="1:18" s="1458" customFormat="1" ht="15.75" thickBot="1">
      <c r="B72" s="1463"/>
      <c r="C72" s="1463"/>
      <c r="I72" s="2404"/>
      <c r="O72" s="2600" t="s">
        <v>2843</v>
      </c>
      <c r="P72" s="2608" t="s">
        <v>2873</v>
      </c>
      <c r="Q72" s="2601">
        <f>L52</f>
        <v>0.04</v>
      </c>
      <c r="R72" s="2599"/>
    </row>
    <row r="73" spans="1:18" ht="20.25" thickBot="1">
      <c r="A73" s="1458"/>
      <c r="B73" s="1463"/>
      <c r="C73" s="1463"/>
      <c r="D73" s="1458"/>
      <c r="E73" s="1458"/>
      <c r="F73" s="1458"/>
      <c r="I73" s="2594"/>
      <c r="O73" s="2600" t="s">
        <v>2844</v>
      </c>
      <c r="P73" s="2608" t="s">
        <v>2874</v>
      </c>
      <c r="Q73" s="2599">
        <f ca="1">L58</f>
        <v>0</v>
      </c>
      <c r="R73" s="2599" t="s">
        <v>2848</v>
      </c>
    </row>
    <row r="74" spans="1:18" ht="20.25" thickBot="1">
      <c r="A74" s="1458"/>
      <c r="B74" s="730" t="s">
        <v>550</v>
      </c>
      <c r="C74" s="731"/>
      <c r="D74" s="1458"/>
      <c r="E74" s="1458"/>
      <c r="F74" s="1458"/>
      <c r="O74" s="2600" t="s">
        <v>2883</v>
      </c>
      <c r="P74" s="2608" t="s">
        <v>2875</v>
      </c>
      <c r="Q74" s="2599">
        <f ca="1">L59</f>
        <v>0</v>
      </c>
      <c r="R74" s="2599" t="s">
        <v>2849</v>
      </c>
    </row>
    <row r="75" spans="1:18" ht="15.75" thickBot="1">
      <c r="A75" s="1458"/>
      <c r="B75" s="732" t="s">
        <v>1200</v>
      </c>
      <c r="C75" s="733" t="e">
        <f ca="1">ROUND(C13*C76,0)</f>
        <v>#N/A</v>
      </c>
      <c r="D75" s="1458"/>
      <c r="E75" s="1458"/>
      <c r="F75" s="1458"/>
      <c r="K75" s="1459"/>
      <c r="L75" s="1458"/>
      <c r="O75" s="2598" t="s">
        <v>2845</v>
      </c>
      <c r="P75" s="2608" t="s">
        <v>2864</v>
      </c>
      <c r="Q75" s="2599" t="e">
        <f ca="1">Q65+Q66</f>
        <v>#N/A</v>
      </c>
      <c r="R75" s="2599" t="s">
        <v>2846</v>
      </c>
    </row>
    <row r="76" spans="1:18">
      <c r="B76" s="734" t="s">
        <v>1201</v>
      </c>
      <c r="C76" s="735" t="e">
        <f ca="1">INDIRECT("'数据-取费表'!j"&amp;$G$1)</f>
        <v>#N/A</v>
      </c>
      <c r="I76" s="1458"/>
      <c r="J76" s="1458"/>
      <c r="K76" s="1459"/>
      <c r="L76" s="1458"/>
    </row>
    <row r="77" spans="1:18">
      <c r="B77" s="736" t="s">
        <v>1204</v>
      </c>
      <c r="C77" s="737"/>
      <c r="I77" s="1458"/>
      <c r="J77" s="1458"/>
      <c r="K77" s="1459"/>
      <c r="L77" s="1458"/>
    </row>
    <row r="78" spans="1:18">
      <c r="B78" s="649" t="s">
        <v>1190</v>
      </c>
      <c r="C78" s="738"/>
    </row>
    <row r="79" spans="1:18">
      <c r="B79" s="2892" t="s">
        <v>3107</v>
      </c>
      <c r="C79" s="653" t="e">
        <f ca="1">1-C80</f>
        <v>#N/A</v>
      </c>
    </row>
    <row r="80" spans="1:18">
      <c r="B80" s="2892" t="s">
        <v>3108</v>
      </c>
      <c r="C80" s="653" t="e">
        <f ca="1">ROUND(C75/C39,3)</f>
        <v>#N/A</v>
      </c>
    </row>
    <row r="81" spans="2:3">
      <c r="B81" s="649" t="s">
        <v>551</v>
      </c>
      <c r="C81" s="650"/>
    </row>
    <row r="82" spans="2:3">
      <c r="B82" s="2891" t="s">
        <v>3105</v>
      </c>
      <c r="C82" s="654" t="e">
        <f ca="1">1-C83</f>
        <v>#N/A</v>
      </c>
    </row>
    <row r="83" spans="2:3">
      <c r="B83" s="2891" t="s">
        <v>3104</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9" t="s">
        <v>3076</v>
      </c>
      <c r="B1" s="2800"/>
      <c r="C1" s="2800"/>
      <c r="D1" s="2800"/>
      <c r="E1" s="2801"/>
    </row>
    <row r="2" spans="1:5" ht="14.25">
      <c r="A2" s="2802" t="s">
        <v>3077</v>
      </c>
      <c r="B2" s="2796">
        <f ca="1">SUMIF(B6:B13,"&lt;&gt;#ref!",B6:B13)</f>
        <v>239596</v>
      </c>
      <c r="C2" s="2797" t="s">
        <v>3074</v>
      </c>
      <c r="D2" s="2798" t="s">
        <v>3079</v>
      </c>
      <c r="E2" s="2806">
        <f>SUM(E6:E13)</f>
        <v>494831.86999999994</v>
      </c>
    </row>
    <row r="3" spans="1:5" ht="14.25">
      <c r="A3" s="2802" t="s">
        <v>3078</v>
      </c>
      <c r="B3" s="2796">
        <f ca="1">ROUND(B2*10000/E2,0)</f>
        <v>4842</v>
      </c>
      <c r="C3" s="2797" t="s">
        <v>3075</v>
      </c>
      <c r="D3" s="2803"/>
      <c r="E3" s="2807"/>
    </row>
    <row r="4" spans="1:5" ht="14.25">
      <c r="A4" s="2810"/>
      <c r="B4" s="2803"/>
      <c r="C4" s="2803"/>
      <c r="D4" s="2803"/>
      <c r="E4" s="2807"/>
    </row>
    <row r="5" spans="1:5">
      <c r="A5" s="2814" t="s">
        <v>3081</v>
      </c>
      <c r="B5" s="3753" t="s">
        <v>3083</v>
      </c>
      <c r="C5" s="3753"/>
      <c r="D5" s="2813"/>
      <c r="E5" s="2815" t="s">
        <v>3082</v>
      </c>
    </row>
    <row r="6" spans="1:5">
      <c r="A6" s="2811" t="str">
        <f>'数据-取费表'!AN6</f>
        <v>收益法</v>
      </c>
      <c r="B6" s="2805">
        <f ca="1">'数据-取费表'!AO6</f>
        <v>239596</v>
      </c>
      <c r="C6" s="2797" t="s">
        <v>3074</v>
      </c>
      <c r="D6" s="2803"/>
      <c r="E6" s="2806">
        <f>IF(A6=0,0,'数据-取费表'!K6+'数据-取费表'!S6)</f>
        <v>494831.86999999994</v>
      </c>
    </row>
    <row r="7" spans="1:5">
      <c r="A7" s="2811">
        <f>'数据-取费表'!AN7</f>
        <v>0</v>
      </c>
      <c r="B7" s="2805" t="e">
        <f ca="1">'数据-取费表'!AO7</f>
        <v>#REF!</v>
      </c>
      <c r="C7" s="2797" t="s">
        <v>3074</v>
      </c>
      <c r="D7" s="2803"/>
      <c r="E7" s="2806">
        <f>IF(A7=0,0,'数据-取费表'!K7+'数据-取费表'!S7)</f>
        <v>0</v>
      </c>
    </row>
    <row r="8" spans="1:5">
      <c r="A8" s="2811">
        <f>'数据-取费表'!AN8</f>
        <v>0</v>
      </c>
      <c r="B8" s="2805" t="e">
        <f ca="1">'数据-取费表'!AO8</f>
        <v>#REF!</v>
      </c>
      <c r="C8" s="2797" t="s">
        <v>3074</v>
      </c>
      <c r="D8" s="2803"/>
      <c r="E8" s="2806">
        <f>IF(A8=0,0,'数据-取费表'!K8+'数据-取费表'!S8)</f>
        <v>0</v>
      </c>
    </row>
    <row r="9" spans="1:5">
      <c r="A9" s="2811">
        <f>'数据-取费表'!AN9</f>
        <v>0</v>
      </c>
      <c r="B9" s="2805" t="e">
        <f ca="1">'数据-取费表'!AO9</f>
        <v>#REF!</v>
      </c>
      <c r="C9" s="2797" t="s">
        <v>3074</v>
      </c>
      <c r="D9" s="2803"/>
      <c r="E9" s="2806">
        <f>IF(A9=0,0,'数据-取费表'!K9+'数据-取费表'!S9)</f>
        <v>0</v>
      </c>
    </row>
    <row r="10" spans="1:5">
      <c r="A10" s="2811">
        <f>'数据-取费表'!AN10</f>
        <v>0</v>
      </c>
      <c r="B10" s="2805" t="e">
        <f ca="1">'数据-取费表'!AO10</f>
        <v>#REF!</v>
      </c>
      <c r="C10" s="2797" t="s">
        <v>3074</v>
      </c>
      <c r="D10" s="2803"/>
      <c r="E10" s="2806">
        <f>IF(A10=0,0,'数据-取费表'!K10+'数据-取费表'!S10)</f>
        <v>0</v>
      </c>
    </row>
    <row r="11" spans="1:5">
      <c r="A11" s="2811">
        <f>'数据-取费表'!AN11</f>
        <v>0</v>
      </c>
      <c r="B11" s="2805" t="e">
        <f ca="1">'数据-取费表'!AO11</f>
        <v>#REF!</v>
      </c>
      <c r="C11" s="2797" t="s">
        <v>3074</v>
      </c>
      <c r="D11" s="2803"/>
      <c r="E11" s="2806">
        <f>IF(A11=0,0,'数据-取费表'!K11+'数据-取费表'!S11)</f>
        <v>0</v>
      </c>
    </row>
    <row r="12" spans="1:5">
      <c r="A12" s="2811">
        <f>'数据-取费表'!AN12</f>
        <v>0</v>
      </c>
      <c r="B12" s="2805" t="e">
        <f ca="1">'数据-取费表'!AO12</f>
        <v>#REF!</v>
      </c>
      <c r="C12" s="2797" t="s">
        <v>3074</v>
      </c>
      <c r="D12" s="2803"/>
      <c r="E12" s="2806">
        <f>IF(A12=0,0,'数据-取费表'!K12+'数据-取费表'!S12)</f>
        <v>0</v>
      </c>
    </row>
    <row r="13" spans="1:5" ht="14.25" thickBot="1">
      <c r="A13" s="2812">
        <f>'数据-取费表'!AN13</f>
        <v>0</v>
      </c>
      <c r="B13" s="2808" t="e">
        <f ca="1">'数据-取费表'!AO13</f>
        <v>#REF!</v>
      </c>
      <c r="C13" s="2816" t="s">
        <v>3074</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4"/>
  <sheetViews>
    <sheetView topLeftCell="A17" workbookViewId="0">
      <selection activeCell="K41" sqref="K41"/>
    </sheetView>
  </sheetViews>
  <sheetFormatPr defaultRowHeight="13.5"/>
  <cols>
    <col min="1" max="1" width="10.5" customWidth="1"/>
    <col min="2" max="2" width="12.875" customWidth="1"/>
    <col min="3" max="3" width="13" customWidth="1"/>
    <col min="4" max="4" width="15.125" customWidth="1"/>
    <col min="5" max="5" width="17.75" customWidth="1"/>
    <col min="6" max="6" width="10.5" bestFit="1" customWidth="1"/>
  </cols>
  <sheetData>
    <row r="1" spans="1:9" ht="14.25">
      <c r="A1" s="3754" t="s">
        <v>2949</v>
      </c>
      <c r="B1" s="3755"/>
      <c r="C1" s="3756"/>
      <c r="D1" s="3757">
        <f>SUM(I10,I15,I20,I21,I23)</f>
        <v>0</v>
      </c>
      <c r="E1" s="3757"/>
      <c r="F1" s="3757"/>
      <c r="G1" s="3757"/>
      <c r="H1" s="3757"/>
      <c r="I1" s="3758"/>
    </row>
    <row r="2" spans="1:9">
      <c r="A2" s="3759" t="s">
        <v>2950</v>
      </c>
      <c r="B2" s="3760" t="s">
        <v>2951</v>
      </c>
      <c r="C2" s="3760"/>
      <c r="D2" s="2653" t="s">
        <v>2952</v>
      </c>
      <c r="E2" s="2653" t="s">
        <v>2953</v>
      </c>
      <c r="F2" s="2653" t="s">
        <v>2954</v>
      </c>
      <c r="G2" s="2653" t="s">
        <v>2955</v>
      </c>
      <c r="H2" s="2653" t="s">
        <v>2956</v>
      </c>
      <c r="I2" s="2654" t="s">
        <v>2957</v>
      </c>
    </row>
    <row r="3" spans="1:9">
      <c r="A3" s="3759"/>
      <c r="B3" s="3760" t="s">
        <v>2958</v>
      </c>
      <c r="C3" s="3760"/>
      <c r="D3" s="2655"/>
      <c r="E3" s="2653"/>
      <c r="F3" s="2656"/>
      <c r="G3" s="2656"/>
      <c r="H3" s="2657"/>
      <c r="I3" s="2658">
        <f>ROUND(D3*E3*F3*G3*H3/10000,0)</f>
        <v>0</v>
      </c>
    </row>
    <row r="4" spans="1:9">
      <c r="A4" s="3759"/>
      <c r="B4" s="3760" t="s">
        <v>2959</v>
      </c>
      <c r="C4" s="3760"/>
      <c r="D4" s="2655"/>
      <c r="E4" s="2653"/>
      <c r="F4" s="2656"/>
      <c r="G4" s="2656"/>
      <c r="H4" s="2657"/>
      <c r="I4" s="2658">
        <f t="shared" ref="I4:I9" si="0">ROUND(D4*E4*F4*G4*H4/10000,0)</f>
        <v>0</v>
      </c>
    </row>
    <row r="5" spans="1:9">
      <c r="A5" s="3759"/>
      <c r="B5" s="3760" t="s">
        <v>2960</v>
      </c>
      <c r="C5" s="3760"/>
      <c r="D5" s="2655"/>
      <c r="E5" s="2653"/>
      <c r="F5" s="2656"/>
      <c r="G5" s="2656"/>
      <c r="H5" s="2657"/>
      <c r="I5" s="2658">
        <f t="shared" si="0"/>
        <v>0</v>
      </c>
    </row>
    <row r="6" spans="1:9">
      <c r="A6" s="3759"/>
      <c r="B6" s="3760" t="s">
        <v>2961</v>
      </c>
      <c r="C6" s="3760"/>
      <c r="D6" s="2655"/>
      <c r="E6" s="2653"/>
      <c r="F6" s="2656"/>
      <c r="G6" s="2656"/>
      <c r="H6" s="2657"/>
      <c r="I6" s="2658">
        <f t="shared" si="0"/>
        <v>0</v>
      </c>
    </row>
    <row r="7" spans="1:9">
      <c r="A7" s="3759"/>
      <c r="B7" s="3760" t="s">
        <v>2962</v>
      </c>
      <c r="C7" s="3760"/>
      <c r="D7" s="2655"/>
      <c r="E7" s="2653"/>
      <c r="F7" s="2656"/>
      <c r="G7" s="2656"/>
      <c r="H7" s="2657"/>
      <c r="I7" s="2658">
        <f t="shared" si="0"/>
        <v>0</v>
      </c>
    </row>
    <row r="8" spans="1:9">
      <c r="A8" s="3759"/>
      <c r="B8" s="3760" t="s">
        <v>2963</v>
      </c>
      <c r="C8" s="3760"/>
      <c r="D8" s="2655"/>
      <c r="E8" s="2653"/>
      <c r="F8" s="2656"/>
      <c r="G8" s="2656"/>
      <c r="H8" s="2657"/>
      <c r="I8" s="2658">
        <f t="shared" si="0"/>
        <v>0</v>
      </c>
    </row>
    <row r="9" spans="1:9">
      <c r="A9" s="3759"/>
      <c r="B9" s="3760" t="s">
        <v>2964</v>
      </c>
      <c r="C9" s="3760"/>
      <c r="D9" s="2655"/>
      <c r="E9" s="2653"/>
      <c r="F9" s="2656"/>
      <c r="G9" s="2656"/>
      <c r="H9" s="2657"/>
      <c r="I9" s="2658">
        <f t="shared" si="0"/>
        <v>0</v>
      </c>
    </row>
    <row r="10" spans="1:9">
      <c r="A10" s="3759"/>
      <c r="B10" s="3761" t="s">
        <v>2965</v>
      </c>
      <c r="C10" s="3761"/>
      <c r="D10" s="2659">
        <v>527</v>
      </c>
      <c r="E10" s="2659" t="e">
        <f>ROUND(D1*10000/D10/H9,0)</f>
        <v>#DIV/0!</v>
      </c>
      <c r="F10" s="2660"/>
      <c r="G10" s="2660"/>
      <c r="H10" s="2661"/>
      <c r="I10" s="2662">
        <f>SUM(I3:I9)</f>
        <v>0</v>
      </c>
    </row>
    <row r="11" spans="1:9" ht="14.25">
      <c r="A11" s="3759" t="s">
        <v>2966</v>
      </c>
      <c r="B11" s="3760" t="s">
        <v>2967</v>
      </c>
      <c r="C11" s="3760"/>
      <c r="D11" s="2655" t="s">
        <v>2968</v>
      </c>
      <c r="E11" s="2655" t="s">
        <v>2969</v>
      </c>
      <c r="F11" s="2656" t="s">
        <v>2970</v>
      </c>
      <c r="G11" s="2656" t="s">
        <v>2956</v>
      </c>
      <c r="H11" s="2663" t="s">
        <v>2971</v>
      </c>
      <c r="I11" s="2654" t="s">
        <v>2957</v>
      </c>
    </row>
    <row r="12" spans="1:9">
      <c r="A12" s="3759"/>
      <c r="B12" s="3760" t="s">
        <v>2972</v>
      </c>
      <c r="C12" s="3760"/>
      <c r="D12" s="2655"/>
      <c r="E12" s="2655"/>
      <c r="F12" s="2656"/>
      <c r="G12" s="2657"/>
      <c r="H12" s="2664"/>
      <c r="I12" s="2654">
        <f>ROUND(D12*E12*F12*G12/10000,0)</f>
        <v>0</v>
      </c>
    </row>
    <row r="13" spans="1:9">
      <c r="A13" s="3759"/>
      <c r="B13" s="3760" t="s">
        <v>2973</v>
      </c>
      <c r="C13" s="3760"/>
      <c r="D13" s="2655"/>
      <c r="E13" s="2655"/>
      <c r="F13" s="2656"/>
      <c r="G13" s="2657"/>
      <c r="H13" s="2664"/>
      <c r="I13" s="2654">
        <f>ROUND(D13*E13*F13*G13/10000,0)</f>
        <v>0</v>
      </c>
    </row>
    <row r="14" spans="1:9">
      <c r="A14" s="3759"/>
      <c r="B14" s="3760" t="s">
        <v>2974</v>
      </c>
      <c r="C14" s="3760"/>
      <c r="D14" s="2655"/>
      <c r="E14" s="2655"/>
      <c r="F14" s="2656"/>
      <c r="G14" s="2657"/>
      <c r="H14" s="2664"/>
      <c r="I14" s="2654">
        <f>ROUND(D14*E14*F14*G14/10000,0)</f>
        <v>0</v>
      </c>
    </row>
    <row r="15" spans="1:9">
      <c r="A15" s="3759"/>
      <c r="B15" s="3761" t="s">
        <v>2965</v>
      </c>
      <c r="C15" s="3761"/>
      <c r="D15" s="2659"/>
      <c r="E15" s="2659">
        <f>SUM(E12:E14)</f>
        <v>0</v>
      </c>
      <c r="F15" s="2660"/>
      <c r="G15" s="2657"/>
      <c r="H15" s="2664"/>
      <c r="I15" s="2665">
        <f>SUM(I12:I14)</f>
        <v>0</v>
      </c>
    </row>
    <row r="16" spans="1:9" ht="14.25">
      <c r="A16" s="3759" t="s">
        <v>2975</v>
      </c>
      <c r="B16" s="3760" t="s">
        <v>2976</v>
      </c>
      <c r="C16" s="3760"/>
      <c r="D16" s="2655" t="s">
        <v>2952</v>
      </c>
      <c r="E16" s="2666" t="s">
        <v>2977</v>
      </c>
      <c r="F16" s="2656" t="s">
        <v>2978</v>
      </c>
      <c r="G16" s="2657" t="s">
        <v>2956</v>
      </c>
      <c r="H16" s="2663" t="s">
        <v>2971</v>
      </c>
      <c r="I16" s="2654" t="s">
        <v>2957</v>
      </c>
    </row>
    <row r="17" spans="1:9" ht="14.25">
      <c r="A17" s="3759"/>
      <c r="B17" s="3760" t="s">
        <v>2979</v>
      </c>
      <c r="C17" s="3760"/>
      <c r="D17" s="2655"/>
      <c r="E17" s="2655"/>
      <c r="F17" s="2656"/>
      <c r="G17" s="2657"/>
      <c r="H17" s="2667"/>
      <c r="I17" s="2668">
        <f>ROUND(D17*E17*F17*G17/10000,0)</f>
        <v>0</v>
      </c>
    </row>
    <row r="18" spans="1:9" ht="14.25">
      <c r="A18" s="3759"/>
      <c r="B18" s="3760" t="s">
        <v>2980</v>
      </c>
      <c r="C18" s="3760"/>
      <c r="D18" s="2655"/>
      <c r="E18" s="2655"/>
      <c r="F18" s="2656"/>
      <c r="G18" s="2657"/>
      <c r="H18" s="2667"/>
      <c r="I18" s="2668">
        <f>ROUND(D18*E18*F18*G18/10000,0)</f>
        <v>0</v>
      </c>
    </row>
    <row r="19" spans="1:9" ht="14.25">
      <c r="A19" s="3759"/>
      <c r="B19" s="3760" t="s">
        <v>2981</v>
      </c>
      <c r="C19" s="3760"/>
      <c r="D19" s="2655"/>
      <c r="E19" s="2655"/>
      <c r="F19" s="2656"/>
      <c r="G19" s="2657"/>
      <c r="H19" s="2667"/>
      <c r="I19" s="2668">
        <f>ROUND(D19*E19*F19*G19/10000,0)</f>
        <v>0</v>
      </c>
    </row>
    <row r="20" spans="1:9">
      <c r="A20" s="3759"/>
      <c r="B20" s="3761" t="s">
        <v>2965</v>
      </c>
      <c r="C20" s="3761"/>
      <c r="D20" s="2659">
        <f>SUM(D17:D19)</f>
        <v>0</v>
      </c>
      <c r="E20" s="2659"/>
      <c r="F20" s="2660"/>
      <c r="G20" s="2657"/>
      <c r="H20" s="2664"/>
      <c r="I20" s="2665">
        <f>SUM(I17:I19)</f>
        <v>0</v>
      </c>
    </row>
    <row r="21" spans="1:9">
      <c r="A21" s="3759" t="s">
        <v>2982</v>
      </c>
      <c r="B21" s="3763"/>
      <c r="C21" s="3763"/>
      <c r="D21" s="3763"/>
      <c r="E21" s="3763"/>
      <c r="F21" s="3763"/>
      <c r="G21" s="3763"/>
      <c r="H21" s="2669">
        <v>0.1</v>
      </c>
      <c r="I21" s="2662">
        <f>ROUND(I10*H21,0)</f>
        <v>0</v>
      </c>
    </row>
    <row r="22" spans="1:9" ht="14.25">
      <c r="A22" s="3764" t="s">
        <v>2983</v>
      </c>
      <c r="B22" s="3765"/>
      <c r="C22" s="3766"/>
      <c r="D22" s="2670" t="s">
        <v>2984</v>
      </c>
      <c r="E22" s="2670" t="s">
        <v>2985</v>
      </c>
      <c r="F22" s="2671" t="s">
        <v>2986</v>
      </c>
      <c r="G22" s="2671" t="s">
        <v>2987</v>
      </c>
      <c r="H22" s="2663" t="s">
        <v>2988</v>
      </c>
      <c r="I22" s="2654" t="s">
        <v>2989</v>
      </c>
    </row>
    <row r="23" spans="1:9" ht="14.25" thickBot="1">
      <c r="A23" s="3767"/>
      <c r="B23" s="3768"/>
      <c r="C23" s="3769"/>
      <c r="D23" s="2672"/>
      <c r="E23" s="2672"/>
      <c r="F23" s="2672"/>
      <c r="G23" s="2673"/>
      <c r="H23" s="2674"/>
      <c r="I23" s="2675">
        <f>ROUND(E23*D23*F23*(1-G23)/10000,0)</f>
        <v>0</v>
      </c>
    </row>
    <row r="26" spans="1:9">
      <c r="A26" s="2676" t="s">
        <v>2990</v>
      </c>
      <c r="B26" s="2676"/>
      <c r="C26" s="2676"/>
      <c r="D26" s="2676"/>
      <c r="E26" s="3770">
        <f>C27-C30-C31-C32</f>
        <v>94779773.026000023</v>
      </c>
      <c r="F26" s="3770"/>
      <c r="G26" s="3770"/>
      <c r="H26" s="3273" t="s">
        <v>3372</v>
      </c>
    </row>
    <row r="27" spans="1:9">
      <c r="A27" s="2677">
        <v>1</v>
      </c>
      <c r="B27" s="2678" t="s">
        <v>2991</v>
      </c>
      <c r="C27" s="2678">
        <f>F44</f>
        <v>157966288.37666669</v>
      </c>
      <c r="D27" s="2678"/>
      <c r="E27" s="3771"/>
      <c r="F27" s="3771"/>
      <c r="G27" s="3771"/>
    </row>
    <row r="28" spans="1:9">
      <c r="A28" s="2679" t="s">
        <v>2992</v>
      </c>
      <c r="B28" s="2678" t="s">
        <v>2993</v>
      </c>
      <c r="C28" s="2678"/>
      <c r="D28" s="2678"/>
      <c r="E28" s="3771"/>
      <c r="F28" s="3771"/>
      <c r="G28" s="3771"/>
    </row>
    <row r="29" spans="1:9">
      <c r="A29" s="2679" t="s">
        <v>2994</v>
      </c>
      <c r="B29" s="2678" t="s">
        <v>2995</v>
      </c>
      <c r="C29" s="2678"/>
      <c r="D29" s="2678"/>
      <c r="E29" s="2678" t="s">
        <v>2996</v>
      </c>
      <c r="F29" s="2678"/>
      <c r="G29" s="2678"/>
    </row>
    <row r="30" spans="1:9">
      <c r="A30" s="2677">
        <v>2</v>
      </c>
      <c r="B30" s="2678" t="s">
        <v>2997</v>
      </c>
      <c r="C30" s="2678">
        <f>C27*D30</f>
        <v>31593257.67533334</v>
      </c>
      <c r="D30" s="2680">
        <v>0.2</v>
      </c>
      <c r="E30" s="2678" t="s">
        <v>2998</v>
      </c>
      <c r="F30" s="2678"/>
      <c r="G30" s="2678"/>
    </row>
    <row r="31" spans="1:9">
      <c r="A31" s="2677">
        <v>3</v>
      </c>
      <c r="B31" s="2678" t="s">
        <v>2999</v>
      </c>
      <c r="C31" s="2678">
        <f>C25*D31</f>
        <v>0</v>
      </c>
      <c r="D31" s="2680">
        <v>0.1</v>
      </c>
      <c r="E31" s="2678" t="s">
        <v>3000</v>
      </c>
      <c r="F31" s="2678"/>
      <c r="G31" s="2678"/>
    </row>
    <row r="32" spans="1:9">
      <c r="A32" s="2677">
        <v>4</v>
      </c>
      <c r="B32" s="2678" t="s">
        <v>3001</v>
      </c>
      <c r="C32" s="2678">
        <f>C27*D32</f>
        <v>31593257.67533334</v>
      </c>
      <c r="D32" s="3477">
        <v>0.2</v>
      </c>
      <c r="E32" s="3762"/>
      <c r="F32" s="3762"/>
      <c r="G32" s="3762"/>
    </row>
    <row r="33" spans="1:9" hidden="1">
      <c r="A33" s="3772" t="s">
        <v>3002</v>
      </c>
      <c r="B33" s="3773"/>
      <c r="C33" s="3773"/>
      <c r="D33" s="3774"/>
      <c r="E33" s="3770"/>
      <c r="F33" s="3770"/>
      <c r="G33" s="3770"/>
    </row>
    <row r="34" spans="1:9" hidden="1">
      <c r="A34" s="2681">
        <v>1</v>
      </c>
      <c r="B34" s="2678" t="s">
        <v>3003</v>
      </c>
      <c r="C34" s="2678"/>
      <c r="D34" s="2678"/>
      <c r="E34" s="3771"/>
      <c r="F34" s="3771"/>
      <c r="G34" s="3771"/>
    </row>
    <row r="35" spans="1:9" hidden="1">
      <c r="A35" s="2681">
        <v>2</v>
      </c>
      <c r="B35" s="2678" t="s">
        <v>3004</v>
      </c>
      <c r="C35" s="2678"/>
      <c r="D35" s="2678"/>
      <c r="E35" s="3771"/>
      <c r="F35" s="3771"/>
      <c r="G35" s="3771"/>
    </row>
    <row r="36" spans="1:9" hidden="1">
      <c r="A36" s="2681">
        <v>3</v>
      </c>
      <c r="B36" s="2678" t="s">
        <v>3005</v>
      </c>
      <c r="C36" s="2678"/>
      <c r="D36" s="2678"/>
      <c r="E36" s="3771"/>
      <c r="F36" s="3771"/>
      <c r="G36" s="3771"/>
    </row>
    <row r="37" spans="1:9" hidden="1">
      <c r="A37" s="2681">
        <v>4</v>
      </c>
      <c r="B37" s="2678" t="s">
        <v>3006</v>
      </c>
      <c r="C37" s="2678"/>
      <c r="D37" s="2678"/>
      <c r="E37" s="3771"/>
      <c r="F37" s="3771"/>
      <c r="G37" s="3771"/>
    </row>
    <row r="38" spans="1:9" hidden="1">
      <c r="A38" s="3772" t="s">
        <v>3007</v>
      </c>
      <c r="B38" s="3773"/>
      <c r="C38" s="3773"/>
      <c r="D38" s="3774"/>
      <c r="E38" s="3770"/>
      <c r="F38" s="3770"/>
      <c r="G38" s="3770"/>
    </row>
    <row r="41" spans="1:9">
      <c r="C41">
        <v>2014</v>
      </c>
      <c r="D41">
        <v>2015</v>
      </c>
      <c r="E41">
        <v>2016</v>
      </c>
    </row>
    <row r="42" spans="1:9">
      <c r="B42" s="3475" t="s">
        <v>4024</v>
      </c>
      <c r="C42">
        <v>64340141.229999997</v>
      </c>
      <c r="D42">
        <v>113908631.48</v>
      </c>
      <c r="E42">
        <v>115727485.09</v>
      </c>
    </row>
    <row r="43" spans="1:9">
      <c r="B43" s="3475" t="s">
        <v>4025</v>
      </c>
      <c r="C43">
        <v>78509614.519999996</v>
      </c>
      <c r="D43">
        <v>54930155.229999997</v>
      </c>
      <c r="E43">
        <v>46482837.579999998</v>
      </c>
    </row>
    <row r="44" spans="1:9">
      <c r="C44">
        <f>SUM(C42:C43)</f>
        <v>142849755.75</v>
      </c>
      <c r="D44">
        <f t="shared" ref="D44" si="1">SUM(D42:D43)</f>
        <v>168838786.71000001</v>
      </c>
      <c r="E44">
        <f>SUM(E42:E43)</f>
        <v>162210322.67000002</v>
      </c>
      <c r="F44">
        <f>AVERAGE(C44:E44)</f>
        <v>157966288.37666669</v>
      </c>
      <c r="H44" s="3475" t="s">
        <v>4032</v>
      </c>
      <c r="I44">
        <f>E26/'数据-汇总表'!E3/365</f>
        <v>0.52476533298095174</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1205</v>
      </c>
      <c r="B1" s="3123" t="s">
        <v>1206</v>
      </c>
      <c r="C1" s="3124" t="s">
        <v>1207</v>
      </c>
      <c r="D1" s="3125" t="s">
        <v>3366</v>
      </c>
      <c r="E1" s="3126"/>
      <c r="F1" s="3127" t="s">
        <v>3099</v>
      </c>
      <c r="G1" s="3129" t="s">
        <v>1208</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1209</v>
      </c>
      <c r="B2" s="2863">
        <f ca="1">IF(C2="——",ROUND(C49*D3/10000,0),ROUND(C49*D3/10000,0)-D2)</f>
        <v>72028</v>
      </c>
      <c r="C2" s="3119" t="s">
        <v>3101</v>
      </c>
      <c r="D2" s="2740">
        <f ca="1">SUMIF(INDIRECT("'"&amp;F2&amp;"'"&amp;"!A:A"),"承租人权益价值",INDIRECT("'"&amp;F2&amp;"'"&amp;"!c:c"))</f>
        <v>-72028</v>
      </c>
      <c r="E2" s="3120" t="s">
        <v>1094</v>
      </c>
      <c r="F2" s="3121" t="s">
        <v>2832</v>
      </c>
      <c r="G2" s="2297"/>
      <c r="H2" s="2297"/>
      <c r="I2" s="2297"/>
      <c r="J2" s="2297"/>
      <c r="K2" s="2299"/>
      <c r="L2" s="2300"/>
      <c r="M2" s="2301"/>
      <c r="N2" s="2301"/>
      <c r="O2" s="2301"/>
      <c r="P2" s="1340"/>
      <c r="Q2" s="1339"/>
      <c r="R2" s="1339"/>
      <c r="S2" s="1339"/>
      <c r="T2" s="1339"/>
      <c r="U2" s="1339"/>
      <c r="V2" s="1339"/>
      <c r="W2" s="1339"/>
      <c r="X2" s="1339"/>
      <c r="Y2" s="1339"/>
      <c r="Z2" s="1339"/>
      <c r="AA2" s="1339"/>
      <c r="AB2" s="1339"/>
      <c r="AC2" s="1341"/>
    </row>
    <row r="3" spans="1:29" s="89" customFormat="1" ht="28.5" customHeight="1" thickBot="1">
      <c r="A3" s="87" t="s">
        <v>1210</v>
      </c>
      <c r="B3" s="745" t="e">
        <f ca="1">IF(C2="——",C49,ROUND(B2*10000/D3,0))</f>
        <v>#DIV/0!</v>
      </c>
      <c r="C3" s="142" t="s">
        <v>1211</v>
      </c>
      <c r="D3" s="745">
        <f>IF(D1="",'数据-汇总表'!E3,SUMIF('数据-汇总表'!$C19:$C33,D1,'数据-汇总表'!$E19:$E33))</f>
        <v>0</v>
      </c>
      <c r="E3" s="2297"/>
      <c r="F3" s="2298"/>
      <c r="G3" s="2297"/>
      <c r="H3" s="2297"/>
      <c r="I3" s="2297"/>
      <c r="J3" s="2297"/>
      <c r="K3" s="2299"/>
      <c r="L3" s="2300"/>
      <c r="M3" s="2301"/>
      <c r="N3" s="2301"/>
      <c r="O3" s="2301"/>
      <c r="P3" s="1340"/>
      <c r="Q3" s="1339"/>
      <c r="R3" s="1339"/>
      <c r="S3" s="1339"/>
      <c r="T3" s="1339"/>
      <c r="U3" s="1339"/>
      <c r="V3" s="1339"/>
      <c r="W3" s="1339"/>
      <c r="X3" s="1339"/>
      <c r="Y3" s="1339"/>
      <c r="Z3" s="1339"/>
      <c r="AA3" s="1339"/>
      <c r="AB3" s="1339"/>
      <c r="AC3" s="1342"/>
    </row>
    <row r="4" spans="1:29">
      <c r="A4" s="143" t="s">
        <v>1212</v>
      </c>
      <c r="B4" s="144"/>
      <c r="C4" s="3793" t="s">
        <v>1213</v>
      </c>
      <c r="D4" s="3794"/>
      <c r="E4" s="3795" t="s">
        <v>1214</v>
      </c>
      <c r="F4" s="3796"/>
      <c r="G4" s="3793" t="s">
        <v>1215</v>
      </c>
      <c r="H4" s="3794"/>
      <c r="I4" s="3793" t="s">
        <v>1216</v>
      </c>
      <c r="J4" s="3794"/>
      <c r="K4" s="145" t="s">
        <v>1217</v>
      </c>
      <c r="L4" s="2302"/>
      <c r="M4" s="2303"/>
      <c r="N4" s="2303"/>
      <c r="O4" s="2303"/>
      <c r="P4" s="3797" t="s">
        <v>1212</v>
      </c>
      <c r="Q4" s="3798"/>
      <c r="R4" s="3780" t="s">
        <v>1214</v>
      </c>
      <c r="S4" s="3781"/>
      <c r="T4" s="3780" t="s">
        <v>1215</v>
      </c>
      <c r="U4" s="3781"/>
      <c r="V4" s="3805" t="s">
        <v>1216</v>
      </c>
      <c r="W4" s="3805"/>
      <c r="X4" s="1343"/>
      <c r="Y4" s="3780" t="s">
        <v>1212</v>
      </c>
      <c r="Z4" s="3781"/>
      <c r="AA4" s="3775" t="s">
        <v>1214</v>
      </c>
      <c r="AB4" s="3775" t="s">
        <v>1215</v>
      </c>
      <c r="AC4" s="3775" t="s">
        <v>1216</v>
      </c>
    </row>
    <row r="5" spans="1:29">
      <c r="A5" s="146"/>
      <c r="B5" s="147"/>
      <c r="C5" s="3786" t="s">
        <v>1218</v>
      </c>
      <c r="D5" s="3787"/>
      <c r="E5" s="3784" t="s">
        <v>1219</v>
      </c>
      <c r="F5" s="3785"/>
      <c r="G5" s="3786" t="s">
        <v>1220</v>
      </c>
      <c r="H5" s="3787"/>
      <c r="I5" s="3786" t="s">
        <v>1221</v>
      </c>
      <c r="J5" s="3787"/>
      <c r="K5" s="152"/>
      <c r="L5" s="2302"/>
      <c r="M5" s="2303"/>
      <c r="N5" s="2303"/>
      <c r="O5" s="2303"/>
      <c r="P5" s="3799"/>
      <c r="Q5" s="3800"/>
      <c r="R5" s="3782"/>
      <c r="S5" s="3783"/>
      <c r="T5" s="3782"/>
      <c r="U5" s="3783"/>
      <c r="V5" s="3805"/>
      <c r="W5" s="3805"/>
      <c r="X5" s="1343"/>
      <c r="Y5" s="3782"/>
      <c r="Z5" s="3783"/>
      <c r="AA5" s="3776"/>
      <c r="AB5" s="3776"/>
      <c r="AC5" s="3776"/>
    </row>
    <row r="6" spans="1:29" ht="14.25" thickBot="1">
      <c r="A6" s="148"/>
      <c r="B6" s="149"/>
      <c r="C6" s="3788" t="s">
        <v>1222</v>
      </c>
      <c r="D6" s="3789"/>
      <c r="E6" s="3790" t="s">
        <v>1222</v>
      </c>
      <c r="F6" s="3791"/>
      <c r="G6" s="3788" t="s">
        <v>1222</v>
      </c>
      <c r="H6" s="3789"/>
      <c r="I6" s="3788" t="s">
        <v>1222</v>
      </c>
      <c r="J6" s="3789"/>
      <c r="K6" s="152" t="s">
        <v>1223</v>
      </c>
      <c r="L6" s="2302"/>
      <c r="M6" s="2303"/>
      <c r="N6" s="2303"/>
      <c r="O6" s="2303"/>
      <c r="P6" s="3801"/>
      <c r="Q6" s="3802"/>
      <c r="R6" s="3782"/>
      <c r="S6" s="3783"/>
      <c r="T6" s="3803"/>
      <c r="U6" s="3804"/>
      <c r="V6" s="3805"/>
      <c r="W6" s="3805"/>
      <c r="X6" s="1343"/>
      <c r="Y6" s="3803"/>
      <c r="Z6" s="3804"/>
      <c r="AA6" s="3777"/>
      <c r="AB6" s="3777"/>
      <c r="AC6" s="3777"/>
    </row>
    <row r="7" spans="1:29" s="40" customFormat="1" ht="15" thickBot="1">
      <c r="A7" s="1017" t="s">
        <v>1224</v>
      </c>
      <c r="B7" s="1018"/>
      <c r="C7" s="1019">
        <f>'数据-取费表'!B2</f>
        <v>42906</v>
      </c>
      <c r="D7" s="757">
        <v>100</v>
      </c>
      <c r="E7" s="1020">
        <v>42736</v>
      </c>
      <c r="F7" s="759">
        <f>SUMIF(58:58,YEAR(E7)&amp;"-"&amp;MONTH(E7),59:59)</f>
        <v>99</v>
      </c>
      <c r="G7" s="1020">
        <v>42736</v>
      </c>
      <c r="H7" s="757">
        <f>SUMIF(58:58,YEAR(G7)&amp;"-"&amp;MONTH(G7),59:59)</f>
        <v>99</v>
      </c>
      <c r="I7" s="1020">
        <v>42736</v>
      </c>
      <c r="J7" s="757">
        <f>SUMIF(58:58,YEAR(I7)&amp;"-"&amp;MONTH(I7),59:59)</f>
        <v>99</v>
      </c>
      <c r="K7" s="1344"/>
      <c r="L7" s="2304"/>
      <c r="M7" s="2266"/>
      <c r="N7" s="2266"/>
      <c r="O7" s="2266"/>
      <c r="P7" s="3778" t="s">
        <v>1224</v>
      </c>
      <c r="Q7" s="3806"/>
      <c r="R7" s="1345" t="s">
        <v>165</v>
      </c>
      <c r="S7" s="1346">
        <f t="shared" ref="S7:S15" si="0">F7</f>
        <v>99</v>
      </c>
      <c r="T7" s="1345" t="s">
        <v>165</v>
      </c>
      <c r="U7" s="1346">
        <f t="shared" ref="U7:U15" si="1">H7</f>
        <v>99</v>
      </c>
      <c r="V7" s="1345" t="s">
        <v>165</v>
      </c>
      <c r="W7" s="1346">
        <f t="shared" ref="W7:W15" si="2">J7</f>
        <v>99</v>
      </c>
      <c r="X7" s="293"/>
      <c r="Y7" s="3778" t="s">
        <v>1224</v>
      </c>
      <c r="Z7" s="3779"/>
      <c r="AA7" s="1347">
        <f>D7/F7</f>
        <v>1.0101010101010102</v>
      </c>
      <c r="AB7" s="1347">
        <f>D7/H7</f>
        <v>1.0101010101010102</v>
      </c>
      <c r="AC7" s="1347">
        <f>D7/J7</f>
        <v>1.0101010101010102</v>
      </c>
    </row>
    <row r="8" spans="1:29" s="40" customFormat="1" ht="15" thickBot="1">
      <c r="A8" s="1017" t="s">
        <v>1225</v>
      </c>
      <c r="B8" s="1018"/>
      <c r="C8" s="1023" t="s">
        <v>260</v>
      </c>
      <c r="D8" s="757">
        <v>100</v>
      </c>
      <c r="E8" s="1348" t="s">
        <v>259</v>
      </c>
      <c r="F8" s="759">
        <f>SUMIF(61:61,E8,62:62)-SUMIF(61:61,C8,62:62)+100</f>
        <v>102</v>
      </c>
      <c r="G8" s="1023" t="s">
        <v>259</v>
      </c>
      <c r="H8" s="757">
        <f>SUMIF(61:61,G8,62:62)-SUMIF(61:61,C8,62:62)+100</f>
        <v>102</v>
      </c>
      <c r="I8" s="1348" t="s">
        <v>259</v>
      </c>
      <c r="J8" s="757">
        <f>SUMIF(61:61,I8,62:62)-SUMIF(61:61,C8,62:62)+100</f>
        <v>102</v>
      </c>
      <c r="K8" s="1344"/>
      <c r="L8" s="2304"/>
      <c r="M8" s="2266"/>
      <c r="N8" s="2266"/>
      <c r="O8" s="2266"/>
      <c r="P8" s="3778" t="s">
        <v>1225</v>
      </c>
      <c r="Q8" s="3779"/>
      <c r="R8" s="1345" t="s">
        <v>165</v>
      </c>
      <c r="S8" s="1346">
        <f t="shared" si="0"/>
        <v>102</v>
      </c>
      <c r="T8" s="1345" t="s">
        <v>165</v>
      </c>
      <c r="U8" s="1346">
        <f t="shared" si="1"/>
        <v>102</v>
      </c>
      <c r="V8" s="1345" t="s">
        <v>165</v>
      </c>
      <c r="W8" s="1346">
        <f t="shared" si="2"/>
        <v>102</v>
      </c>
      <c r="X8" s="293"/>
      <c r="Y8" s="3778" t="s">
        <v>1225</v>
      </c>
      <c r="Z8" s="3779"/>
      <c r="AA8" s="1347">
        <f t="shared" ref="AA8:AA19" si="3">D8/F8</f>
        <v>0.98039215686274506</v>
      </c>
      <c r="AB8" s="1347">
        <f t="shared" ref="AB8:AB19" si="4">D8/H8</f>
        <v>0.98039215686274506</v>
      </c>
      <c r="AC8" s="1347">
        <f t="shared" ref="AC8:AC19" si="5">D8/J8</f>
        <v>0.98039215686274506</v>
      </c>
    </row>
    <row r="9" spans="1:29" s="40" customFormat="1" ht="14.25">
      <c r="A9" s="1024" t="s">
        <v>1226</v>
      </c>
      <c r="B9" s="62" t="s">
        <v>1227</v>
      </c>
      <c r="C9" s="1349" t="s">
        <v>42</v>
      </c>
      <c r="D9" s="428">
        <v>100</v>
      </c>
      <c r="E9" s="1350" t="s">
        <v>277</v>
      </c>
      <c r="F9" s="764">
        <f>SUMIF(63:63,E9,64:64)-SUMIF(63:63,C9,64:64)+100</f>
        <v>95</v>
      </c>
      <c r="G9" s="1351" t="s">
        <v>277</v>
      </c>
      <c r="H9" s="428">
        <f>SUMIF(63:63,G9,64:64)-SUMIF(63:63,C9,64:64)+100</f>
        <v>95</v>
      </c>
      <c r="I9" s="1351" t="s">
        <v>277</v>
      </c>
      <c r="J9" s="428">
        <f>SUMIF(63:63,I9,64:64)-SUMIF(63:63,C9,64:64)+100</f>
        <v>95</v>
      </c>
      <c r="K9" s="1344"/>
      <c r="L9" s="2304"/>
      <c r="M9" s="2266"/>
      <c r="N9" s="2266"/>
      <c r="O9" s="2266"/>
      <c r="P9" s="3792" t="s">
        <v>72</v>
      </c>
      <c r="Q9" s="7" t="str">
        <f t="shared" ref="Q9:Q15" si="6">B9</f>
        <v>用途</v>
      </c>
      <c r="R9" s="1345" t="s">
        <v>70</v>
      </c>
      <c r="S9" s="1346">
        <f t="shared" si="0"/>
        <v>95</v>
      </c>
      <c r="T9" s="1345" t="s">
        <v>70</v>
      </c>
      <c r="U9" s="1346">
        <f t="shared" si="1"/>
        <v>95</v>
      </c>
      <c r="V9" s="1345" t="s">
        <v>70</v>
      </c>
      <c r="W9" s="1346">
        <f t="shared" si="2"/>
        <v>95</v>
      </c>
      <c r="X9" s="293"/>
      <c r="Y9" s="3610" t="s">
        <v>72</v>
      </c>
      <c r="Z9" s="294" t="str">
        <f t="shared" ref="Z9:Z15" si="7">Q9</f>
        <v>用途</v>
      </c>
      <c r="AA9" s="1347">
        <f t="shared" si="3"/>
        <v>1.0526315789473684</v>
      </c>
      <c r="AB9" s="1347">
        <f t="shared" si="4"/>
        <v>1.0526315789473684</v>
      </c>
      <c r="AC9" s="1347">
        <f t="shared" si="5"/>
        <v>1.0526315789473684</v>
      </c>
    </row>
    <row r="10" spans="1:29" s="92" customFormat="1" ht="27">
      <c r="A10" s="150"/>
      <c r="B10" s="12" t="s">
        <v>125</v>
      </c>
      <c r="C10" s="1352" t="s">
        <v>283</v>
      </c>
      <c r="D10" s="429">
        <v>100</v>
      </c>
      <c r="E10" s="1353" t="s">
        <v>171</v>
      </c>
      <c r="F10" s="771">
        <f>SUMIF(65:65,E10,66:66)-SUMIF(65:65,C10,66:66)+100</f>
        <v>102</v>
      </c>
      <c r="G10" s="1352" t="s">
        <v>2793</v>
      </c>
      <c r="H10" s="429">
        <f>SUMIF(65:65,G10,66:66)-SUMIF(65:65,C10,66:66)+100</f>
        <v>101</v>
      </c>
      <c r="I10" s="1352" t="s">
        <v>2793</v>
      </c>
      <c r="J10" s="429">
        <f>SUMIF(65:65,I10,66:66)-SUMIF(65:65,C10,66:66)+100</f>
        <v>101</v>
      </c>
      <c r="K10" s="772">
        <v>1</v>
      </c>
      <c r="L10" s="2305"/>
      <c r="M10" s="2306"/>
      <c r="N10" s="2306"/>
      <c r="O10" s="2306"/>
      <c r="P10" s="3792"/>
      <c r="Q10" s="7" t="str">
        <f t="shared" si="6"/>
        <v>土地使用年限（年）</v>
      </c>
      <c r="R10" s="1345" t="s">
        <v>70</v>
      </c>
      <c r="S10" s="1346">
        <f t="shared" si="0"/>
        <v>102</v>
      </c>
      <c r="T10" s="1345" t="s">
        <v>70</v>
      </c>
      <c r="U10" s="1346">
        <f t="shared" si="1"/>
        <v>101</v>
      </c>
      <c r="V10" s="1345" t="s">
        <v>70</v>
      </c>
      <c r="W10" s="1346">
        <f t="shared" si="2"/>
        <v>101</v>
      </c>
      <c r="X10" s="293"/>
      <c r="Y10" s="3610"/>
      <c r="Z10" s="294" t="str">
        <f t="shared" si="7"/>
        <v>土地使用年限（年）</v>
      </c>
      <c r="AA10" s="1347">
        <f t="shared" si="3"/>
        <v>0.98039215686274506</v>
      </c>
      <c r="AB10" s="1347">
        <f t="shared" si="4"/>
        <v>0.99009900990099009</v>
      </c>
      <c r="AC10" s="1347">
        <f t="shared" si="5"/>
        <v>0.99009900990099009</v>
      </c>
    </row>
    <row r="11" spans="1:29" ht="15">
      <c r="A11" s="151"/>
      <c r="B11" s="12" t="s">
        <v>98</v>
      </c>
      <c r="C11" s="775">
        <v>0.72</v>
      </c>
      <c r="D11" s="429">
        <v>100</v>
      </c>
      <c r="E11" s="776">
        <v>0.42</v>
      </c>
      <c r="F11" s="771">
        <f>LOOKUP(E11,68:68,69:69)-LOOKUP(C11,68:68,69:69)+100</f>
        <v>100</v>
      </c>
      <c r="G11" s="775">
        <v>1.08</v>
      </c>
      <c r="H11" s="429">
        <f>LOOKUP(G11,68:68,69:69)-LOOKUP(C11,68:68,69:69)+100</f>
        <v>98</v>
      </c>
      <c r="I11" s="775">
        <v>0.7</v>
      </c>
      <c r="J11" s="429">
        <f>LOOKUP(I11,68:68,69:69)-LOOKUP(C11,68:68,69:69)+100</f>
        <v>100</v>
      </c>
      <c r="K11" s="772">
        <v>2</v>
      </c>
      <c r="L11" s="2307"/>
      <c r="M11" s="2303"/>
      <c r="N11" s="2303"/>
      <c r="O11" s="2303"/>
      <c r="P11" s="3792"/>
      <c r="Q11" s="7" t="str">
        <f t="shared" si="6"/>
        <v>容积率</v>
      </c>
      <c r="R11" s="1345" t="s">
        <v>120</v>
      </c>
      <c r="S11" s="1346">
        <f t="shared" si="0"/>
        <v>100</v>
      </c>
      <c r="T11" s="1345" t="s">
        <v>120</v>
      </c>
      <c r="U11" s="1346">
        <f t="shared" si="1"/>
        <v>98</v>
      </c>
      <c r="V11" s="1345" t="s">
        <v>120</v>
      </c>
      <c r="W11" s="1346">
        <f t="shared" si="2"/>
        <v>100</v>
      </c>
      <c r="X11" s="293"/>
      <c r="Y11" s="3610"/>
      <c r="Z11" s="294" t="str">
        <f t="shared" si="7"/>
        <v>容积率</v>
      </c>
      <c r="AA11" s="1347">
        <f t="shared" si="3"/>
        <v>1</v>
      </c>
      <c r="AB11" s="1347">
        <f t="shared" si="4"/>
        <v>1.0204081632653061</v>
      </c>
      <c r="AC11" s="1347">
        <f t="shared" si="5"/>
        <v>1</v>
      </c>
    </row>
    <row r="12" spans="1:29" s="40" customFormat="1" ht="14.25">
      <c r="A12" s="1033"/>
      <c r="B12" s="1034">
        <v>111</v>
      </c>
      <c r="C12" s="1027">
        <v>111</v>
      </c>
      <c r="D12" s="779">
        <v>100</v>
      </c>
      <c r="E12" s="1027">
        <v>111</v>
      </c>
      <c r="F12" s="771">
        <f>SUMIF(70:70,E12,71:71)-SUMIF(70:70,C12,71:71)+100</f>
        <v>100</v>
      </c>
      <c r="G12" s="1027">
        <v>111</v>
      </c>
      <c r="H12" s="429">
        <f>SUMIF(70:70,G12,71:71)-SUMIF(70:70,C12,71:71)+100</f>
        <v>100</v>
      </c>
      <c r="I12" s="1027">
        <v>111</v>
      </c>
      <c r="J12" s="429">
        <f>SUMIF(70:70,I12,71:71)-SUMIF(70:70,C12,71:71)+100</f>
        <v>100</v>
      </c>
      <c r="K12" s="153"/>
      <c r="L12" s="2304"/>
      <c r="M12" s="2266"/>
      <c r="N12" s="2266"/>
      <c r="O12" s="2266"/>
      <c r="P12" s="3792"/>
      <c r="Q12" s="7">
        <f t="shared" si="6"/>
        <v>111</v>
      </c>
      <c r="R12" s="1345" t="s">
        <v>120</v>
      </c>
      <c r="S12" s="1346">
        <f t="shared" si="0"/>
        <v>100</v>
      </c>
      <c r="T12" s="1345" t="s">
        <v>120</v>
      </c>
      <c r="U12" s="1346">
        <f t="shared" si="1"/>
        <v>100</v>
      </c>
      <c r="V12" s="1345" t="s">
        <v>120</v>
      </c>
      <c r="W12" s="1346">
        <f t="shared" si="2"/>
        <v>100</v>
      </c>
      <c r="X12" s="293"/>
      <c r="Y12" s="3610"/>
      <c r="Z12" s="294">
        <f t="shared" si="7"/>
        <v>111</v>
      </c>
      <c r="AA12" s="1347">
        <f>D12/F12</f>
        <v>1</v>
      </c>
      <c r="AB12" s="1347">
        <f>D12/H12</f>
        <v>1</v>
      </c>
      <c r="AC12" s="1347">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53"/>
      <c r="L13" s="2308"/>
      <c r="M13" s="2303"/>
      <c r="N13" s="2303"/>
      <c r="O13" s="2303"/>
      <c r="P13" s="3792"/>
      <c r="Q13" s="7">
        <f t="shared" si="6"/>
        <v>111</v>
      </c>
      <c r="R13" s="1345" t="s">
        <v>120</v>
      </c>
      <c r="S13" s="1346">
        <f t="shared" si="0"/>
        <v>100</v>
      </c>
      <c r="T13" s="1345" t="s">
        <v>120</v>
      </c>
      <c r="U13" s="1346">
        <f t="shared" si="1"/>
        <v>100</v>
      </c>
      <c r="V13" s="1345" t="s">
        <v>120</v>
      </c>
      <c r="W13" s="1346">
        <f t="shared" si="2"/>
        <v>100</v>
      </c>
      <c r="X13" s="293"/>
      <c r="Y13" s="3610"/>
      <c r="Z13" s="294">
        <f t="shared" si="7"/>
        <v>111</v>
      </c>
      <c r="AA13" s="1347">
        <f t="shared" si="3"/>
        <v>1</v>
      </c>
      <c r="AB13" s="1347">
        <f t="shared" si="4"/>
        <v>1</v>
      </c>
      <c r="AC13" s="1347">
        <f t="shared" si="5"/>
        <v>1</v>
      </c>
    </row>
    <row r="14" spans="1:29" ht="15" thickBot="1">
      <c r="A14" s="154"/>
      <c r="B14" s="1035">
        <v>111</v>
      </c>
      <c r="C14" s="94">
        <v>111</v>
      </c>
      <c r="D14" s="784">
        <v>100</v>
      </c>
      <c r="E14" s="94">
        <v>111</v>
      </c>
      <c r="F14" s="785">
        <f>SUMIF(74:74,E14,75:75)-SUMIF(74:74,C14,75:75)+100</f>
        <v>100</v>
      </c>
      <c r="G14" s="94">
        <v>111</v>
      </c>
      <c r="H14" s="784">
        <f>SUMIF(74:74,G14,75:75)-SUMIF(74:74,C14,75:75)+100</f>
        <v>100</v>
      </c>
      <c r="I14" s="94">
        <v>111</v>
      </c>
      <c r="J14" s="784">
        <f>SUMIF(74:74,I14,75:75)-SUMIF(74:74,C14,75:75)+100</f>
        <v>100</v>
      </c>
      <c r="K14" s="153"/>
      <c r="L14" s="2308"/>
      <c r="M14" s="2303"/>
      <c r="N14" s="2303"/>
      <c r="O14" s="2303"/>
      <c r="P14" s="3792"/>
      <c r="Q14" s="7">
        <f t="shared" si="6"/>
        <v>111</v>
      </c>
      <c r="R14" s="1345" t="s">
        <v>120</v>
      </c>
      <c r="S14" s="1346">
        <f t="shared" si="0"/>
        <v>100</v>
      </c>
      <c r="T14" s="1345" t="s">
        <v>120</v>
      </c>
      <c r="U14" s="1346">
        <f t="shared" si="1"/>
        <v>100</v>
      </c>
      <c r="V14" s="1345" t="s">
        <v>120</v>
      </c>
      <c r="W14" s="1346">
        <f t="shared" si="2"/>
        <v>100</v>
      </c>
      <c r="X14" s="293"/>
      <c r="Y14" s="3610"/>
      <c r="Z14" s="294">
        <f t="shared" si="7"/>
        <v>111</v>
      </c>
      <c r="AA14" s="1347">
        <f t="shared" si="3"/>
        <v>1</v>
      </c>
      <c r="AB14" s="1347">
        <f t="shared" si="4"/>
        <v>1</v>
      </c>
      <c r="AC14" s="1347">
        <f t="shared" si="5"/>
        <v>1</v>
      </c>
    </row>
    <row r="15" spans="1:29" ht="15">
      <c r="A15" s="155" t="s">
        <v>74</v>
      </c>
      <c r="B15" s="58" t="s">
        <v>55</v>
      </c>
      <c r="C15" s="157">
        <f>估价对象房地状况!C3</f>
        <v>0</v>
      </c>
      <c r="D15" s="787">
        <v>100</v>
      </c>
      <c r="E15" s="96"/>
      <c r="F15" s="787">
        <f>SUMIF(76:76,E16,77:77)-SUMIF(76:76,C16,77:77)+100</f>
        <v>102</v>
      </c>
      <c r="G15" s="95"/>
      <c r="H15" s="787">
        <f>SUMIF(76:76,G16,77:77)-SUMIF(76:76,C16,77:77)+100</f>
        <v>102</v>
      </c>
      <c r="I15" s="95"/>
      <c r="J15" s="787">
        <f>SUMIF(76:76,I16,77:77)-SUMIF(76:76,C16,77:77)+100</f>
        <v>100</v>
      </c>
      <c r="K15" s="791">
        <v>2</v>
      </c>
      <c r="L15" s="2308"/>
      <c r="M15" s="2303"/>
      <c r="N15" s="2303"/>
      <c r="O15" s="2303"/>
      <c r="P15" s="3819" t="s">
        <v>74</v>
      </c>
      <c r="Q15" s="1354" t="str">
        <f t="shared" si="6"/>
        <v>居住社区成熟度</v>
      </c>
      <c r="R15" s="1355" t="s">
        <v>120</v>
      </c>
      <c r="S15" s="1356">
        <f t="shared" si="0"/>
        <v>102</v>
      </c>
      <c r="T15" s="1355" t="s">
        <v>120</v>
      </c>
      <c r="U15" s="1356">
        <f t="shared" si="1"/>
        <v>102</v>
      </c>
      <c r="V15" s="1355" t="s">
        <v>120</v>
      </c>
      <c r="W15" s="1356">
        <f t="shared" si="2"/>
        <v>100</v>
      </c>
      <c r="X15" s="1343"/>
      <c r="Y15" s="3812" t="s">
        <v>74</v>
      </c>
      <c r="Z15" s="1357" t="str">
        <f t="shared" si="7"/>
        <v>居住社区成熟度</v>
      </c>
      <c r="AA15" s="1358">
        <f t="shared" si="3"/>
        <v>0.98039215686274506</v>
      </c>
      <c r="AB15" s="1358">
        <f t="shared" si="4"/>
        <v>0.98039215686274506</v>
      </c>
      <c r="AC15" s="1358">
        <f t="shared" si="5"/>
        <v>1</v>
      </c>
    </row>
    <row r="16" spans="1:29" ht="14.25">
      <c r="A16" s="151"/>
      <c r="B16" s="156"/>
      <c r="C16" s="97" t="s">
        <v>124</v>
      </c>
      <c r="D16" s="794"/>
      <c r="E16" s="99" t="s">
        <v>123</v>
      </c>
      <c r="F16" s="794"/>
      <c r="G16" s="98" t="s">
        <v>123</v>
      </c>
      <c r="H16" s="796"/>
      <c r="I16" s="98" t="s">
        <v>124</v>
      </c>
      <c r="J16" s="794"/>
      <c r="K16" s="159"/>
      <c r="L16" s="2308"/>
      <c r="M16" s="2303"/>
      <c r="N16" s="2303"/>
      <c r="O16" s="2303"/>
      <c r="P16" s="3820"/>
      <c r="Q16" s="1354"/>
      <c r="R16" s="1355"/>
      <c r="S16" s="1356"/>
      <c r="T16" s="1355"/>
      <c r="U16" s="1356"/>
      <c r="V16" s="1355"/>
      <c r="W16" s="1356"/>
      <c r="X16" s="1343"/>
      <c r="Y16" s="3813"/>
      <c r="Z16" s="1357"/>
      <c r="AA16" s="1358">
        <v>1</v>
      </c>
      <c r="AB16" s="1358">
        <v>1</v>
      </c>
      <c r="AC16" s="1358">
        <v>1</v>
      </c>
    </row>
    <row r="17" spans="1:29" ht="135">
      <c r="A17" s="151"/>
      <c r="B17" s="1359" t="s">
        <v>77</v>
      </c>
      <c r="C17" s="158" t="str">
        <f>估价对象房地状况!C6</f>
        <v>估价对象周边有938、香河1路等公交线路，大香线等城市次干道，公共交通通达情况一般；项目自身有停车位、停车便捷程度一般，综合评价交通便捷度一般</v>
      </c>
      <c r="D17" s="796">
        <v>100</v>
      </c>
      <c r="E17" s="101"/>
      <c r="F17" s="796">
        <f>SUMIF(78:78,E18,79:79)-SUMIF(78:78,C18,79:79)+100</f>
        <v>102</v>
      </c>
      <c r="G17" s="100"/>
      <c r="H17" s="801">
        <f>SUMIF(78:78,G18,79:79)-SUMIF(78:78,C18,79:79)+100</f>
        <v>102</v>
      </c>
      <c r="I17" s="100"/>
      <c r="J17" s="801">
        <f>SUMIF(78:78,I18,79:79)-SUMIF(78:78,C18,79:79)+100</f>
        <v>104</v>
      </c>
      <c r="K17" s="791">
        <v>2</v>
      </c>
      <c r="L17" s="2308"/>
      <c r="M17" s="2303"/>
      <c r="N17" s="2303"/>
      <c r="O17" s="2303"/>
      <c r="P17" s="3820"/>
      <c r="Q17" s="1354" t="str">
        <f>B17</f>
        <v>交通便捷度</v>
      </c>
      <c r="R17" s="1355" t="s">
        <v>120</v>
      </c>
      <c r="S17" s="1356">
        <f>F17</f>
        <v>102</v>
      </c>
      <c r="T17" s="1355" t="s">
        <v>120</v>
      </c>
      <c r="U17" s="1356">
        <f>H17</f>
        <v>102</v>
      </c>
      <c r="V17" s="1355" t="s">
        <v>120</v>
      </c>
      <c r="W17" s="1356">
        <f>J17</f>
        <v>104</v>
      </c>
      <c r="X17" s="1343"/>
      <c r="Y17" s="3813"/>
      <c r="Z17" s="1357" t="str">
        <f>Q17</f>
        <v>交通便捷度</v>
      </c>
      <c r="AA17" s="1358">
        <f t="shared" si="3"/>
        <v>0.98039215686274506</v>
      </c>
      <c r="AB17" s="1358">
        <f t="shared" si="4"/>
        <v>0.98039215686274506</v>
      </c>
      <c r="AC17" s="1358">
        <f t="shared" si="5"/>
        <v>0.96153846153846156</v>
      </c>
    </row>
    <row r="18" spans="1:29" ht="14.25">
      <c r="A18" s="151"/>
      <c r="B18" s="1044"/>
      <c r="C18" s="102" t="s">
        <v>124</v>
      </c>
      <c r="D18" s="796"/>
      <c r="E18" s="104" t="s">
        <v>123</v>
      </c>
      <c r="F18" s="796"/>
      <c r="G18" s="103" t="s">
        <v>123</v>
      </c>
      <c r="H18" s="794"/>
      <c r="I18" s="103" t="s">
        <v>122</v>
      </c>
      <c r="J18" s="794"/>
      <c r="K18" s="159"/>
      <c r="L18" s="2308"/>
      <c r="M18" s="2303"/>
      <c r="N18" s="2303"/>
      <c r="O18" s="2303"/>
      <c r="P18" s="3820"/>
      <c r="Q18" s="1354"/>
      <c r="R18" s="1355"/>
      <c r="S18" s="1356"/>
      <c r="T18" s="1355"/>
      <c r="U18" s="1356"/>
      <c r="V18" s="1355"/>
      <c r="W18" s="1356"/>
      <c r="X18" s="1343"/>
      <c r="Y18" s="3813"/>
      <c r="Z18" s="1357"/>
      <c r="AA18" s="1358">
        <v>1</v>
      </c>
      <c r="AB18" s="1358">
        <v>1</v>
      </c>
      <c r="AC18" s="1358">
        <v>1</v>
      </c>
    </row>
    <row r="19" spans="1:29" ht="67.5">
      <c r="A19" s="151"/>
      <c r="B19" s="1359" t="s">
        <v>3034</v>
      </c>
      <c r="C19" s="158" t="str">
        <f>估价对象房地状况!C7</f>
        <v>估价对象所在区域公共配套，有银行、医院、邮局等，设施齐备度较好</v>
      </c>
      <c r="D19" s="801">
        <v>100</v>
      </c>
      <c r="E19" s="106"/>
      <c r="F19" s="801">
        <f>SUMIF(80:80,E20,81:81)-SUMIF(80:80,C20,81:81)+100</f>
        <v>102</v>
      </c>
      <c r="G19" s="105"/>
      <c r="H19" s="796">
        <f>SUMIF(80:80,G20,81:81)-SUMIF(80:80,C20,81:81)+100</f>
        <v>102</v>
      </c>
      <c r="I19" s="105"/>
      <c r="J19" s="796">
        <f>SUMIF(80:80,I20,81:81)-SUMIF(80:80,C20,81:81)+100</f>
        <v>100</v>
      </c>
      <c r="K19" s="791">
        <v>2</v>
      </c>
      <c r="L19" s="2308"/>
      <c r="M19" s="2303"/>
      <c r="N19" s="2303"/>
      <c r="O19" s="2303"/>
      <c r="P19" s="3820"/>
      <c r="Q19" s="1354" t="str">
        <f>B19</f>
        <v>公共配套设施</v>
      </c>
      <c r="R19" s="1355" t="s">
        <v>120</v>
      </c>
      <c r="S19" s="1356">
        <f>F19</f>
        <v>102</v>
      </c>
      <c r="T19" s="1355" t="s">
        <v>120</v>
      </c>
      <c r="U19" s="1356">
        <f>H19</f>
        <v>102</v>
      </c>
      <c r="V19" s="1355" t="s">
        <v>120</v>
      </c>
      <c r="W19" s="1356">
        <f>J19</f>
        <v>100</v>
      </c>
      <c r="X19" s="1343"/>
      <c r="Y19" s="3813"/>
      <c r="Z19" s="1357" t="str">
        <f>Q19</f>
        <v>公共配套设施</v>
      </c>
      <c r="AA19" s="1358">
        <f t="shared" si="3"/>
        <v>0.98039215686274506</v>
      </c>
      <c r="AB19" s="1358">
        <f t="shared" si="4"/>
        <v>0.98039215686274506</v>
      </c>
      <c r="AC19" s="1358">
        <f t="shared" si="5"/>
        <v>1</v>
      </c>
    </row>
    <row r="20" spans="1:29" ht="14.25">
      <c r="A20" s="151"/>
      <c r="B20" s="1044"/>
      <c r="C20" s="97" t="s">
        <v>123</v>
      </c>
      <c r="D20" s="794"/>
      <c r="E20" s="99" t="s">
        <v>122</v>
      </c>
      <c r="F20" s="794"/>
      <c r="G20" s="98" t="s">
        <v>122</v>
      </c>
      <c r="H20" s="794"/>
      <c r="I20" s="98" t="s">
        <v>123</v>
      </c>
      <c r="J20" s="794"/>
      <c r="K20" s="159"/>
      <c r="L20" s="2308"/>
      <c r="M20" s="2303"/>
      <c r="N20" s="2303"/>
      <c r="O20" s="2303"/>
      <c r="P20" s="3820"/>
      <c r="Q20" s="1354"/>
      <c r="R20" s="1355"/>
      <c r="S20" s="1356"/>
      <c r="T20" s="1355"/>
      <c r="U20" s="1356"/>
      <c r="V20" s="1355"/>
      <c r="W20" s="1356"/>
      <c r="X20" s="1343"/>
      <c r="Y20" s="3813"/>
      <c r="Z20" s="1357"/>
      <c r="AA20" s="1358">
        <v>1</v>
      </c>
      <c r="AB20" s="1358">
        <v>1</v>
      </c>
      <c r="AC20" s="1358">
        <v>1</v>
      </c>
    </row>
    <row r="21" spans="1:29" ht="40.5">
      <c r="A21" s="151"/>
      <c r="B21" s="1415" t="s">
        <v>3045</v>
      </c>
      <c r="C21" s="158" t="str">
        <f>估价对象房地状况!C8</f>
        <v>估价对象所在区域基础设施水平七通一平</v>
      </c>
      <c r="D21" s="796">
        <v>100</v>
      </c>
      <c r="E21" s="106"/>
      <c r="F21" s="801">
        <f>SUMIF(82:82,E22,83:83)-SUMIF(82:82,C22,83:83)+100</f>
        <v>99</v>
      </c>
      <c r="G21" s="105"/>
      <c r="H21" s="796">
        <f>SUMIF(82:82,G22,83:83)-SUMIF(82:82,C22,83:83)+100</f>
        <v>98</v>
      </c>
      <c r="I21" s="105"/>
      <c r="J21" s="796">
        <f>SUMIF(82:82,I22,83:83)-SUMIF(82:82,C22,83:83)+100</f>
        <v>97</v>
      </c>
      <c r="K21" s="791">
        <v>1</v>
      </c>
      <c r="L21" s="2308"/>
      <c r="M21" s="2303"/>
      <c r="N21" s="2303"/>
      <c r="O21" s="2303"/>
      <c r="P21" s="3820"/>
      <c r="Q21" s="2762" t="str">
        <f>B21</f>
        <v>基础设施水平</v>
      </c>
      <c r="R21" s="1355" t="s">
        <v>70</v>
      </c>
      <c r="S21" s="1356">
        <f>F21</f>
        <v>99</v>
      </c>
      <c r="T21" s="1355" t="s">
        <v>70</v>
      </c>
      <c r="U21" s="1356">
        <f>H21</f>
        <v>98</v>
      </c>
      <c r="V21" s="1355" t="s">
        <v>70</v>
      </c>
      <c r="W21" s="1356">
        <f>J21</f>
        <v>97</v>
      </c>
      <c r="X21" s="2764"/>
      <c r="Y21" s="3813"/>
      <c r="Z21" s="2763" t="str">
        <f>Q21</f>
        <v>基础设施水平</v>
      </c>
      <c r="AA21" s="1358">
        <f t="shared" ref="AA21" si="8">D21/F21</f>
        <v>1.0101010101010102</v>
      </c>
      <c r="AB21" s="1358">
        <f t="shared" ref="AB21" si="9">D21/H21</f>
        <v>1.0204081632653061</v>
      </c>
      <c r="AC21" s="1358">
        <f t="shared" ref="AC21" si="10">D21/J21</f>
        <v>1.0309278350515463</v>
      </c>
    </row>
    <row r="22" spans="1:29" ht="14.25">
      <c r="A22" s="151"/>
      <c r="B22" s="1415"/>
      <c r="C22" s="102" t="s">
        <v>56</v>
      </c>
      <c r="D22" s="794"/>
      <c r="E22" s="97" t="s">
        <v>161</v>
      </c>
      <c r="F22" s="794"/>
      <c r="G22" s="192" t="s">
        <v>162</v>
      </c>
      <c r="H22" s="794"/>
      <c r="I22" s="97" t="s">
        <v>258</v>
      </c>
      <c r="J22" s="794"/>
      <c r="K22" s="2779"/>
      <c r="L22" s="2308"/>
      <c r="M22" s="2303"/>
      <c r="N22" s="2303"/>
      <c r="O22" s="2303"/>
      <c r="P22" s="3820"/>
      <c r="Q22" s="2762"/>
      <c r="R22" s="1355"/>
      <c r="S22" s="1356"/>
      <c r="T22" s="1355"/>
      <c r="U22" s="1356"/>
      <c r="V22" s="1355"/>
      <c r="W22" s="1356"/>
      <c r="X22" s="2764"/>
      <c r="Y22" s="3813"/>
      <c r="Z22" s="2763"/>
      <c r="AA22" s="1358">
        <v>1</v>
      </c>
      <c r="AB22" s="1358">
        <v>1</v>
      </c>
      <c r="AC22" s="1358">
        <v>1</v>
      </c>
    </row>
    <row r="23" spans="1:29" ht="67.5">
      <c r="A23" s="151"/>
      <c r="B23" s="1359" t="s">
        <v>78</v>
      </c>
      <c r="C23" s="158" t="str">
        <f>估价对象房地状况!C9</f>
        <v>区域自然环境：无；人文环境：亚太中医哮喘病研究所；综合评价环境状况一般</v>
      </c>
      <c r="D23" s="796">
        <v>100</v>
      </c>
      <c r="E23" s="101"/>
      <c r="F23" s="796">
        <f>SUMIF(84:84,E24,85:85)-SUMIF(84:84,C24,85:85)+100</f>
        <v>102</v>
      </c>
      <c r="G23" s="100"/>
      <c r="H23" s="796">
        <f>SUMIF(84:84,G24,85:85)-SUMIF(84:84,C24,85:85)+100</f>
        <v>100</v>
      </c>
      <c r="I23" s="100"/>
      <c r="J23" s="796">
        <f>SUMIF(84:84,I24,85:85)-SUMIF(84:84,C24,85:85)+100</f>
        <v>100</v>
      </c>
      <c r="K23" s="791">
        <v>2</v>
      </c>
      <c r="L23" s="2308"/>
      <c r="M23" s="2303"/>
      <c r="N23" s="2303"/>
      <c r="O23" s="2303"/>
      <c r="P23" s="3820"/>
      <c r="Q23" s="1354" t="str">
        <f>B23</f>
        <v>自然及人文环境</v>
      </c>
      <c r="R23" s="1355" t="s">
        <v>120</v>
      </c>
      <c r="S23" s="1356">
        <f>F23</f>
        <v>102</v>
      </c>
      <c r="T23" s="1355" t="s">
        <v>120</v>
      </c>
      <c r="U23" s="1356">
        <f>H23</f>
        <v>100</v>
      </c>
      <c r="V23" s="1355" t="s">
        <v>120</v>
      </c>
      <c r="W23" s="1356">
        <f>J23</f>
        <v>100</v>
      </c>
      <c r="X23" s="1343"/>
      <c r="Y23" s="3813"/>
      <c r="Z23" s="1357" t="str">
        <f>Q23</f>
        <v>自然及人文环境</v>
      </c>
      <c r="AA23" s="1358">
        <f>D23/F23</f>
        <v>0.98039215686274506</v>
      </c>
      <c r="AB23" s="1358">
        <f>D23/H23</f>
        <v>1</v>
      </c>
      <c r="AC23" s="1358">
        <f>D23/J23</f>
        <v>1</v>
      </c>
    </row>
    <row r="24" spans="1:29" ht="14.25">
      <c r="A24" s="151"/>
      <c r="B24" s="1044"/>
      <c r="C24" s="97" t="s">
        <v>124</v>
      </c>
      <c r="D24" s="794"/>
      <c r="E24" s="99" t="s">
        <v>123</v>
      </c>
      <c r="F24" s="794"/>
      <c r="G24" s="98" t="s">
        <v>124</v>
      </c>
      <c r="H24" s="794"/>
      <c r="I24" s="98" t="s">
        <v>124</v>
      </c>
      <c r="J24" s="794"/>
      <c r="K24" s="159"/>
      <c r="L24" s="2308"/>
      <c r="M24" s="2303"/>
      <c r="N24" s="2303"/>
      <c r="O24" s="2303"/>
      <c r="P24" s="3820"/>
      <c r="Q24" s="1354"/>
      <c r="R24" s="1355"/>
      <c r="S24" s="1356"/>
      <c r="T24" s="1355"/>
      <c r="U24" s="1356"/>
      <c r="V24" s="1355"/>
      <c r="W24" s="1356"/>
      <c r="X24" s="1343"/>
      <c r="Y24" s="3813"/>
      <c r="Z24" s="1357"/>
      <c r="AA24" s="1358">
        <v>1</v>
      </c>
      <c r="AB24" s="1358">
        <v>1</v>
      </c>
      <c r="AC24" s="1358">
        <v>1</v>
      </c>
    </row>
    <row r="25" spans="1:29" ht="15">
      <c r="A25" s="151"/>
      <c r="B25" s="12" t="s">
        <v>2663</v>
      </c>
      <c r="C25" s="107">
        <v>15</v>
      </c>
      <c r="D25" s="781">
        <v>100</v>
      </c>
      <c r="E25" s="109">
        <v>10</v>
      </c>
      <c r="F25" s="781">
        <f>SUMIF(86:86,E25,87:87)-SUMIF(86:86,C25,87:87)+100</f>
        <v>97.5</v>
      </c>
      <c r="G25" s="108">
        <v>8</v>
      </c>
      <c r="H25" s="781">
        <f>SUMIF(86:86,G25,87:87)-SUMIF(86:86,C25,87:87)+100</f>
        <v>96.5</v>
      </c>
      <c r="I25" s="108">
        <v>3</v>
      </c>
      <c r="J25" s="781">
        <f>SUMIF(86:86,I25,87:87)-SUMIF(86:86,C25,87:87)+100</f>
        <v>94</v>
      </c>
      <c r="K25" s="772">
        <v>0.5</v>
      </c>
      <c r="L25" s="2308"/>
      <c r="M25" s="2303"/>
      <c r="N25" s="2303"/>
      <c r="O25" s="2303"/>
      <c r="P25" s="3820"/>
      <c r="Q25" s="1354" t="str">
        <f t="shared" ref="Q25:Q46" si="11">B25</f>
        <v>楼层-1</v>
      </c>
      <c r="R25" s="1355" t="s">
        <v>120</v>
      </c>
      <c r="S25" s="1356">
        <f t="shared" ref="S25:S46" si="12">F25</f>
        <v>97.5</v>
      </c>
      <c r="T25" s="1355" t="s">
        <v>120</v>
      </c>
      <c r="U25" s="1356">
        <f t="shared" ref="U25:U46" si="13">H25</f>
        <v>96.5</v>
      </c>
      <c r="V25" s="1355" t="s">
        <v>120</v>
      </c>
      <c r="W25" s="1356">
        <f t="shared" ref="W25:W46" si="14">J25</f>
        <v>94</v>
      </c>
      <c r="X25" s="1343"/>
      <c r="Y25" s="3813"/>
      <c r="Z25" s="1357" t="str">
        <f>Q25</f>
        <v>楼层-1</v>
      </c>
      <c r="AA25" s="1358">
        <f t="shared" ref="AA25:AA46" si="15">D25/F25</f>
        <v>1.0256410256410255</v>
      </c>
      <c r="AB25" s="1358">
        <f t="shared" ref="AB25:AB46" si="16">D25/H25</f>
        <v>1.0362694300518134</v>
      </c>
      <c r="AC25" s="1358">
        <f t="shared" ref="AC25:AC46" si="17">D25/J25</f>
        <v>1.0638297872340425</v>
      </c>
    </row>
    <row r="26" spans="1:29" ht="15">
      <c r="A26" s="151"/>
      <c r="B26" s="12" t="s">
        <v>79</v>
      </c>
      <c r="C26" s="107" t="s">
        <v>312</v>
      </c>
      <c r="D26" s="781">
        <v>100</v>
      </c>
      <c r="E26" s="109" t="s">
        <v>312</v>
      </c>
      <c r="F26" s="781">
        <f>SUMIF(88:88,E26,89:89)-SUMIF(88:88,C26,89:89)+100</f>
        <v>100</v>
      </c>
      <c r="G26" s="108" t="s">
        <v>312</v>
      </c>
      <c r="H26" s="781">
        <f>SUMIF(88:88,G26,89:89)-SUMIF(88:88,C26,89:89)+100</f>
        <v>100</v>
      </c>
      <c r="I26" s="108" t="s">
        <v>312</v>
      </c>
      <c r="J26" s="781">
        <f>SUMIF(88:88,I26,89:89)-SUMIF(88:88,C26,89:89)+100</f>
        <v>100</v>
      </c>
      <c r="K26" s="772">
        <v>1</v>
      </c>
      <c r="L26" s="2308"/>
      <c r="M26" s="2303"/>
      <c r="N26" s="2303"/>
      <c r="O26" s="2303"/>
      <c r="P26" s="3820"/>
      <c r="Q26" s="1354" t="str">
        <f t="shared" si="11"/>
        <v>朝向</v>
      </c>
      <c r="R26" s="1355" t="s">
        <v>120</v>
      </c>
      <c r="S26" s="1356">
        <f t="shared" si="12"/>
        <v>100</v>
      </c>
      <c r="T26" s="1355" t="s">
        <v>120</v>
      </c>
      <c r="U26" s="1356">
        <f t="shared" si="13"/>
        <v>100</v>
      </c>
      <c r="V26" s="1355" t="s">
        <v>120</v>
      </c>
      <c r="W26" s="1356">
        <f t="shared" si="14"/>
        <v>100</v>
      </c>
      <c r="X26" s="1343"/>
      <c r="Y26" s="3813"/>
      <c r="Z26" s="1357" t="str">
        <f>Q26</f>
        <v>朝向</v>
      </c>
      <c r="AA26" s="1358">
        <f t="shared" si="15"/>
        <v>1</v>
      </c>
      <c r="AB26" s="1358">
        <f t="shared" si="16"/>
        <v>1</v>
      </c>
      <c r="AC26" s="1358">
        <f t="shared" si="17"/>
        <v>1</v>
      </c>
    </row>
    <row r="27" spans="1:29" s="40" customFormat="1" ht="14.25">
      <c r="A27" s="1033"/>
      <c r="B27" s="1034" t="s">
        <v>1228</v>
      </c>
      <c r="C27" s="1027" t="s">
        <v>1229</v>
      </c>
      <c r="D27" s="808">
        <v>100</v>
      </c>
      <c r="E27" s="1029" t="s">
        <v>1229</v>
      </c>
      <c r="F27" s="808">
        <f>SUMIF(90:90,E27,91:91)-SUMIF(90:90,C27,91:91)+100</f>
        <v>100</v>
      </c>
      <c r="G27" s="1030" t="s">
        <v>1230</v>
      </c>
      <c r="H27" s="808">
        <f>SUMIF(90:90,G27,91:91)-SUMIF(90:90,C27,91:91)+100</f>
        <v>102</v>
      </c>
      <c r="I27" s="1030" t="s">
        <v>1231</v>
      </c>
      <c r="J27" s="808">
        <f>SUMIF(90:90,I27,91:91)-SUMIF(90:90,C27,91:91)+100</f>
        <v>99</v>
      </c>
      <c r="K27" s="153"/>
      <c r="L27" s="2304"/>
      <c r="M27" s="2266"/>
      <c r="N27" s="2266"/>
      <c r="O27" s="2266"/>
      <c r="P27" s="3820"/>
      <c r="Q27" s="7" t="str">
        <f t="shared" si="11"/>
        <v>道路级别</v>
      </c>
      <c r="R27" s="1345" t="s">
        <v>120</v>
      </c>
      <c r="S27" s="1346">
        <f t="shared" si="12"/>
        <v>100</v>
      </c>
      <c r="T27" s="1345" t="s">
        <v>120</v>
      </c>
      <c r="U27" s="1346">
        <f t="shared" si="13"/>
        <v>102</v>
      </c>
      <c r="V27" s="1345" t="s">
        <v>120</v>
      </c>
      <c r="W27" s="1346">
        <f t="shared" si="14"/>
        <v>99</v>
      </c>
      <c r="X27" s="293"/>
      <c r="Y27" s="3813"/>
      <c r="Z27" s="294" t="str">
        <f>Q27</f>
        <v>道路级别</v>
      </c>
      <c r="AA27" s="1358">
        <f t="shared" si="15"/>
        <v>1</v>
      </c>
      <c r="AB27" s="1358">
        <f t="shared" si="16"/>
        <v>0.98039215686274506</v>
      </c>
      <c r="AC27" s="1358">
        <f t="shared" si="17"/>
        <v>1.0101010101010102</v>
      </c>
    </row>
    <row r="28" spans="1:29" ht="14.25">
      <c r="A28" s="151"/>
      <c r="B28" s="1360">
        <v>111</v>
      </c>
      <c r="C28" s="93">
        <v>111</v>
      </c>
      <c r="D28" s="781">
        <v>100</v>
      </c>
      <c r="E28" s="93">
        <v>111</v>
      </c>
      <c r="F28" s="781">
        <f>SUMIF(92:92,E28,93:93)-SUMIF(92:92,C28,93:93)+100</f>
        <v>100</v>
      </c>
      <c r="G28" s="194">
        <v>111</v>
      </c>
      <c r="H28" s="781">
        <f>SUMIF(92:92,G28,93:93)-SUMIF(92:92,C28,93:93)+100</f>
        <v>100</v>
      </c>
      <c r="I28" s="93">
        <v>111</v>
      </c>
      <c r="J28" s="781">
        <f>SUMIF(92:92,I28,93:93)-SUMIF(92:92,C28,93:93)+100</f>
        <v>100</v>
      </c>
      <c r="K28" s="153"/>
      <c r="L28" s="2308"/>
      <c r="M28" s="2303"/>
      <c r="N28" s="2303"/>
      <c r="O28" s="2303"/>
      <c r="P28" s="3820"/>
      <c r="Q28" s="1354">
        <f t="shared" si="11"/>
        <v>111</v>
      </c>
      <c r="R28" s="1355" t="s">
        <v>120</v>
      </c>
      <c r="S28" s="1356">
        <f t="shared" si="12"/>
        <v>100</v>
      </c>
      <c r="T28" s="1355" t="s">
        <v>120</v>
      </c>
      <c r="U28" s="1356">
        <f t="shared" si="13"/>
        <v>100</v>
      </c>
      <c r="V28" s="1355" t="s">
        <v>120</v>
      </c>
      <c r="W28" s="1356">
        <f t="shared" si="14"/>
        <v>100</v>
      </c>
      <c r="X28" s="1343"/>
      <c r="Y28" s="3813"/>
      <c r="Z28" s="1357">
        <f t="shared" ref="Z28:Z46" si="18">Q28</f>
        <v>111</v>
      </c>
      <c r="AA28" s="1358">
        <f t="shared" si="15"/>
        <v>1</v>
      </c>
      <c r="AB28" s="1358">
        <f t="shared" si="16"/>
        <v>1</v>
      </c>
      <c r="AC28" s="1358">
        <f t="shared" si="17"/>
        <v>1</v>
      </c>
    </row>
    <row r="29" spans="1:29" ht="14.25">
      <c r="A29" s="151"/>
      <c r="B29" s="1360">
        <v>111</v>
      </c>
      <c r="C29" s="93">
        <v>111</v>
      </c>
      <c r="D29" s="781">
        <v>100</v>
      </c>
      <c r="E29" s="93">
        <v>111</v>
      </c>
      <c r="F29" s="781">
        <f>SUMIF(94:94,E29,95:95)-SUMIF(94:94,C29,95:95)+100</f>
        <v>100</v>
      </c>
      <c r="G29" s="194">
        <v>111</v>
      </c>
      <c r="H29" s="781">
        <f>SUMIF(94:94,G29,95:95)-SUMIF(94:94,C29,95:95)+100</f>
        <v>100</v>
      </c>
      <c r="I29" s="93">
        <v>111</v>
      </c>
      <c r="J29" s="781">
        <f>SUMIF(94:94,I29,95:95)-SUMIF(94:94,C29,95:95)+100</f>
        <v>100</v>
      </c>
      <c r="K29" s="153"/>
      <c r="L29" s="2308"/>
      <c r="M29" s="2303"/>
      <c r="N29" s="2303"/>
      <c r="O29" s="2303"/>
      <c r="P29" s="3820"/>
      <c r="Q29" s="1354">
        <f t="shared" si="11"/>
        <v>111</v>
      </c>
      <c r="R29" s="1355" t="s">
        <v>120</v>
      </c>
      <c r="S29" s="1356">
        <f t="shared" si="12"/>
        <v>100</v>
      </c>
      <c r="T29" s="1355" t="s">
        <v>120</v>
      </c>
      <c r="U29" s="1356">
        <f t="shared" si="13"/>
        <v>100</v>
      </c>
      <c r="V29" s="1355" t="s">
        <v>120</v>
      </c>
      <c r="W29" s="1356">
        <f t="shared" si="14"/>
        <v>100</v>
      </c>
      <c r="X29" s="1343"/>
      <c r="Y29" s="3813"/>
      <c r="Z29" s="1357">
        <f t="shared" si="18"/>
        <v>111</v>
      </c>
      <c r="AA29" s="1358">
        <f t="shared" si="15"/>
        <v>1</v>
      </c>
      <c r="AB29" s="1358">
        <f t="shared" si="16"/>
        <v>1</v>
      </c>
      <c r="AC29" s="1358">
        <f t="shared" si="17"/>
        <v>1</v>
      </c>
    </row>
    <row r="30" spans="1:29" ht="14.25">
      <c r="A30" s="151"/>
      <c r="B30" s="1360">
        <v>111</v>
      </c>
      <c r="C30" s="93">
        <v>111</v>
      </c>
      <c r="D30" s="781">
        <v>100</v>
      </c>
      <c r="E30" s="93">
        <v>111</v>
      </c>
      <c r="F30" s="781">
        <f>SUMIF(96:96,E30,97:97)-SUMIF(96:96,C30,97:97)+100</f>
        <v>100</v>
      </c>
      <c r="G30" s="194">
        <v>111</v>
      </c>
      <c r="H30" s="781">
        <f>SUMIF(96:96,G30,97:97)-SUMIF(96:96,C30,97:97)+100</f>
        <v>100</v>
      </c>
      <c r="I30" s="93">
        <v>111</v>
      </c>
      <c r="J30" s="781">
        <f>SUMIF(96:96,I30,97:97)-SUMIF(96:96,C30,97:97)+100</f>
        <v>100</v>
      </c>
      <c r="K30" s="153"/>
      <c r="L30" s="2308"/>
      <c r="M30" s="2303"/>
      <c r="N30" s="2303"/>
      <c r="O30" s="2303"/>
      <c r="P30" s="3820"/>
      <c r="Q30" s="1354">
        <f t="shared" si="11"/>
        <v>111</v>
      </c>
      <c r="R30" s="1355" t="s">
        <v>120</v>
      </c>
      <c r="S30" s="1356">
        <f t="shared" si="12"/>
        <v>100</v>
      </c>
      <c r="T30" s="1355" t="s">
        <v>120</v>
      </c>
      <c r="U30" s="1356">
        <f t="shared" si="13"/>
        <v>100</v>
      </c>
      <c r="V30" s="1355" t="s">
        <v>120</v>
      </c>
      <c r="W30" s="1356">
        <f t="shared" si="14"/>
        <v>100</v>
      </c>
      <c r="X30" s="1343"/>
      <c r="Y30" s="3813"/>
      <c r="Z30" s="1357">
        <f t="shared" si="18"/>
        <v>111</v>
      </c>
      <c r="AA30" s="1358">
        <f t="shared" si="15"/>
        <v>1</v>
      </c>
      <c r="AB30" s="1358">
        <f t="shared" si="16"/>
        <v>1</v>
      </c>
      <c r="AC30" s="1358">
        <f t="shared" si="17"/>
        <v>1</v>
      </c>
    </row>
    <row r="31" spans="1:29" ht="15" thickBot="1">
      <c r="A31" s="154"/>
      <c r="B31" s="1360">
        <v>111</v>
      </c>
      <c r="C31" s="94">
        <v>111</v>
      </c>
      <c r="D31" s="784">
        <v>100</v>
      </c>
      <c r="E31" s="94">
        <v>111</v>
      </c>
      <c r="F31" s="784">
        <f>SUMIF(98:98,E31,99:99)-SUMIF(98:98,C31,99:99)+100</f>
        <v>100</v>
      </c>
      <c r="G31" s="196">
        <v>111</v>
      </c>
      <c r="H31" s="784">
        <f>SUMIF(98:98,G31,99:99)-SUMIF(98:98,C31,99:99)+100</f>
        <v>100</v>
      </c>
      <c r="I31" s="94">
        <v>111</v>
      </c>
      <c r="J31" s="784">
        <f>SUMIF(98:98,I31,99:99)-SUMIF(98:98,C31,99:99)+100</f>
        <v>100</v>
      </c>
      <c r="K31" s="153"/>
      <c r="L31" s="2308"/>
      <c r="M31" s="2303"/>
      <c r="N31" s="2303"/>
      <c r="O31" s="2303"/>
      <c r="P31" s="3820"/>
      <c r="Q31" s="1354">
        <f t="shared" si="11"/>
        <v>111</v>
      </c>
      <c r="R31" s="1355" t="s">
        <v>120</v>
      </c>
      <c r="S31" s="1356">
        <f t="shared" si="12"/>
        <v>100</v>
      </c>
      <c r="T31" s="1355" t="s">
        <v>120</v>
      </c>
      <c r="U31" s="1356">
        <f t="shared" si="13"/>
        <v>100</v>
      </c>
      <c r="V31" s="1355" t="s">
        <v>120</v>
      </c>
      <c r="W31" s="1356">
        <f t="shared" si="14"/>
        <v>100</v>
      </c>
      <c r="X31" s="1343"/>
      <c r="Y31" s="3813"/>
      <c r="Z31" s="1357">
        <f t="shared" si="18"/>
        <v>111</v>
      </c>
      <c r="AA31" s="1358">
        <f t="shared" si="15"/>
        <v>1</v>
      </c>
      <c r="AB31" s="1358">
        <f t="shared" si="16"/>
        <v>1</v>
      </c>
      <c r="AC31" s="1358">
        <f t="shared" si="17"/>
        <v>1</v>
      </c>
    </row>
    <row r="32" spans="1:29" ht="15">
      <c r="A32" s="155" t="s">
        <v>1232</v>
      </c>
      <c r="B32" s="62" t="s">
        <v>80</v>
      </c>
      <c r="C32" s="110" t="s">
        <v>163</v>
      </c>
      <c r="D32" s="813">
        <v>100</v>
      </c>
      <c r="E32" s="111" t="s">
        <v>163</v>
      </c>
      <c r="F32" s="807">
        <f>SUMIF(100:100,E32,101:101)-SUMIF(100:100,C32,101:101)+100</f>
        <v>100</v>
      </c>
      <c r="G32" s="110" t="s">
        <v>318</v>
      </c>
      <c r="H32" s="813">
        <f>SUMIF(100:100,G32,101:101)-SUMIF(100:100,C32,101:101)+100</f>
        <v>115</v>
      </c>
      <c r="I32" s="111" t="s">
        <v>163</v>
      </c>
      <c r="J32" s="781">
        <f>SUMIF(100:100,I32,101:101)-SUMIF(100:100,C32,101:101)+100</f>
        <v>100</v>
      </c>
      <c r="K32" s="772">
        <v>15</v>
      </c>
      <c r="L32" s="2308"/>
      <c r="M32" s="2303"/>
      <c r="N32" s="2303"/>
      <c r="O32" s="2303"/>
      <c r="P32" s="3814" t="s">
        <v>75</v>
      </c>
      <c r="Q32" s="1354" t="str">
        <f t="shared" si="11"/>
        <v>建筑类型</v>
      </c>
      <c r="R32" s="1355" t="s">
        <v>120</v>
      </c>
      <c r="S32" s="1356">
        <f t="shared" si="12"/>
        <v>100</v>
      </c>
      <c r="T32" s="1355" t="s">
        <v>120</v>
      </c>
      <c r="U32" s="1356">
        <f t="shared" si="13"/>
        <v>115</v>
      </c>
      <c r="V32" s="1355" t="s">
        <v>120</v>
      </c>
      <c r="W32" s="1356">
        <f t="shared" si="14"/>
        <v>100</v>
      </c>
      <c r="X32" s="1343"/>
      <c r="Y32" s="3817" t="s">
        <v>75</v>
      </c>
      <c r="Z32" s="1357" t="str">
        <f t="shared" si="18"/>
        <v>建筑类型</v>
      </c>
      <c r="AA32" s="1358">
        <f t="shared" si="15"/>
        <v>1</v>
      </c>
      <c r="AB32" s="1358">
        <f t="shared" si="16"/>
        <v>0.86956521739130432</v>
      </c>
      <c r="AC32" s="1358">
        <f t="shared" si="17"/>
        <v>1</v>
      </c>
    </row>
    <row r="33" spans="1:29" s="1043" customFormat="1" ht="14.25">
      <c r="A33" s="1047"/>
      <c r="B33" s="12" t="s">
        <v>81</v>
      </c>
      <c r="C33" s="815">
        <v>430.95</v>
      </c>
      <c r="D33" s="429">
        <v>100</v>
      </c>
      <c r="E33" s="776">
        <v>358.71</v>
      </c>
      <c r="F33" s="771">
        <f>LOOKUP(E33,103:103,104:104)-LOOKUP(C33,103:103,104:104)+100</f>
        <v>100</v>
      </c>
      <c r="G33" s="775">
        <v>557.86</v>
      </c>
      <c r="H33" s="429">
        <f>LOOKUP(G33,103:103,104:104)-LOOKUP(C33,103:103,104:104)+100</f>
        <v>102</v>
      </c>
      <c r="I33" s="776">
        <v>355</v>
      </c>
      <c r="J33" s="429">
        <f>LOOKUP(I33,103:103,104:104)-LOOKUP(C33,103:103,104:104)+100</f>
        <v>100</v>
      </c>
      <c r="K33" s="153"/>
      <c r="L33" s="2307"/>
      <c r="M33" s="2309"/>
      <c r="N33" s="2309"/>
      <c r="O33" s="2309"/>
      <c r="P33" s="3815"/>
      <c r="Q33" s="1362" t="str">
        <f t="shared" si="11"/>
        <v>项目建筑规模</v>
      </c>
      <c r="R33" s="1363" t="s">
        <v>120</v>
      </c>
      <c r="S33" s="1364">
        <f t="shared" si="12"/>
        <v>100</v>
      </c>
      <c r="T33" s="1363" t="s">
        <v>120</v>
      </c>
      <c r="U33" s="1364">
        <f t="shared" si="13"/>
        <v>102</v>
      </c>
      <c r="V33" s="1363" t="s">
        <v>120</v>
      </c>
      <c r="W33" s="1364">
        <f t="shared" si="14"/>
        <v>100</v>
      </c>
      <c r="X33" s="1365"/>
      <c r="Y33" s="3817"/>
      <c r="Z33" s="1366" t="str">
        <f t="shared" si="18"/>
        <v>项目建筑规模</v>
      </c>
      <c r="AA33" s="1358">
        <f t="shared" si="15"/>
        <v>1</v>
      </c>
      <c r="AB33" s="1358">
        <f t="shared" si="16"/>
        <v>0.98039215686274506</v>
      </c>
      <c r="AC33" s="1358">
        <f t="shared" si="17"/>
        <v>1</v>
      </c>
    </row>
    <row r="34" spans="1:29" ht="15">
      <c r="A34" s="161"/>
      <c r="B34" s="12" t="s">
        <v>82</v>
      </c>
      <c r="C34" s="112" t="s">
        <v>131</v>
      </c>
      <c r="D34" s="781">
        <v>100</v>
      </c>
      <c r="E34" s="113" t="s">
        <v>131</v>
      </c>
      <c r="F34" s="807">
        <f>SUMIF(105:105,E34,106:106)-SUMIF(105:105,C34,106:106)+100</f>
        <v>100</v>
      </c>
      <c r="G34" s="112" t="s">
        <v>131</v>
      </c>
      <c r="H34" s="781">
        <f>SUMIF(105:105,G34,106:106)-SUMIF(105:105,C34,106:106)+100</f>
        <v>100</v>
      </c>
      <c r="I34" s="113" t="s">
        <v>131</v>
      </c>
      <c r="J34" s="781">
        <f>SUMIF(105:105,I34,106:106)-SUMIF(105:105,C34,106:106)+100</f>
        <v>100</v>
      </c>
      <c r="K34" s="772">
        <v>2</v>
      </c>
      <c r="L34" s="2308"/>
      <c r="M34" s="2303"/>
      <c r="N34" s="2303"/>
      <c r="O34" s="2303"/>
      <c r="P34" s="3815"/>
      <c r="Q34" s="1354" t="str">
        <f t="shared" si="11"/>
        <v>建筑结构</v>
      </c>
      <c r="R34" s="1355" t="s">
        <v>120</v>
      </c>
      <c r="S34" s="1356">
        <f t="shared" si="12"/>
        <v>100</v>
      </c>
      <c r="T34" s="1355" t="s">
        <v>120</v>
      </c>
      <c r="U34" s="1356">
        <f t="shared" si="13"/>
        <v>100</v>
      </c>
      <c r="V34" s="1355" t="s">
        <v>120</v>
      </c>
      <c r="W34" s="1356">
        <f t="shared" si="14"/>
        <v>100</v>
      </c>
      <c r="X34" s="1343"/>
      <c r="Y34" s="3817"/>
      <c r="Z34" s="1357" t="str">
        <f t="shared" si="18"/>
        <v>建筑结构</v>
      </c>
      <c r="AA34" s="1358">
        <f t="shared" si="15"/>
        <v>1</v>
      </c>
      <c r="AB34" s="1358">
        <f t="shared" si="16"/>
        <v>1</v>
      </c>
      <c r="AC34" s="1358">
        <f t="shared" si="17"/>
        <v>1</v>
      </c>
    </row>
    <row r="35" spans="1:29" ht="15">
      <c r="A35" s="161"/>
      <c r="B35" s="12" t="s">
        <v>83</v>
      </c>
      <c r="C35" s="109" t="s">
        <v>2794</v>
      </c>
      <c r="D35" s="781">
        <v>100</v>
      </c>
      <c r="E35" s="108" t="s">
        <v>2794</v>
      </c>
      <c r="F35" s="807">
        <f>SUMIF(107:107,E35,108:108)-SUMIF(107:107,C35,108:108)+100</f>
        <v>100</v>
      </c>
      <c r="G35" s="109" t="s">
        <v>2795</v>
      </c>
      <c r="H35" s="781">
        <f>SUMIF(107:107,G35,108:108)-SUMIF(107:107,C35,108:108)+100</f>
        <v>105</v>
      </c>
      <c r="I35" s="108" t="s">
        <v>2794</v>
      </c>
      <c r="J35" s="781">
        <f>SUMIF(107:107,I35,108:108)-SUMIF(107:107,C35,108:108)+100</f>
        <v>100</v>
      </c>
      <c r="K35" s="772">
        <v>5</v>
      </c>
      <c r="L35" s="2308"/>
      <c r="M35" s="2303"/>
      <c r="N35" s="2303"/>
      <c r="O35" s="2303"/>
      <c r="P35" s="3815"/>
      <c r="Q35" s="1354" t="str">
        <f t="shared" si="11"/>
        <v>建筑品质</v>
      </c>
      <c r="R35" s="1355" t="s">
        <v>120</v>
      </c>
      <c r="S35" s="1356">
        <f t="shared" si="12"/>
        <v>100</v>
      </c>
      <c r="T35" s="1355" t="s">
        <v>120</v>
      </c>
      <c r="U35" s="1356">
        <f t="shared" si="13"/>
        <v>105</v>
      </c>
      <c r="V35" s="1355" t="s">
        <v>120</v>
      </c>
      <c r="W35" s="1356">
        <f t="shared" si="14"/>
        <v>100</v>
      </c>
      <c r="X35" s="1343"/>
      <c r="Y35" s="3817"/>
      <c r="Z35" s="1357" t="str">
        <f t="shared" si="18"/>
        <v>建筑品质</v>
      </c>
      <c r="AA35" s="1358">
        <f t="shared" si="15"/>
        <v>1</v>
      </c>
      <c r="AB35" s="1358">
        <f t="shared" si="16"/>
        <v>0.95238095238095233</v>
      </c>
      <c r="AC35" s="1358">
        <f t="shared" si="17"/>
        <v>1</v>
      </c>
    </row>
    <row r="36" spans="1:29" ht="15">
      <c r="A36" s="161"/>
      <c r="B36" s="12" t="s">
        <v>84</v>
      </c>
      <c r="C36" s="109" t="s">
        <v>137</v>
      </c>
      <c r="D36" s="781">
        <v>100</v>
      </c>
      <c r="E36" s="108" t="s">
        <v>137</v>
      </c>
      <c r="F36" s="807">
        <f>SUMIF(109:109,E36,110:110)-SUMIF(109:109,C36,110:110)+100</f>
        <v>100</v>
      </c>
      <c r="G36" s="109" t="s">
        <v>137</v>
      </c>
      <c r="H36" s="781">
        <f>SUMIF(109:109,G36,110:110)-SUMIF(109:109,C36,110:110)+100</f>
        <v>100</v>
      </c>
      <c r="I36" s="108" t="s">
        <v>137</v>
      </c>
      <c r="J36" s="781">
        <f>SUMIF(109:109,I36,110:110)-SUMIF(109:109,C36,110:110)+100</f>
        <v>100</v>
      </c>
      <c r="K36" s="772">
        <v>2</v>
      </c>
      <c r="L36" s="2308"/>
      <c r="M36" s="2303"/>
      <c r="N36" s="2303"/>
      <c r="O36" s="2303"/>
      <c r="P36" s="3815"/>
      <c r="Q36" s="1354" t="str">
        <f t="shared" si="11"/>
        <v>公共部分装修</v>
      </c>
      <c r="R36" s="1355" t="s">
        <v>120</v>
      </c>
      <c r="S36" s="1356">
        <f t="shared" si="12"/>
        <v>100</v>
      </c>
      <c r="T36" s="1355" t="s">
        <v>120</v>
      </c>
      <c r="U36" s="1356">
        <f t="shared" si="13"/>
        <v>100</v>
      </c>
      <c r="V36" s="1355" t="s">
        <v>120</v>
      </c>
      <c r="W36" s="1356">
        <f t="shared" si="14"/>
        <v>100</v>
      </c>
      <c r="X36" s="1343"/>
      <c r="Y36" s="3817"/>
      <c r="Z36" s="1357" t="str">
        <f t="shared" si="18"/>
        <v>公共部分装修</v>
      </c>
      <c r="AA36" s="1358">
        <f t="shared" si="15"/>
        <v>1</v>
      </c>
      <c r="AB36" s="1358">
        <f t="shared" si="16"/>
        <v>1</v>
      </c>
      <c r="AC36" s="1358">
        <f t="shared" si="17"/>
        <v>1</v>
      </c>
    </row>
    <row r="37" spans="1:29" s="40" customFormat="1" ht="15">
      <c r="A37" s="1045"/>
      <c r="B37" s="12"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304"/>
      <c r="M37" s="2266"/>
      <c r="N37" s="2266"/>
      <c r="O37" s="2266"/>
      <c r="P37" s="3815"/>
      <c r="Q37" s="7" t="str">
        <f t="shared" si="11"/>
        <v>成新度</v>
      </c>
      <c r="R37" s="1345" t="s">
        <v>120</v>
      </c>
      <c r="S37" s="1346">
        <f t="shared" si="12"/>
        <v>100</v>
      </c>
      <c r="T37" s="1345" t="s">
        <v>120</v>
      </c>
      <c r="U37" s="1346">
        <f t="shared" si="13"/>
        <v>100</v>
      </c>
      <c r="V37" s="1345" t="s">
        <v>120</v>
      </c>
      <c r="W37" s="1346">
        <f t="shared" si="14"/>
        <v>100</v>
      </c>
      <c r="X37" s="293"/>
      <c r="Y37" s="3817"/>
      <c r="Z37" s="294" t="str">
        <f t="shared" si="18"/>
        <v>成新度</v>
      </c>
      <c r="AA37" s="1347">
        <f t="shared" si="15"/>
        <v>1</v>
      </c>
      <c r="AB37" s="1347">
        <f t="shared" si="16"/>
        <v>1</v>
      </c>
      <c r="AC37" s="1347">
        <f t="shared" si="17"/>
        <v>1</v>
      </c>
    </row>
    <row r="38" spans="1:29" ht="15">
      <c r="A38" s="161"/>
      <c r="B38" s="12" t="s">
        <v>86</v>
      </c>
      <c r="C38" s="109" t="s">
        <v>133</v>
      </c>
      <c r="D38" s="781">
        <v>100</v>
      </c>
      <c r="E38" s="108" t="s">
        <v>133</v>
      </c>
      <c r="F38" s="807">
        <f>SUMIF(114:114,E38,115:115)-SUMIF(114:114,C38,115:115)+100</f>
        <v>100</v>
      </c>
      <c r="G38" s="109" t="s">
        <v>133</v>
      </c>
      <c r="H38" s="781">
        <f>SUMIF(114:114,G38,115:115)-SUMIF(114:114,C38,115:115)+100</f>
        <v>100</v>
      </c>
      <c r="I38" s="108" t="s">
        <v>133</v>
      </c>
      <c r="J38" s="781">
        <f>SUMIF(114:114,I38,115:115)-SUMIF(114:114,C38,115:115)+100</f>
        <v>100</v>
      </c>
      <c r="K38" s="772">
        <v>3</v>
      </c>
      <c r="L38" s="2308"/>
      <c r="M38" s="2303"/>
      <c r="N38" s="2303"/>
      <c r="O38" s="2303"/>
      <c r="P38" s="3815" t="s">
        <v>75</v>
      </c>
      <c r="Q38" s="1354" t="str">
        <f t="shared" si="11"/>
        <v>物业管理</v>
      </c>
      <c r="R38" s="1355" t="s">
        <v>120</v>
      </c>
      <c r="S38" s="1356">
        <f t="shared" si="12"/>
        <v>100</v>
      </c>
      <c r="T38" s="1355" t="s">
        <v>120</v>
      </c>
      <c r="U38" s="1356">
        <f t="shared" si="13"/>
        <v>100</v>
      </c>
      <c r="V38" s="1355" t="s">
        <v>120</v>
      </c>
      <c r="W38" s="1356">
        <f t="shared" si="14"/>
        <v>100</v>
      </c>
      <c r="X38" s="1343"/>
      <c r="Y38" s="3817" t="s">
        <v>75</v>
      </c>
      <c r="Z38" s="1357" t="str">
        <f t="shared" si="18"/>
        <v>物业管理</v>
      </c>
      <c r="AA38" s="1358">
        <f t="shared" si="15"/>
        <v>1</v>
      </c>
      <c r="AB38" s="1358">
        <f t="shared" si="16"/>
        <v>1</v>
      </c>
      <c r="AC38" s="1358">
        <f t="shared" si="17"/>
        <v>1</v>
      </c>
    </row>
    <row r="39" spans="1:29" ht="15">
      <c r="A39" s="161"/>
      <c r="B39" s="12" t="s">
        <v>3046</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8"/>
      <c r="M39" s="2303"/>
      <c r="N39" s="2303"/>
      <c r="O39" s="2303"/>
      <c r="P39" s="3815"/>
      <c r="Q39" s="1354" t="str">
        <f t="shared" si="11"/>
        <v>市政基础设施</v>
      </c>
      <c r="R39" s="1355" t="s">
        <v>120</v>
      </c>
      <c r="S39" s="1356">
        <f t="shared" si="12"/>
        <v>100</v>
      </c>
      <c r="T39" s="1355" t="s">
        <v>120</v>
      </c>
      <c r="U39" s="1356">
        <f t="shared" si="13"/>
        <v>100</v>
      </c>
      <c r="V39" s="1355" t="s">
        <v>120</v>
      </c>
      <c r="W39" s="1356">
        <f t="shared" si="14"/>
        <v>100</v>
      </c>
      <c r="X39" s="1343"/>
      <c r="Y39" s="3817"/>
      <c r="Z39" s="1357" t="str">
        <f t="shared" si="18"/>
        <v>市政基础设施</v>
      </c>
      <c r="AA39" s="1358">
        <f t="shared" si="15"/>
        <v>1</v>
      </c>
      <c r="AB39" s="1358">
        <f t="shared" si="16"/>
        <v>1</v>
      </c>
      <c r="AC39" s="1358">
        <f t="shared" si="17"/>
        <v>1</v>
      </c>
    </row>
    <row r="40" spans="1:29" ht="15">
      <c r="A40" s="161"/>
      <c r="B40" s="12" t="s">
        <v>87</v>
      </c>
      <c r="C40" s="109" t="s">
        <v>134</v>
      </c>
      <c r="D40" s="781">
        <v>100</v>
      </c>
      <c r="E40" s="108" t="s">
        <v>134</v>
      </c>
      <c r="F40" s="807">
        <f>SUMIF(118:118,E40,119:119)-SUMIF(118:118,C40,119:119)+100</f>
        <v>100</v>
      </c>
      <c r="G40" s="109" t="s">
        <v>134</v>
      </c>
      <c r="H40" s="781">
        <f>SUMIF(118:118,G40,119:119)-SUMIF(118:118,C40,119:119)+100</f>
        <v>100</v>
      </c>
      <c r="I40" s="108" t="s">
        <v>134</v>
      </c>
      <c r="J40" s="781">
        <f>SUMIF(118:118,I40,119:119)-SUMIF(118:118,C40,119:119)+100</f>
        <v>100</v>
      </c>
      <c r="K40" s="772">
        <v>5</v>
      </c>
      <c r="L40" s="2308"/>
      <c r="M40" s="2303"/>
      <c r="N40" s="2303"/>
      <c r="O40" s="2303"/>
      <c r="P40" s="3815"/>
      <c r="Q40" s="1354" t="str">
        <f t="shared" si="11"/>
        <v>房型</v>
      </c>
      <c r="R40" s="1355" t="s">
        <v>120</v>
      </c>
      <c r="S40" s="1356">
        <f t="shared" si="12"/>
        <v>100</v>
      </c>
      <c r="T40" s="1355" t="s">
        <v>120</v>
      </c>
      <c r="U40" s="1356">
        <f t="shared" si="13"/>
        <v>100</v>
      </c>
      <c r="V40" s="1355" t="s">
        <v>120</v>
      </c>
      <c r="W40" s="1356">
        <f t="shared" si="14"/>
        <v>100</v>
      </c>
      <c r="X40" s="1343"/>
      <c r="Y40" s="3817"/>
      <c r="Z40" s="1357" t="str">
        <f t="shared" si="18"/>
        <v>房型</v>
      </c>
      <c r="AA40" s="1358">
        <f t="shared" si="15"/>
        <v>1</v>
      </c>
      <c r="AB40" s="1358">
        <f t="shared" si="16"/>
        <v>1</v>
      </c>
      <c r="AC40" s="1358">
        <f t="shared" si="17"/>
        <v>1</v>
      </c>
    </row>
    <row r="41" spans="1:29" s="1043" customFormat="1" ht="27">
      <c r="A41" s="1047"/>
      <c r="B41" s="12" t="s">
        <v>121</v>
      </c>
      <c r="C41" s="1361"/>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7"/>
      <c r="M41" s="2309"/>
      <c r="N41" s="2309"/>
      <c r="O41" s="2309"/>
      <c r="P41" s="3815"/>
      <c r="Q41" s="1362" t="str">
        <f t="shared" si="11"/>
        <v>单套/主力户型建筑面积</v>
      </c>
      <c r="R41" s="1363" t="s">
        <v>120</v>
      </c>
      <c r="S41" s="1364">
        <f t="shared" si="12"/>
        <v>100</v>
      </c>
      <c r="T41" s="1363" t="s">
        <v>120</v>
      </c>
      <c r="U41" s="1364">
        <f t="shared" si="13"/>
        <v>100</v>
      </c>
      <c r="V41" s="1363" t="s">
        <v>120</v>
      </c>
      <c r="W41" s="1364">
        <f t="shared" si="14"/>
        <v>100</v>
      </c>
      <c r="X41" s="1365"/>
      <c r="Y41" s="3817"/>
      <c r="Z41" s="1366" t="str">
        <f t="shared" si="18"/>
        <v>单套/主力户型建筑面积</v>
      </c>
      <c r="AA41" s="1358">
        <f t="shared" si="15"/>
        <v>1</v>
      </c>
      <c r="AB41" s="1358">
        <f t="shared" si="16"/>
        <v>1</v>
      </c>
      <c r="AC41" s="1358">
        <f t="shared" si="17"/>
        <v>1</v>
      </c>
    </row>
    <row r="42" spans="1:29" ht="15">
      <c r="A42" s="161"/>
      <c r="B42" s="12" t="s">
        <v>88</v>
      </c>
      <c r="C42" s="109" t="s">
        <v>136</v>
      </c>
      <c r="D42" s="781">
        <v>100</v>
      </c>
      <c r="E42" s="108" t="s">
        <v>136</v>
      </c>
      <c r="F42" s="807">
        <f>SUMIF(122:122,E42,123:123)-SUMIF(122:122,C42,123:123)+100</f>
        <v>100</v>
      </c>
      <c r="G42" s="109" t="s">
        <v>136</v>
      </c>
      <c r="H42" s="781">
        <f>SUMIF(122:122,G42,123:123)-SUMIF(122:122,C42,123:123)+100</f>
        <v>100</v>
      </c>
      <c r="I42" s="108" t="s">
        <v>136</v>
      </c>
      <c r="J42" s="781">
        <f>SUMIF(122:122,I42,123:123)-SUMIF(122:122,C42,123:123)+100</f>
        <v>100</v>
      </c>
      <c r="K42" s="772">
        <v>2</v>
      </c>
      <c r="L42" s="2308"/>
      <c r="M42" s="2303"/>
      <c r="N42" s="2303"/>
      <c r="O42" s="2303"/>
      <c r="P42" s="3815"/>
      <c r="Q42" s="1354" t="str">
        <f t="shared" si="11"/>
        <v>内部装修</v>
      </c>
      <c r="R42" s="1355" t="s">
        <v>120</v>
      </c>
      <c r="S42" s="1356">
        <f t="shared" si="12"/>
        <v>100</v>
      </c>
      <c r="T42" s="1355" t="s">
        <v>120</v>
      </c>
      <c r="U42" s="1356">
        <f t="shared" si="13"/>
        <v>100</v>
      </c>
      <c r="V42" s="1355" t="s">
        <v>120</v>
      </c>
      <c r="W42" s="1356">
        <f t="shared" si="14"/>
        <v>100</v>
      </c>
      <c r="X42" s="1343"/>
      <c r="Y42" s="3817"/>
      <c r="Z42" s="1357" t="str">
        <f t="shared" si="18"/>
        <v>内部装修</v>
      </c>
      <c r="AA42" s="1358">
        <f t="shared" si="15"/>
        <v>1</v>
      </c>
      <c r="AB42" s="1358">
        <f t="shared" si="16"/>
        <v>1</v>
      </c>
      <c r="AC42" s="1358">
        <f t="shared" si="17"/>
        <v>1</v>
      </c>
    </row>
    <row r="43" spans="1:29" ht="27">
      <c r="A43" s="161"/>
      <c r="B43" s="12"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0</v>
      </c>
      <c r="L43" s="2308"/>
      <c r="M43" s="2303"/>
      <c r="N43" s="2303"/>
      <c r="O43" s="2303"/>
      <c r="P43" s="3815"/>
      <c r="Q43" s="1354" t="str">
        <f t="shared" si="11"/>
        <v>内部装修维护情况</v>
      </c>
      <c r="R43" s="1355" t="s">
        <v>120</v>
      </c>
      <c r="S43" s="1356">
        <f t="shared" si="12"/>
        <v>100</v>
      </c>
      <c r="T43" s="1355" t="s">
        <v>120</v>
      </c>
      <c r="U43" s="1356">
        <f t="shared" si="13"/>
        <v>100</v>
      </c>
      <c r="V43" s="1355" t="s">
        <v>120</v>
      </c>
      <c r="W43" s="1356">
        <f t="shared" si="14"/>
        <v>100</v>
      </c>
      <c r="X43" s="1343"/>
      <c r="Y43" s="3817"/>
      <c r="Z43" s="1357" t="str">
        <f t="shared" si="18"/>
        <v>内部装修维护情况</v>
      </c>
      <c r="AA43" s="1358">
        <f t="shared" si="15"/>
        <v>1</v>
      </c>
      <c r="AB43" s="1358">
        <f t="shared" si="16"/>
        <v>1</v>
      </c>
      <c r="AC43" s="1358">
        <f t="shared" si="17"/>
        <v>1</v>
      </c>
    </row>
    <row r="44" spans="1:29" s="40" customFormat="1" ht="14.25">
      <c r="A44" s="1045"/>
      <c r="B44" s="1360">
        <v>111</v>
      </c>
      <c r="C44" s="1361" t="s">
        <v>321</v>
      </c>
      <c r="D44" s="429">
        <v>100</v>
      </c>
      <c r="E44" s="1361" t="s">
        <v>322</v>
      </c>
      <c r="F44" s="771">
        <f>SUMIF(126:126,E44,127:127)-SUMIF(126:126,C44,127:127)+100</f>
        <v>95</v>
      </c>
      <c r="G44" s="1361" t="s">
        <v>322</v>
      </c>
      <c r="H44" s="429">
        <f>SUMIF(126:126,G44,127:127)-SUMIF(126:126,C44,127:127)+100</f>
        <v>95</v>
      </c>
      <c r="I44" s="1361" t="s">
        <v>322</v>
      </c>
      <c r="J44" s="429">
        <f>SUMIF(126:126,I44,127:127)-SUMIF(126:126,C44,127:127)+100</f>
        <v>95</v>
      </c>
      <c r="K44" s="153"/>
      <c r="L44" s="2304"/>
      <c r="M44" s="2266"/>
      <c r="N44" s="2266"/>
      <c r="O44" s="2266"/>
      <c r="P44" s="3815"/>
      <c r="Q44" s="7">
        <f t="shared" si="11"/>
        <v>111</v>
      </c>
      <c r="R44" s="1345" t="s">
        <v>120</v>
      </c>
      <c r="S44" s="1346">
        <f t="shared" si="12"/>
        <v>95</v>
      </c>
      <c r="T44" s="1345" t="s">
        <v>120</v>
      </c>
      <c r="U44" s="1346">
        <f t="shared" si="13"/>
        <v>95</v>
      </c>
      <c r="V44" s="1345" t="s">
        <v>120</v>
      </c>
      <c r="W44" s="1346">
        <f t="shared" si="14"/>
        <v>95</v>
      </c>
      <c r="X44" s="293"/>
      <c r="Y44" s="3817"/>
      <c r="Z44" s="294">
        <f t="shared" si="18"/>
        <v>111</v>
      </c>
      <c r="AA44" s="1347">
        <f t="shared" si="15"/>
        <v>1.0526315789473684</v>
      </c>
      <c r="AB44" s="1347">
        <f t="shared" si="16"/>
        <v>1.0526315789473684</v>
      </c>
      <c r="AC44" s="1347">
        <f t="shared" si="17"/>
        <v>1.0526315789473684</v>
      </c>
    </row>
    <row r="45" spans="1:29" ht="14.25">
      <c r="A45" s="161"/>
      <c r="B45" s="1360">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53"/>
      <c r="L45" s="2308"/>
      <c r="M45" s="2303"/>
      <c r="N45" s="2303"/>
      <c r="O45" s="2303"/>
      <c r="P45" s="3815"/>
      <c r="Q45" s="1354">
        <f t="shared" si="11"/>
        <v>111</v>
      </c>
      <c r="R45" s="1355" t="s">
        <v>120</v>
      </c>
      <c r="S45" s="1356">
        <f t="shared" si="12"/>
        <v>100</v>
      </c>
      <c r="T45" s="1355" t="s">
        <v>120</v>
      </c>
      <c r="U45" s="1356">
        <f t="shared" si="13"/>
        <v>100</v>
      </c>
      <c r="V45" s="1355" t="s">
        <v>120</v>
      </c>
      <c r="W45" s="1356">
        <f t="shared" si="14"/>
        <v>100</v>
      </c>
      <c r="X45" s="1343"/>
      <c r="Y45" s="3817"/>
      <c r="Z45" s="1357">
        <f t="shared" si="18"/>
        <v>111</v>
      </c>
      <c r="AA45" s="1358">
        <f t="shared" si="15"/>
        <v>1</v>
      </c>
      <c r="AB45" s="1358">
        <f t="shared" si="16"/>
        <v>1</v>
      </c>
      <c r="AC45" s="1358">
        <f t="shared" si="17"/>
        <v>1</v>
      </c>
    </row>
    <row r="46" spans="1:29" ht="15" thickBot="1">
      <c r="A46" s="162"/>
      <c r="B46" s="1035">
        <v>111</v>
      </c>
      <c r="C46" s="94">
        <v>111</v>
      </c>
      <c r="D46" s="784">
        <v>100</v>
      </c>
      <c r="E46" s="94">
        <v>111</v>
      </c>
      <c r="F46" s="785">
        <f>SUMIF(130:130,E46,131:131)-SUMIF(130:130,C46,131:131)+100</f>
        <v>100</v>
      </c>
      <c r="G46" s="94">
        <v>111</v>
      </c>
      <c r="H46" s="784">
        <f>SUMIF(130:130,G46,131:131)-SUMIF(130:130,C46,131:131)+100</f>
        <v>100</v>
      </c>
      <c r="I46" s="94">
        <v>111</v>
      </c>
      <c r="J46" s="784">
        <f>SUMIF(130:130,I46,131:131)-SUMIF(130:130,C46,131:131)+100</f>
        <v>100</v>
      </c>
      <c r="K46" s="153"/>
      <c r="L46" s="2308"/>
      <c r="M46" s="2303"/>
      <c r="N46" s="2303"/>
      <c r="O46" s="2303"/>
      <c r="P46" s="3816"/>
      <c r="Q46" s="1354">
        <f t="shared" si="11"/>
        <v>111</v>
      </c>
      <c r="R46" s="1355" t="s">
        <v>119</v>
      </c>
      <c r="S46" s="1356">
        <f t="shared" si="12"/>
        <v>100</v>
      </c>
      <c r="T46" s="1355" t="s">
        <v>119</v>
      </c>
      <c r="U46" s="1356">
        <f t="shared" si="13"/>
        <v>100</v>
      </c>
      <c r="V46" s="1355" t="s">
        <v>119</v>
      </c>
      <c r="W46" s="1356">
        <f t="shared" si="14"/>
        <v>100</v>
      </c>
      <c r="X46" s="1343"/>
      <c r="Y46" s="3818"/>
      <c r="Z46" s="1357">
        <f t="shared" si="18"/>
        <v>111</v>
      </c>
      <c r="AA46" s="1358">
        <f t="shared" si="15"/>
        <v>1</v>
      </c>
      <c r="AB46" s="1358">
        <f t="shared" si="16"/>
        <v>1</v>
      </c>
      <c r="AC46" s="1358">
        <f t="shared" si="17"/>
        <v>1</v>
      </c>
    </row>
    <row r="47" spans="1:29" ht="15">
      <c r="A47" s="163" t="s">
        <v>118</v>
      </c>
      <c r="B47" s="164"/>
      <c r="C47" s="2852" t="s">
        <v>117</v>
      </c>
      <c r="D47" s="2853"/>
      <c r="E47" s="2854">
        <v>50000</v>
      </c>
      <c r="F47" s="2855"/>
      <c r="G47" s="2856">
        <v>68802</v>
      </c>
      <c r="H47" s="2857"/>
      <c r="I47" s="2854">
        <v>49458</v>
      </c>
      <c r="J47" s="2857"/>
      <c r="K47" s="1367"/>
      <c r="L47" s="2310"/>
      <c r="M47" s="2311"/>
      <c r="N47" s="2303"/>
      <c r="O47" s="2311"/>
      <c r="P47" s="3810" t="str">
        <f>A47</f>
        <v>成交单价（元/平方米）</v>
      </c>
      <c r="Q47" s="3810"/>
      <c r="R47" s="3811">
        <f>E47</f>
        <v>50000</v>
      </c>
      <c r="S47" s="3811"/>
      <c r="T47" s="3811">
        <f>G47</f>
        <v>68802</v>
      </c>
      <c r="U47" s="3811"/>
      <c r="V47" s="3811">
        <f>I47</f>
        <v>49458</v>
      </c>
      <c r="W47" s="3811"/>
      <c r="X47" s="1368"/>
      <c r="Y47" s="1369"/>
      <c r="Z47" s="1368"/>
      <c r="AA47" s="1368"/>
      <c r="AB47" s="1368"/>
      <c r="AC47" s="1368"/>
    </row>
    <row r="48" spans="1:29" ht="15.75" thickBot="1">
      <c r="A48" s="165" t="s">
        <v>116</v>
      </c>
      <c r="B48" s="166"/>
      <c r="C48" s="2858">
        <f>R49</f>
        <v>56404</v>
      </c>
      <c r="D48" s="2859"/>
      <c r="E48" s="2860">
        <f>R48</f>
        <v>51481</v>
      </c>
      <c r="F48" s="2860"/>
      <c r="G48" s="2858">
        <f>T48</f>
        <v>60496</v>
      </c>
      <c r="H48" s="2859"/>
      <c r="I48" s="2860">
        <f>V48</f>
        <v>57235</v>
      </c>
      <c r="J48" s="2859"/>
      <c r="K48" s="1370"/>
      <c r="L48" s="2310"/>
      <c r="M48" s="2311"/>
      <c r="N48" s="2311"/>
      <c r="O48" s="2311"/>
      <c r="P48" s="3810" t="str">
        <f>A48</f>
        <v>比较价值（元/平方米）</v>
      </c>
      <c r="Q48" s="3810"/>
      <c r="R48" s="3811">
        <f>IF(F1="售价",ROUND(PRODUCT(R47,AA7:AA46),0),ROUND(PRODUCT(R47,AA7:AA46),1))</f>
        <v>51481</v>
      </c>
      <c r="S48" s="3811"/>
      <c r="T48" s="3811">
        <f>IF(F1="售价",ROUND(PRODUCT(T47,AB7:AB46),0),ROUND(PRODUCT(T47,AB7:AB46),1))</f>
        <v>60496</v>
      </c>
      <c r="U48" s="3811"/>
      <c r="V48" s="3811">
        <f>IF(F1="售价",ROUND(PRODUCT(V47,AC7:AC46),0),ROUND(PRODUCT(V47,AC7:AC46),1))</f>
        <v>57235</v>
      </c>
      <c r="W48" s="3811"/>
      <c r="X48" s="1368"/>
      <c r="Y48" s="1368"/>
      <c r="Z48" s="1368"/>
      <c r="AA48" s="1368"/>
      <c r="AB48" s="1368"/>
      <c r="AC48" s="1368"/>
    </row>
    <row r="49" spans="1:29" ht="15.75" thickBot="1">
      <c r="A49" s="115" t="s">
        <v>115</v>
      </c>
      <c r="B49" s="116"/>
      <c r="C49" s="2861">
        <f>R49</f>
        <v>56404</v>
      </c>
      <c r="D49" s="2862"/>
      <c r="E49" s="2862"/>
      <c r="F49" s="2862"/>
      <c r="G49" s="2862"/>
      <c r="H49" s="2862"/>
      <c r="I49" s="2862"/>
      <c r="J49" s="2862"/>
      <c r="K49" s="1371"/>
      <c r="L49" s="2310"/>
      <c r="M49" s="2311"/>
      <c r="N49" s="2311"/>
      <c r="O49" s="2311"/>
      <c r="P49" s="3807" t="str">
        <f>A49</f>
        <v>估价对象XX用房的比较价值（楼面单价，元/平方米）</v>
      </c>
      <c r="Q49" s="3808"/>
      <c r="R49" s="3809">
        <f>IF(F1="售价",ROUND(AVERAGE(R48:V48),0),ROUND(AVERAGE(R48:V48),1))</f>
        <v>56404</v>
      </c>
      <c r="S49" s="3809"/>
      <c r="T49" s="3809"/>
      <c r="U49" s="3809"/>
      <c r="V49" s="3809"/>
      <c r="W49" s="3809"/>
      <c r="X49" s="1368"/>
      <c r="Y49" s="1368"/>
      <c r="Z49" s="1368"/>
      <c r="AA49" s="1368"/>
      <c r="AB49" s="1368"/>
      <c r="AC49" s="1368"/>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3" t="s">
        <v>1236</v>
      </c>
      <c r="D52" s="844"/>
      <c r="E52" s="845">
        <f>IF(E47&lt;E48,E48/E47-1,E47/E48-1)</f>
        <v>2.961999999999998E-2</v>
      </c>
      <c r="F52" s="846" t="str">
        <f>IF(OR(E52&gt;=0.3,E52&lt;=-0.3),"超过30%","")</f>
        <v/>
      </c>
      <c r="G52" s="845">
        <f>IF(G47&lt;G48,G48/G47-1,G47/G48-1)</f>
        <v>0.13729833377413381</v>
      </c>
      <c r="H52" s="846" t="str">
        <f>IF(OR(G52&gt;=0.3,G52&lt;=-0.3),"超过30%","")</f>
        <v/>
      </c>
      <c r="I52" s="845">
        <f>IF(I47&lt;I48,I48/I47-1,I47/I48-1)</f>
        <v>0.15724453071292821</v>
      </c>
      <c r="J52" s="846" t="str">
        <f>IF(OR(I52&gt;=0.3,I52&lt;=-0.3),"超过30%","")</f>
        <v/>
      </c>
      <c r="K52" s="2312"/>
      <c r="L52" s="2313"/>
      <c r="M52" s="2311"/>
      <c r="N52" s="2311"/>
      <c r="O52" s="2311"/>
    </row>
    <row r="53" spans="1:29" ht="13.5" customHeight="1">
      <c r="A53" s="2311"/>
      <c r="B53" s="2311"/>
      <c r="C53" s="843" t="s">
        <v>1237</v>
      </c>
      <c r="D53" s="847"/>
      <c r="E53" s="845">
        <f>IF(E48&lt;G48,G48/E48-1,E48/G48-1)</f>
        <v>0.17511314854023818</v>
      </c>
      <c r="F53" s="846" t="str">
        <f>IF(OR(E53&gt;=0.2,E53&lt;=-0.2),"超过20%","")</f>
        <v/>
      </c>
      <c r="G53" s="845">
        <f>IF(G48&lt;I48,I48/G48-1,G48/I48-1)</f>
        <v>5.6975626801782031E-2</v>
      </c>
      <c r="H53" s="846" t="str">
        <f>IF(OR(G53&gt;=0.2,G53&lt;=-0.2),"超过20%","")</f>
        <v/>
      </c>
      <c r="I53" s="845">
        <f>IF(I48&lt;E48,E48/I48-1,I48/E48-1)</f>
        <v>0.1117693906489774</v>
      </c>
      <c r="J53" s="846" t="str">
        <f>IF(OR(I53&gt;=0.2,I53&lt;=-0.2),"超过20%","")</f>
        <v/>
      </c>
      <c r="K53" s="2312"/>
      <c r="L53" s="2313"/>
      <c r="M53" s="2311"/>
      <c r="N53" s="2311"/>
      <c r="O53" s="2311"/>
    </row>
    <row r="54" spans="1:29" s="119" customFormat="1" ht="13.5" customHeight="1">
      <c r="A54" s="2316"/>
      <c r="B54" s="2316"/>
      <c r="C54" s="843" t="s">
        <v>1238</v>
      </c>
      <c r="D54" s="847"/>
      <c r="E54" s="845">
        <f>IF(E47&lt;G47,G47/E47-1,E47/G47-1)</f>
        <v>0.37603999999999993</v>
      </c>
      <c r="F54" s="846" t="str">
        <f>IF(OR(E54&gt;=0.3,E54&lt;=-0.3),"超过30%","")</f>
        <v>超过30%</v>
      </c>
      <c r="G54" s="845">
        <f>IF(G47&lt;I47,I47/G47-1,G47/I47-1)</f>
        <v>0.39111973795948085</v>
      </c>
      <c r="H54" s="846" t="str">
        <f>IF(OR(G54&gt;=0.3,G54&lt;=-0.3),"超过30%","")</f>
        <v>超过30%</v>
      </c>
      <c r="I54" s="845">
        <f>IF(I47&lt;E47,E47/I47-1,I47/E47-1)</f>
        <v>1.095879331958427E-2</v>
      </c>
      <c r="J54" s="846" t="str">
        <f>IF(OR(I54&gt;=0.3,I54&lt;=-0.3),"超过30%","")</f>
        <v/>
      </c>
      <c r="K54" s="2314"/>
      <c r="L54" s="2315"/>
      <c r="M54" s="2316"/>
      <c r="N54" s="2316"/>
      <c r="O54" s="2316"/>
      <c r="P54" s="1374"/>
    </row>
    <row r="55" spans="1:29" s="119" customFormat="1">
      <c r="A55" s="2316"/>
      <c r="B55" s="2321"/>
      <c r="C55" s="2322"/>
      <c r="D55" s="2316"/>
      <c r="E55" s="2316"/>
      <c r="F55" s="2316"/>
      <c r="G55" s="2316"/>
      <c r="H55" s="2316"/>
      <c r="I55" s="2316"/>
      <c r="J55" s="2316"/>
      <c r="K55" s="2314"/>
      <c r="L55" s="2315"/>
      <c r="M55" s="2316"/>
      <c r="N55" s="2316"/>
      <c r="O55" s="2316"/>
      <c r="P55" s="1374"/>
    </row>
    <row r="56" spans="1:29">
      <c r="A56" s="2311"/>
      <c r="B56" s="2321"/>
      <c r="C56" s="2322"/>
      <c r="D56" s="2311"/>
      <c r="E56" s="2311"/>
      <c r="F56" s="2311"/>
      <c r="G56" s="2311"/>
      <c r="H56" s="2311"/>
      <c r="I56" s="2311"/>
      <c r="J56" s="2311"/>
      <c r="K56" s="2312"/>
      <c r="L56" s="2313"/>
      <c r="M56" s="2311"/>
      <c r="N56" s="2311"/>
      <c r="O56" s="2311"/>
    </row>
    <row r="57" spans="1:29" ht="21" thickBot="1">
      <c r="A57" s="1375" t="s">
        <v>189</v>
      </c>
      <c r="B57" s="1368"/>
      <c r="C57" s="1376"/>
      <c r="D57" s="1376"/>
      <c r="E57" s="1376"/>
      <c r="F57" s="1377"/>
      <c r="G57" s="1377"/>
      <c r="H57" s="1376"/>
      <c r="I57" s="1376"/>
      <c r="J57" s="1376"/>
      <c r="K57" s="2317"/>
      <c r="L57" s="2318"/>
      <c r="M57" s="2319"/>
      <c r="N57" s="2319"/>
      <c r="O57" s="2319"/>
      <c r="P57" s="1379"/>
      <c r="Q57" s="121"/>
    </row>
    <row r="58" spans="1:29" s="854" customFormat="1" ht="15">
      <c r="A58" s="851" t="s">
        <v>3203</v>
      </c>
      <c r="B58" s="852"/>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49"/>
      <c r="B59" s="3059"/>
      <c r="C59" s="3060">
        <v>100</v>
      </c>
      <c r="D59" s="857">
        <v>100</v>
      </c>
      <c r="E59" s="858">
        <v>100</v>
      </c>
      <c r="F59" s="858">
        <v>100</v>
      </c>
      <c r="G59" s="858">
        <v>99</v>
      </c>
      <c r="H59" s="858">
        <v>99</v>
      </c>
      <c r="I59" s="858">
        <v>97</v>
      </c>
      <c r="J59" s="858">
        <v>96.5</v>
      </c>
      <c r="K59" s="858">
        <v>96</v>
      </c>
      <c r="L59" s="858">
        <v>95.5</v>
      </c>
      <c r="M59" s="859">
        <v>95</v>
      </c>
      <c r="N59" s="858">
        <v>94.5</v>
      </c>
      <c r="O59" s="859">
        <v>94</v>
      </c>
      <c r="P59" s="1380"/>
    </row>
    <row r="60" spans="1:29" s="40" customFormat="1" ht="15" thickBot="1">
      <c r="A60" s="1051" t="s">
        <v>173</v>
      </c>
      <c r="B60" s="1052"/>
      <c r="C60" s="863"/>
      <c r="D60" s="864"/>
      <c r="E60" s="864"/>
      <c r="F60" s="864"/>
      <c r="G60" s="864"/>
      <c r="H60" s="864"/>
      <c r="I60" s="864"/>
      <c r="J60" s="864"/>
      <c r="K60" s="864"/>
      <c r="L60" s="864"/>
      <c r="M60" s="865"/>
      <c r="N60" s="864"/>
      <c r="O60" s="865"/>
      <c r="P60" s="1380"/>
      <c r="Q60" s="121"/>
    </row>
    <row r="61" spans="1:29" s="40" customFormat="1">
      <c r="A61" s="1053" t="s">
        <v>71</v>
      </c>
      <c r="B61" s="1050"/>
      <c r="C61" s="1054" t="s">
        <v>166</v>
      </c>
      <c r="D61" s="140" t="s">
        <v>188</v>
      </c>
      <c r="E61" s="140"/>
      <c r="F61" s="140"/>
      <c r="G61" s="140"/>
      <c r="H61" s="140"/>
      <c r="I61" s="140"/>
      <c r="J61" s="140"/>
      <c r="K61" s="140"/>
      <c r="L61" s="141"/>
      <c r="M61" s="1055"/>
      <c r="N61" s="1391"/>
      <c r="O61" s="1391"/>
      <c r="P61" s="1381"/>
      <c r="Q61" s="121"/>
    </row>
    <row r="62" spans="1:29" s="40" customFormat="1" ht="15" thickBot="1">
      <c r="A62" s="1053"/>
      <c r="B62" s="1050"/>
      <c r="C62" s="857">
        <v>100</v>
      </c>
      <c r="D62" s="858">
        <v>102</v>
      </c>
      <c r="E62" s="858"/>
      <c r="F62" s="858"/>
      <c r="G62" s="858"/>
      <c r="H62" s="858"/>
      <c r="I62" s="858"/>
      <c r="J62" s="858"/>
      <c r="K62" s="858"/>
      <c r="L62" s="858"/>
      <c r="M62" s="860"/>
      <c r="N62" s="1391"/>
      <c r="O62" s="1391"/>
      <c r="P62" s="1380"/>
      <c r="Q62" s="121"/>
    </row>
    <row r="63" spans="1:29">
      <c r="A63" s="172" t="s">
        <v>72</v>
      </c>
      <c r="B63" s="292" t="s">
        <v>73</v>
      </c>
      <c r="C63" s="176" t="str">
        <f>C9</f>
        <v>住宅</v>
      </c>
      <c r="D63" s="122" t="s">
        <v>309</v>
      </c>
      <c r="E63" s="122"/>
      <c r="F63" s="122"/>
      <c r="G63" s="122"/>
      <c r="H63" s="122"/>
      <c r="I63" s="122"/>
      <c r="J63" s="122"/>
      <c r="K63" s="123"/>
      <c r="L63" s="124"/>
      <c r="M63" s="125"/>
      <c r="N63" s="1392"/>
      <c r="O63" s="1392"/>
      <c r="P63" s="1382"/>
      <c r="Q63" s="121"/>
    </row>
    <row r="64" spans="1:29" ht="15" thickBot="1">
      <c r="A64" s="173"/>
      <c r="B64" s="1057"/>
      <c r="C64" s="882">
        <v>100</v>
      </c>
      <c r="D64" s="882">
        <v>95</v>
      </c>
      <c r="E64" s="882"/>
      <c r="F64" s="882"/>
      <c r="G64" s="882"/>
      <c r="H64" s="882"/>
      <c r="I64" s="882"/>
      <c r="J64" s="882"/>
      <c r="K64" s="882"/>
      <c r="L64" s="882"/>
      <c r="M64" s="883"/>
      <c r="N64" s="1393"/>
      <c r="O64" s="1393"/>
      <c r="P64" s="1382"/>
      <c r="Q64" s="121"/>
    </row>
    <row r="65" spans="1:17" ht="27.75" thickTop="1">
      <c r="A65" s="173"/>
      <c r="B65" s="1058" t="s">
        <v>125</v>
      </c>
      <c r="C65" s="885" t="s">
        <v>1239</v>
      </c>
      <c r="D65" s="885" t="s">
        <v>1240</v>
      </c>
      <c r="E65" s="885" t="s">
        <v>1241</v>
      </c>
      <c r="F65" s="885" t="s">
        <v>1242</v>
      </c>
      <c r="G65" s="885" t="s">
        <v>1243</v>
      </c>
      <c r="H65" s="885" t="s">
        <v>1244</v>
      </c>
      <c r="I65" s="885" t="s">
        <v>1245</v>
      </c>
      <c r="J65" s="885"/>
      <c r="K65" s="886"/>
      <c r="L65" s="887"/>
      <c r="M65" s="888"/>
      <c r="N65" s="1392"/>
      <c r="O65" s="1392"/>
      <c r="P65" s="1382"/>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3"/>
      <c r="O66" s="1393"/>
      <c r="P66" s="1382"/>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3"/>
      <c r="O67" s="1393"/>
      <c r="P67" s="1382"/>
      <c r="Q67" s="121"/>
    </row>
    <row r="68" spans="1:17" ht="14.25">
      <c r="A68" s="173"/>
      <c r="B68" s="1061"/>
      <c r="C68" s="895">
        <v>0</v>
      </c>
      <c r="D68" s="895">
        <v>1</v>
      </c>
      <c r="E68" s="895">
        <v>2</v>
      </c>
      <c r="F68" s="895">
        <v>3</v>
      </c>
      <c r="G68" s="895">
        <v>4</v>
      </c>
      <c r="H68" s="895"/>
      <c r="I68" s="895"/>
      <c r="J68" s="895"/>
      <c r="K68" s="896"/>
      <c r="L68" s="897"/>
      <c r="M68" s="898"/>
      <c r="N68" s="1392"/>
      <c r="O68" s="1392"/>
      <c r="P68" s="1382"/>
      <c r="Q68" s="121"/>
    </row>
    <row r="69" spans="1:17" ht="15" thickBot="1">
      <c r="A69" s="173"/>
      <c r="B69" s="1057"/>
      <c r="C69" s="890">
        <v>100</v>
      </c>
      <c r="D69" s="890">
        <f t="shared" ref="D69:M69" si="22">C69-$K11</f>
        <v>98</v>
      </c>
      <c r="E69" s="890">
        <f t="shared" si="22"/>
        <v>96</v>
      </c>
      <c r="F69" s="890">
        <f t="shared" si="22"/>
        <v>94</v>
      </c>
      <c r="G69" s="890">
        <f t="shared" si="22"/>
        <v>92</v>
      </c>
      <c r="H69" s="890">
        <f t="shared" si="22"/>
        <v>90</v>
      </c>
      <c r="I69" s="890">
        <f t="shared" si="22"/>
        <v>88</v>
      </c>
      <c r="J69" s="890">
        <f t="shared" si="22"/>
        <v>86</v>
      </c>
      <c r="K69" s="890">
        <f t="shared" si="22"/>
        <v>84</v>
      </c>
      <c r="L69" s="890">
        <f t="shared" si="22"/>
        <v>82</v>
      </c>
      <c r="M69" s="891">
        <f t="shared" si="22"/>
        <v>80</v>
      </c>
      <c r="N69" s="1393"/>
      <c r="O69" s="1393"/>
      <c r="P69" s="1382"/>
      <c r="Q69" s="121"/>
    </row>
    <row r="70" spans="1:17" s="1043" customFormat="1" ht="15" thickTop="1">
      <c r="A70" s="1062"/>
      <c r="B70" s="1058">
        <f>B12</f>
        <v>111</v>
      </c>
      <c r="C70" s="900">
        <v>111</v>
      </c>
      <c r="D70" s="900">
        <v>222</v>
      </c>
      <c r="E70" s="900">
        <v>333</v>
      </c>
      <c r="F70" s="900">
        <v>444</v>
      </c>
      <c r="G70" s="900"/>
      <c r="H70" s="901"/>
      <c r="I70" s="901"/>
      <c r="J70" s="901"/>
      <c r="K70" s="901"/>
      <c r="L70" s="902"/>
      <c r="M70" s="903"/>
      <c r="N70" s="1394"/>
      <c r="O70" s="1394"/>
      <c r="P70" s="1383"/>
      <c r="Q70" s="1067"/>
    </row>
    <row r="71" spans="1:17" s="1043" customFormat="1" ht="15" thickBot="1">
      <c r="A71" s="1062"/>
      <c r="B71" s="1059"/>
      <c r="C71" s="906">
        <v>100</v>
      </c>
      <c r="D71" s="882">
        <v>99</v>
      </c>
      <c r="E71" s="882">
        <v>98</v>
      </c>
      <c r="F71" s="882">
        <v>97</v>
      </c>
      <c r="G71" s="882"/>
      <c r="H71" s="882"/>
      <c r="I71" s="882"/>
      <c r="J71" s="882"/>
      <c r="K71" s="882"/>
      <c r="L71" s="882"/>
      <c r="M71" s="883"/>
      <c r="N71" s="1393"/>
      <c r="O71" s="1393"/>
      <c r="P71" s="1383"/>
      <c r="Q71" s="1067"/>
    </row>
    <row r="72" spans="1:17" s="1043" customFormat="1" ht="15" thickTop="1">
      <c r="A72" s="1062"/>
      <c r="B72" s="1058">
        <f>B13</f>
        <v>111</v>
      </c>
      <c r="C72" s="900">
        <v>111</v>
      </c>
      <c r="D72" s="900">
        <v>222</v>
      </c>
      <c r="E72" s="900">
        <v>333</v>
      </c>
      <c r="F72" s="900">
        <v>444</v>
      </c>
      <c r="G72" s="900"/>
      <c r="H72" s="901"/>
      <c r="I72" s="901"/>
      <c r="J72" s="901"/>
      <c r="K72" s="901"/>
      <c r="L72" s="902"/>
      <c r="M72" s="903"/>
      <c r="N72" s="1394"/>
      <c r="O72" s="1394"/>
      <c r="P72" s="1384"/>
      <c r="Q72" s="1069"/>
    </row>
    <row r="73" spans="1:17" s="1043" customFormat="1" ht="15" thickBot="1">
      <c r="A73" s="1062"/>
      <c r="B73" s="1059"/>
      <c r="C73" s="906">
        <v>100</v>
      </c>
      <c r="D73" s="906">
        <v>98</v>
      </c>
      <c r="E73" s="906">
        <v>96</v>
      </c>
      <c r="F73" s="906">
        <v>94</v>
      </c>
      <c r="G73" s="906"/>
      <c r="H73" s="908"/>
      <c r="I73" s="908"/>
      <c r="J73" s="908"/>
      <c r="K73" s="908"/>
      <c r="L73" s="908"/>
      <c r="M73" s="909"/>
      <c r="N73" s="1394"/>
      <c r="O73" s="1394"/>
      <c r="P73" s="1383"/>
      <c r="Q73" s="1067"/>
    </row>
    <row r="74" spans="1:17" s="1043" customFormat="1" ht="15" thickTop="1">
      <c r="A74" s="1062"/>
      <c r="B74" s="1060">
        <f>B14</f>
        <v>111</v>
      </c>
      <c r="C74" s="900">
        <v>111</v>
      </c>
      <c r="D74" s="900">
        <v>222</v>
      </c>
      <c r="E74" s="900">
        <v>333</v>
      </c>
      <c r="F74" s="900">
        <v>444</v>
      </c>
      <c r="G74" s="869"/>
      <c r="H74" s="910"/>
      <c r="I74" s="910"/>
      <c r="J74" s="910"/>
      <c r="K74" s="910"/>
      <c r="L74" s="911"/>
      <c r="M74" s="912"/>
      <c r="N74" s="1394"/>
      <c r="O74" s="1394"/>
      <c r="P74" s="1385"/>
      <c r="Q74" s="1067"/>
    </row>
    <row r="75" spans="1:17" s="1043" customFormat="1" ht="15" thickBot="1">
      <c r="A75" s="1074"/>
      <c r="B75" s="1075"/>
      <c r="C75" s="916">
        <v>100</v>
      </c>
      <c r="D75" s="916">
        <v>97</v>
      </c>
      <c r="E75" s="916">
        <v>94</v>
      </c>
      <c r="F75" s="916">
        <v>91</v>
      </c>
      <c r="G75" s="916"/>
      <c r="H75" s="917"/>
      <c r="I75" s="917"/>
      <c r="J75" s="917"/>
      <c r="K75" s="917"/>
      <c r="L75" s="917"/>
      <c r="M75" s="918"/>
      <c r="N75" s="1394"/>
      <c r="O75" s="1394"/>
      <c r="P75" s="1383"/>
      <c r="Q75" s="1067"/>
    </row>
    <row r="76" spans="1:17" ht="14.25">
      <c r="A76" s="172" t="s">
        <v>74</v>
      </c>
      <c r="B76" s="292" t="s">
        <v>138</v>
      </c>
      <c r="C76" s="919" t="s">
        <v>1246</v>
      </c>
      <c r="D76" s="919" t="s">
        <v>1247</v>
      </c>
      <c r="E76" s="919" t="s">
        <v>1248</v>
      </c>
      <c r="F76" s="919" t="s">
        <v>1249</v>
      </c>
      <c r="G76" s="919" t="s">
        <v>1250</v>
      </c>
      <c r="H76" s="875"/>
      <c r="I76" s="875"/>
      <c r="J76" s="875"/>
      <c r="K76" s="920"/>
      <c r="L76" s="921"/>
      <c r="M76" s="922"/>
      <c r="N76" s="1392"/>
      <c r="O76" s="1392"/>
      <c r="P76" s="1386"/>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3"/>
      <c r="O77" s="1393"/>
      <c r="P77" s="1382"/>
      <c r="Q77" s="121"/>
    </row>
    <row r="78" spans="1:17" ht="15" thickTop="1">
      <c r="A78" s="173"/>
      <c r="B78" s="1058" t="s">
        <v>97</v>
      </c>
      <c r="C78" s="924" t="s">
        <v>1246</v>
      </c>
      <c r="D78" s="924" t="s">
        <v>1247</v>
      </c>
      <c r="E78" s="924" t="s">
        <v>1248</v>
      </c>
      <c r="F78" s="924" t="s">
        <v>1249</v>
      </c>
      <c r="G78" s="924" t="s">
        <v>1250</v>
      </c>
      <c r="H78" s="885"/>
      <c r="I78" s="885"/>
      <c r="J78" s="885"/>
      <c r="K78" s="886"/>
      <c r="L78" s="887"/>
      <c r="M78" s="888"/>
      <c r="N78" s="1392"/>
      <c r="O78" s="1392"/>
      <c r="P78" s="1382"/>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3"/>
      <c r="O79" s="1393"/>
      <c r="P79" s="1382"/>
      <c r="Q79" s="121"/>
    </row>
    <row r="80" spans="1:17" ht="15" thickTop="1">
      <c r="A80" s="173"/>
      <c r="B80" s="1058" t="s">
        <v>3038</v>
      </c>
      <c r="C80" s="924" t="s">
        <v>1246</v>
      </c>
      <c r="D80" s="924" t="s">
        <v>1247</v>
      </c>
      <c r="E80" s="924" t="s">
        <v>601</v>
      </c>
      <c r="F80" s="924" t="s">
        <v>602</v>
      </c>
      <c r="G80" s="924" t="s">
        <v>603</v>
      </c>
      <c r="H80" s="885"/>
      <c r="I80" s="885"/>
      <c r="J80" s="885"/>
      <c r="K80" s="886"/>
      <c r="L80" s="887"/>
      <c r="M80" s="888"/>
      <c r="N80" s="1392"/>
      <c r="O80" s="1392"/>
      <c r="P80" s="1382"/>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3"/>
      <c r="O81" s="1393"/>
      <c r="P81" s="1382"/>
      <c r="Q81" s="121"/>
    </row>
    <row r="82" spans="1:17" ht="15" thickTop="1">
      <c r="A82" s="173"/>
      <c r="B82" s="1060" t="s">
        <v>3048</v>
      </c>
      <c r="C82" s="177" t="s">
        <v>3049</v>
      </c>
      <c r="D82" s="177" t="s">
        <v>3053</v>
      </c>
      <c r="E82" s="177" t="s">
        <v>3050</v>
      </c>
      <c r="F82" s="177" t="s">
        <v>3051</v>
      </c>
      <c r="G82" s="177" t="s">
        <v>3052</v>
      </c>
      <c r="H82" s="885"/>
      <c r="I82" s="885"/>
      <c r="J82" s="885"/>
      <c r="K82" s="885"/>
      <c r="L82" s="885"/>
      <c r="M82" s="2781"/>
      <c r="N82" s="1393"/>
      <c r="O82" s="1393"/>
      <c r="P82" s="1382"/>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3"/>
      <c r="O83" s="1393"/>
      <c r="P83" s="1382"/>
      <c r="Q83" s="121"/>
    </row>
    <row r="84" spans="1:17" ht="15" thickTop="1">
      <c r="A84" s="173"/>
      <c r="B84" s="1058" t="s">
        <v>103</v>
      </c>
      <c r="C84" s="924" t="s">
        <v>599</v>
      </c>
      <c r="D84" s="924" t="s">
        <v>600</v>
      </c>
      <c r="E84" s="924" t="s">
        <v>601</v>
      </c>
      <c r="F84" s="924" t="s">
        <v>602</v>
      </c>
      <c r="G84" s="924" t="s">
        <v>603</v>
      </c>
      <c r="H84" s="885"/>
      <c r="I84" s="885"/>
      <c r="J84" s="885"/>
      <c r="K84" s="886"/>
      <c r="L84" s="887"/>
      <c r="M84" s="888"/>
      <c r="N84" s="1392"/>
      <c r="O84" s="1392"/>
      <c r="P84" s="1382"/>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3"/>
      <c r="O85" s="1393"/>
      <c r="P85" s="1382"/>
      <c r="Q85" s="121"/>
    </row>
    <row r="86" spans="1:17" s="40" customFormat="1" ht="14.25" thickTop="1">
      <c r="A86" s="1076"/>
      <c r="B86" s="1058" t="s">
        <v>2664</v>
      </c>
      <c r="C86" s="139">
        <v>15</v>
      </c>
      <c r="D86" s="139">
        <v>10</v>
      </c>
      <c r="E86" s="139">
        <v>8</v>
      </c>
      <c r="F86" s="139">
        <v>7</v>
      </c>
      <c r="G86" s="139">
        <v>3</v>
      </c>
      <c r="H86" s="139"/>
      <c r="I86" s="139"/>
      <c r="J86" s="139"/>
      <c r="K86" s="139"/>
      <c r="L86" s="1387"/>
      <c r="M86" s="1388"/>
      <c r="N86" s="1391"/>
      <c r="O86" s="1391"/>
      <c r="P86" s="1382"/>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3"/>
      <c r="O87" s="1393"/>
      <c r="P87" s="1382"/>
      <c r="Q87" s="121"/>
    </row>
    <row r="88" spans="1:17" s="40" customFormat="1" ht="14.25" thickTop="1">
      <c r="A88" s="1076"/>
      <c r="B88" s="1058" t="s">
        <v>102</v>
      </c>
      <c r="C88" s="139" t="s">
        <v>142</v>
      </c>
      <c r="D88" s="139" t="s">
        <v>143</v>
      </c>
      <c r="E88" s="139" t="s">
        <v>130</v>
      </c>
      <c r="F88" s="1389" t="s">
        <v>167</v>
      </c>
      <c r="G88" s="139" t="s">
        <v>144</v>
      </c>
      <c r="H88" s="139" t="s">
        <v>145</v>
      </c>
      <c r="I88" s="139" t="s">
        <v>146</v>
      </c>
      <c r="J88" s="139" t="s">
        <v>147</v>
      </c>
      <c r="K88" s="139" t="s">
        <v>148</v>
      </c>
      <c r="L88" s="139" t="s">
        <v>168</v>
      </c>
      <c r="M88" s="1388" t="s">
        <v>169</v>
      </c>
      <c r="N88" s="1391"/>
      <c r="O88" s="1391"/>
      <c r="P88" s="1382"/>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3"/>
      <c r="O89" s="1393"/>
      <c r="P89" s="1382"/>
      <c r="Q89" s="121"/>
    </row>
    <row r="90" spans="1:17" s="1043" customFormat="1" ht="14.25" thickTop="1">
      <c r="A90" s="1062"/>
      <c r="B90" s="1058" t="str">
        <f>B27</f>
        <v>道路级别</v>
      </c>
      <c r="C90" s="139" t="s">
        <v>315</v>
      </c>
      <c r="D90" s="139" t="s">
        <v>317</v>
      </c>
      <c r="E90" s="139" t="s">
        <v>314</v>
      </c>
      <c r="F90" s="139" t="s">
        <v>316</v>
      </c>
      <c r="G90" s="139" t="s">
        <v>313</v>
      </c>
      <c r="H90" s="1063"/>
      <c r="I90" s="1063"/>
      <c r="J90" s="1063"/>
      <c r="K90" s="1063"/>
      <c r="L90" s="1064"/>
      <c r="M90" s="1065"/>
      <c r="N90" s="1394"/>
      <c r="O90" s="1394"/>
      <c r="P90" s="1383"/>
      <c r="Q90" s="1067"/>
    </row>
    <row r="91" spans="1:17" s="1043" customFormat="1" ht="15" thickBot="1">
      <c r="A91" s="1062"/>
      <c r="B91" s="1059"/>
      <c r="C91" s="906">
        <v>100</v>
      </c>
      <c r="D91" s="906">
        <v>99</v>
      </c>
      <c r="E91" s="906">
        <v>98</v>
      </c>
      <c r="F91" s="906">
        <v>97</v>
      </c>
      <c r="G91" s="906">
        <v>96</v>
      </c>
      <c r="H91" s="908"/>
      <c r="I91" s="908"/>
      <c r="J91" s="908"/>
      <c r="K91" s="908"/>
      <c r="L91" s="908"/>
      <c r="M91" s="909"/>
      <c r="N91" s="1394"/>
      <c r="O91" s="1394"/>
      <c r="P91" s="1383"/>
      <c r="Q91" s="1067"/>
    </row>
    <row r="92" spans="1:17" ht="15" thickTop="1">
      <c r="A92" s="173"/>
      <c r="B92" s="1058">
        <f>B28</f>
        <v>111</v>
      </c>
      <c r="C92" s="900">
        <v>111</v>
      </c>
      <c r="D92" s="900">
        <v>222</v>
      </c>
      <c r="E92" s="900">
        <v>333</v>
      </c>
      <c r="F92" s="900">
        <v>444</v>
      </c>
      <c r="G92" s="929"/>
      <c r="H92" s="929"/>
      <c r="I92" s="929"/>
      <c r="J92" s="929"/>
      <c r="K92" s="930"/>
      <c r="L92" s="931"/>
      <c r="M92" s="932"/>
      <c r="N92" s="1392"/>
      <c r="O92" s="1392"/>
      <c r="P92" s="1382"/>
      <c r="Q92" s="121"/>
    </row>
    <row r="93" spans="1:17" ht="15" thickBot="1">
      <c r="A93" s="173"/>
      <c r="B93" s="1059"/>
      <c r="C93" s="906">
        <v>100</v>
      </c>
      <c r="D93" s="882">
        <v>99</v>
      </c>
      <c r="E93" s="882">
        <v>98</v>
      </c>
      <c r="F93" s="882">
        <v>97</v>
      </c>
      <c r="G93" s="882"/>
      <c r="H93" s="882"/>
      <c r="I93" s="882"/>
      <c r="J93" s="882"/>
      <c r="K93" s="882"/>
      <c r="L93" s="882"/>
      <c r="M93" s="883"/>
      <c r="N93" s="1393"/>
      <c r="O93" s="1393"/>
      <c r="P93" s="1382"/>
      <c r="Q93" s="121"/>
    </row>
    <row r="94" spans="1:17" ht="15" thickTop="1">
      <c r="A94" s="173"/>
      <c r="B94" s="1058">
        <f>B29</f>
        <v>111</v>
      </c>
      <c r="C94" s="900">
        <v>111</v>
      </c>
      <c r="D94" s="900">
        <v>222</v>
      </c>
      <c r="E94" s="900">
        <v>333</v>
      </c>
      <c r="F94" s="900">
        <v>444</v>
      </c>
      <c r="G94" s="929"/>
      <c r="H94" s="929"/>
      <c r="I94" s="929"/>
      <c r="J94" s="929"/>
      <c r="K94" s="930"/>
      <c r="L94" s="931"/>
      <c r="M94" s="932"/>
      <c r="N94" s="1392"/>
      <c r="O94" s="1392"/>
      <c r="P94" s="1382"/>
      <c r="Q94" s="121"/>
    </row>
    <row r="95" spans="1:17" ht="15" thickBot="1">
      <c r="A95" s="173"/>
      <c r="B95" s="1059"/>
      <c r="C95" s="906">
        <v>100</v>
      </c>
      <c r="D95" s="906">
        <v>98</v>
      </c>
      <c r="E95" s="906">
        <v>96</v>
      </c>
      <c r="F95" s="906">
        <v>94</v>
      </c>
      <c r="G95" s="882"/>
      <c r="H95" s="882"/>
      <c r="I95" s="882"/>
      <c r="J95" s="882"/>
      <c r="K95" s="882"/>
      <c r="L95" s="882"/>
      <c r="M95" s="883"/>
      <c r="N95" s="1393"/>
      <c r="O95" s="1393"/>
      <c r="P95" s="1382"/>
      <c r="Q95" s="121"/>
    </row>
    <row r="96" spans="1:17" ht="15" thickTop="1">
      <c r="A96" s="173"/>
      <c r="B96" s="1058">
        <f>B30</f>
        <v>111</v>
      </c>
      <c r="C96" s="900">
        <v>111</v>
      </c>
      <c r="D96" s="900">
        <v>222</v>
      </c>
      <c r="E96" s="900">
        <v>333</v>
      </c>
      <c r="F96" s="900">
        <v>444</v>
      </c>
      <c r="G96" s="929"/>
      <c r="H96" s="929"/>
      <c r="I96" s="929"/>
      <c r="J96" s="929"/>
      <c r="K96" s="930"/>
      <c r="L96" s="931"/>
      <c r="M96" s="932"/>
      <c r="N96" s="1392"/>
      <c r="O96" s="1392"/>
      <c r="P96" s="1382"/>
      <c r="Q96" s="121"/>
    </row>
    <row r="97" spans="1:17" ht="15" thickBot="1">
      <c r="A97" s="173"/>
      <c r="B97" s="1059"/>
      <c r="C97" s="916">
        <v>100</v>
      </c>
      <c r="D97" s="916">
        <v>97</v>
      </c>
      <c r="E97" s="916">
        <v>94</v>
      </c>
      <c r="F97" s="916">
        <v>91</v>
      </c>
      <c r="G97" s="882"/>
      <c r="H97" s="882"/>
      <c r="I97" s="882"/>
      <c r="J97" s="882"/>
      <c r="K97" s="882"/>
      <c r="L97" s="882"/>
      <c r="M97" s="883"/>
      <c r="N97" s="1393"/>
      <c r="O97" s="1393"/>
      <c r="P97" s="1382"/>
      <c r="Q97" s="121"/>
    </row>
    <row r="98" spans="1:17" ht="15" thickTop="1">
      <c r="A98" s="173"/>
      <c r="B98" s="1060">
        <f>B31</f>
        <v>111</v>
      </c>
      <c r="C98" s="933">
        <v>111</v>
      </c>
      <c r="D98" s="933">
        <v>222</v>
      </c>
      <c r="E98" s="933">
        <v>333</v>
      </c>
      <c r="F98" s="933">
        <v>444</v>
      </c>
      <c r="G98" s="933"/>
      <c r="H98" s="933"/>
      <c r="I98" s="933"/>
      <c r="J98" s="933"/>
      <c r="K98" s="934"/>
      <c r="L98" s="935"/>
      <c r="M98" s="936"/>
      <c r="N98" s="1392"/>
      <c r="O98" s="1392"/>
      <c r="P98" s="1382"/>
      <c r="Q98" s="121"/>
    </row>
    <row r="99" spans="1:17" ht="15" thickBot="1">
      <c r="A99" s="174"/>
      <c r="B99" s="1075"/>
      <c r="C99" s="937">
        <v>100</v>
      </c>
      <c r="D99" s="937">
        <v>96</v>
      </c>
      <c r="E99" s="937">
        <v>92</v>
      </c>
      <c r="F99" s="937">
        <v>88</v>
      </c>
      <c r="G99" s="937"/>
      <c r="H99" s="937"/>
      <c r="I99" s="937"/>
      <c r="J99" s="937"/>
      <c r="K99" s="937"/>
      <c r="L99" s="937"/>
      <c r="M99" s="938"/>
      <c r="N99" s="1393"/>
      <c r="O99" s="1393"/>
      <c r="P99" s="1382"/>
      <c r="Q99" s="121"/>
    </row>
    <row r="100" spans="1:17">
      <c r="A100" s="172" t="s">
        <v>75</v>
      </c>
      <c r="B100" s="292" t="s">
        <v>183</v>
      </c>
      <c r="C100" s="122" t="s">
        <v>319</v>
      </c>
      <c r="D100" s="122" t="s">
        <v>320</v>
      </c>
      <c r="E100" s="122"/>
      <c r="F100" s="122"/>
      <c r="G100" s="122"/>
      <c r="H100" s="122"/>
      <c r="I100" s="122"/>
      <c r="J100" s="122"/>
      <c r="K100" s="123"/>
      <c r="L100" s="124"/>
      <c r="M100" s="125"/>
      <c r="N100" s="1392"/>
      <c r="O100" s="1392"/>
      <c r="P100" s="1382"/>
      <c r="Q100" s="121"/>
    </row>
    <row r="101" spans="1:17" ht="15" thickBot="1">
      <c r="A101" s="173"/>
      <c r="B101" s="1059"/>
      <c r="C101" s="890">
        <v>100</v>
      </c>
      <c r="D101" s="890">
        <f t="shared" ref="D101:M101" si="26">C101-$K32</f>
        <v>85</v>
      </c>
      <c r="E101" s="890">
        <f t="shared" si="26"/>
        <v>70</v>
      </c>
      <c r="F101" s="890">
        <f t="shared" si="26"/>
        <v>55</v>
      </c>
      <c r="G101" s="890">
        <f t="shared" si="26"/>
        <v>40</v>
      </c>
      <c r="H101" s="890">
        <f t="shared" si="26"/>
        <v>25</v>
      </c>
      <c r="I101" s="890">
        <f t="shared" si="26"/>
        <v>10</v>
      </c>
      <c r="J101" s="890">
        <f t="shared" si="26"/>
        <v>-5</v>
      </c>
      <c r="K101" s="890">
        <f t="shared" si="26"/>
        <v>-20</v>
      </c>
      <c r="L101" s="890">
        <f t="shared" si="26"/>
        <v>-35</v>
      </c>
      <c r="M101" s="890">
        <f t="shared" si="26"/>
        <v>-50</v>
      </c>
      <c r="N101" s="1393"/>
      <c r="O101" s="1393"/>
      <c r="P101" s="1382"/>
      <c r="Q101" s="121"/>
    </row>
    <row r="102" spans="1:17" ht="29.25" thickTop="1">
      <c r="A102" s="173"/>
      <c r="B102" s="1058" t="s">
        <v>101</v>
      </c>
      <c r="C102" s="924" t="str">
        <f>C103&amp;"(含)"&amp;"-"&amp;D103</f>
        <v>0(含)-500</v>
      </c>
      <c r="D102" s="924" t="str">
        <f t="shared" ref="D102:L102" si="27">D103&amp;"(含)"&amp;"-"&amp;E103</f>
        <v>500(含)-2000</v>
      </c>
      <c r="E102" s="924" t="str">
        <f t="shared" si="27"/>
        <v>2000(含)-5000</v>
      </c>
      <c r="F102" s="924" t="str">
        <f t="shared" si="27"/>
        <v>5000(含)-10000</v>
      </c>
      <c r="G102" s="924" t="str">
        <f t="shared" si="27"/>
        <v>10000(含)-15000</v>
      </c>
      <c r="H102" s="924" t="str">
        <f t="shared" si="27"/>
        <v>15000(含)-</v>
      </c>
      <c r="I102" s="924" t="str">
        <f t="shared" si="27"/>
        <v>(含)-</v>
      </c>
      <c r="J102" s="924" t="str">
        <f t="shared" si="27"/>
        <v>(含)-</v>
      </c>
      <c r="K102" s="924" t="str">
        <f>K103&amp;"(含)"&amp;"-"&amp;L103</f>
        <v>(含)-</v>
      </c>
      <c r="L102" s="924" t="str">
        <f t="shared" si="27"/>
        <v>(含)-</v>
      </c>
      <c r="M102" s="924" t="str">
        <f>M103&amp;"(含)"&amp;"-"&amp;P103</f>
        <v>(含)-</v>
      </c>
      <c r="N102" s="1391"/>
      <c r="O102" s="1391"/>
      <c r="P102" s="1382"/>
      <c r="Q102" s="121"/>
    </row>
    <row r="103" spans="1:17" s="1043" customFormat="1" ht="14.25">
      <c r="A103" s="1077"/>
      <c r="B103" s="1078"/>
      <c r="C103" s="941">
        <v>0</v>
      </c>
      <c r="D103" s="941">
        <v>500</v>
      </c>
      <c r="E103" s="941">
        <v>2000</v>
      </c>
      <c r="F103" s="941">
        <v>5000</v>
      </c>
      <c r="G103" s="941">
        <v>10000</v>
      </c>
      <c r="H103" s="941">
        <v>15000</v>
      </c>
      <c r="I103" s="941"/>
      <c r="J103" s="942"/>
      <c r="K103" s="942"/>
      <c r="L103" s="943"/>
      <c r="M103" s="944"/>
      <c r="N103" s="1394"/>
      <c r="O103" s="1394"/>
      <c r="P103" s="1383"/>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3"/>
      <c r="O104" s="1393"/>
      <c r="P104" s="1383"/>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2"/>
      <c r="O105" s="1392"/>
      <c r="P105" s="1382"/>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3"/>
      <c r="O106" s="1393"/>
      <c r="P106" s="1382"/>
      <c r="Q106" s="121"/>
    </row>
    <row r="107" spans="1:17" ht="14.25" thickTop="1">
      <c r="A107" s="175"/>
      <c r="B107" s="1058" t="s">
        <v>139</v>
      </c>
      <c r="C107" s="131" t="s">
        <v>154</v>
      </c>
      <c r="D107" s="131" t="s">
        <v>155</v>
      </c>
      <c r="E107" s="131"/>
      <c r="F107" s="131"/>
      <c r="G107" s="131"/>
      <c r="H107" s="131"/>
      <c r="I107" s="131"/>
      <c r="J107" s="131"/>
      <c r="K107" s="132"/>
      <c r="L107" s="133"/>
      <c r="M107" s="134"/>
      <c r="N107" s="1392"/>
      <c r="O107" s="1392"/>
      <c r="P107" s="1382"/>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3"/>
      <c r="O108" s="1393"/>
      <c r="P108" s="1382"/>
      <c r="Q108" s="121"/>
    </row>
    <row r="109" spans="1:17" ht="14.25" thickTop="1">
      <c r="A109" s="175"/>
      <c r="B109" s="1058" t="s">
        <v>185</v>
      </c>
      <c r="C109" s="139" t="s">
        <v>157</v>
      </c>
      <c r="D109" s="139" t="s">
        <v>158</v>
      </c>
      <c r="E109" s="139" t="s">
        <v>107</v>
      </c>
      <c r="F109" s="131" t="s">
        <v>156</v>
      </c>
      <c r="G109" s="131"/>
      <c r="H109" s="131"/>
      <c r="I109" s="131"/>
      <c r="J109" s="131"/>
      <c r="K109" s="132"/>
      <c r="L109" s="133"/>
      <c r="M109" s="134"/>
      <c r="N109" s="1392"/>
      <c r="O109" s="1392"/>
      <c r="P109" s="1382"/>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3"/>
      <c r="O110" s="1393"/>
      <c r="P110" s="1382"/>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4"/>
      <c r="O111" s="1394"/>
      <c r="P111" s="1383"/>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4"/>
      <c r="O112" s="1394"/>
      <c r="P112" s="1383"/>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4"/>
      <c r="O113" s="1394"/>
      <c r="P113" s="1383"/>
      <c r="Q113" s="1067"/>
    </row>
    <row r="114" spans="1:17" ht="14.25" thickTop="1">
      <c r="A114" s="175"/>
      <c r="B114" s="1058" t="s">
        <v>186</v>
      </c>
      <c r="C114" s="139" t="s">
        <v>114</v>
      </c>
      <c r="D114" s="139" t="s">
        <v>113</v>
      </c>
      <c r="E114" s="131"/>
      <c r="F114" s="131"/>
      <c r="G114" s="131"/>
      <c r="H114" s="131"/>
      <c r="I114" s="131"/>
      <c r="J114" s="131"/>
      <c r="K114" s="132"/>
      <c r="L114" s="133"/>
      <c r="M114" s="134"/>
      <c r="N114" s="1392"/>
      <c r="O114" s="1392"/>
      <c r="P114" s="1382"/>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3"/>
      <c r="O115" s="1393"/>
      <c r="P115" s="1382"/>
      <c r="Q115" s="121"/>
    </row>
    <row r="116" spans="1:17" ht="14.25" thickTop="1">
      <c r="A116" s="175"/>
      <c r="B116" s="1058" t="s">
        <v>3040</v>
      </c>
      <c r="C116" s="139" t="s">
        <v>112</v>
      </c>
      <c r="D116" s="139" t="s">
        <v>111</v>
      </c>
      <c r="E116" s="139" t="s">
        <v>110</v>
      </c>
      <c r="F116" s="139" t="s">
        <v>109</v>
      </c>
      <c r="G116" s="139" t="s">
        <v>108</v>
      </c>
      <c r="H116" s="131"/>
      <c r="I116" s="131"/>
      <c r="J116" s="131"/>
      <c r="K116" s="132"/>
      <c r="L116" s="133"/>
      <c r="M116" s="134"/>
      <c r="N116" s="1392"/>
      <c r="O116" s="1392"/>
      <c r="P116" s="1382"/>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3"/>
      <c r="O117" s="1393"/>
      <c r="P117" s="1382"/>
      <c r="Q117" s="121"/>
    </row>
    <row r="118" spans="1:17" ht="14.25" thickTop="1">
      <c r="A118" s="175"/>
      <c r="B118" s="1058" t="s">
        <v>141</v>
      </c>
      <c r="C118" s="131" t="s">
        <v>172</v>
      </c>
      <c r="D118" s="131" t="s">
        <v>135</v>
      </c>
      <c r="E118" s="131"/>
      <c r="F118" s="131"/>
      <c r="G118" s="131"/>
      <c r="H118" s="131"/>
      <c r="I118" s="131"/>
      <c r="J118" s="131"/>
      <c r="K118" s="132"/>
      <c r="L118" s="133"/>
      <c r="M118" s="134"/>
      <c r="N118" s="1392"/>
      <c r="O118" s="1392"/>
      <c r="P118" s="1382"/>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3"/>
      <c r="O119" s="1393"/>
      <c r="P119" s="1382"/>
      <c r="Q119" s="121"/>
    </row>
    <row r="120" spans="1:17" s="1043" customFormat="1" ht="27.75" thickTop="1">
      <c r="A120" s="1077"/>
      <c r="B120" s="1058" t="s">
        <v>121</v>
      </c>
      <c r="C120" s="139" t="s">
        <v>269</v>
      </c>
      <c r="D120" s="139" t="s">
        <v>272</v>
      </c>
      <c r="E120" s="139" t="s">
        <v>270</v>
      </c>
      <c r="F120" s="139" t="s">
        <v>271</v>
      </c>
      <c r="G120" s="139"/>
      <c r="H120" s="139"/>
      <c r="I120" s="139"/>
      <c r="J120" s="139"/>
      <c r="K120" s="139"/>
      <c r="L120" s="1387"/>
      <c r="M120" s="1388"/>
      <c r="N120" s="1394"/>
      <c r="O120" s="1394"/>
      <c r="P120" s="1383"/>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4"/>
      <c r="O121" s="1394"/>
      <c r="P121" s="1383"/>
      <c r="Q121" s="1067"/>
    </row>
    <row r="122" spans="1:17" ht="14.25" thickTop="1">
      <c r="A122" s="175"/>
      <c r="B122" s="1058" t="s">
        <v>187</v>
      </c>
      <c r="C122" s="139" t="s">
        <v>157</v>
      </c>
      <c r="D122" s="139" t="s">
        <v>158</v>
      </c>
      <c r="E122" s="139" t="s">
        <v>107</v>
      </c>
      <c r="F122" s="131" t="s">
        <v>156</v>
      </c>
      <c r="G122" s="131"/>
      <c r="H122" s="131"/>
      <c r="I122" s="131"/>
      <c r="J122" s="131"/>
      <c r="K122" s="132"/>
      <c r="L122" s="133"/>
      <c r="M122" s="134"/>
      <c r="N122" s="1392"/>
      <c r="O122" s="1392"/>
      <c r="P122" s="1382"/>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3"/>
      <c r="O123" s="1393"/>
      <c r="P123" s="1382"/>
      <c r="Q123" s="121"/>
    </row>
    <row r="124" spans="1:17" ht="27.75" thickTop="1">
      <c r="A124" s="175"/>
      <c r="B124" s="1058" t="s">
        <v>99</v>
      </c>
      <c r="C124" s="924" t="s">
        <v>599</v>
      </c>
      <c r="D124" s="924" t="s">
        <v>600</v>
      </c>
      <c r="E124" s="924" t="s">
        <v>601</v>
      </c>
      <c r="F124" s="924" t="s">
        <v>602</v>
      </c>
      <c r="G124" s="924" t="s">
        <v>603</v>
      </c>
      <c r="H124" s="885"/>
      <c r="I124" s="885"/>
      <c r="J124" s="885"/>
      <c r="K124" s="886"/>
      <c r="L124" s="887"/>
      <c r="M124" s="888"/>
      <c r="N124" s="1392"/>
      <c r="O124" s="1392"/>
      <c r="P124" s="1383"/>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3"/>
      <c r="O125" s="1393"/>
      <c r="P125" s="1382"/>
      <c r="Q125" s="121"/>
    </row>
    <row r="126" spans="1:17" s="1043" customFormat="1" ht="14.25" thickTop="1">
      <c r="A126" s="1077"/>
      <c r="B126" s="1058">
        <f>B44</f>
        <v>111</v>
      </c>
      <c r="C126" s="139" t="s">
        <v>321</v>
      </c>
      <c r="D126" s="139" t="s">
        <v>322</v>
      </c>
      <c r="E126" s="139"/>
      <c r="F126" s="139"/>
      <c r="G126" s="139"/>
      <c r="H126" s="1063"/>
      <c r="I126" s="1063"/>
      <c r="J126" s="1063"/>
      <c r="K126" s="1063"/>
      <c r="L126" s="1064"/>
      <c r="M126" s="1065"/>
      <c r="N126" s="1394"/>
      <c r="O126" s="1394"/>
      <c r="P126" s="1383"/>
      <c r="Q126" s="1067"/>
    </row>
    <row r="127" spans="1:17" s="1043" customFormat="1" ht="15" thickBot="1">
      <c r="A127" s="1062"/>
      <c r="B127" s="1059"/>
      <c r="C127" s="906">
        <v>100</v>
      </c>
      <c r="D127" s="882">
        <v>95</v>
      </c>
      <c r="E127" s="882">
        <v>98</v>
      </c>
      <c r="F127" s="882">
        <v>97</v>
      </c>
      <c r="G127" s="906"/>
      <c r="H127" s="908"/>
      <c r="I127" s="908"/>
      <c r="J127" s="908"/>
      <c r="K127" s="908"/>
      <c r="L127" s="908"/>
      <c r="M127" s="909"/>
      <c r="N127" s="1394"/>
      <c r="O127" s="1394"/>
      <c r="P127" s="1383"/>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9"/>
      <c r="C129" s="906">
        <v>100</v>
      </c>
      <c r="D129" s="906">
        <v>98</v>
      </c>
      <c r="E129" s="906">
        <v>96</v>
      </c>
      <c r="F129" s="906">
        <v>94</v>
      </c>
      <c r="G129" s="882"/>
      <c r="H129" s="882"/>
      <c r="I129" s="882"/>
      <c r="J129" s="882"/>
      <c r="K129" s="882"/>
      <c r="L129" s="882"/>
      <c r="M129" s="883"/>
      <c r="N129" s="1393"/>
      <c r="O129" s="1393"/>
      <c r="P129" s="1382"/>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5"/>
      <c r="C131" s="916">
        <v>100</v>
      </c>
      <c r="D131" s="916">
        <v>97</v>
      </c>
      <c r="E131" s="916">
        <v>94</v>
      </c>
      <c r="F131" s="916">
        <v>91</v>
      </c>
      <c r="G131" s="937"/>
      <c r="H131" s="937"/>
      <c r="I131" s="937"/>
      <c r="J131" s="937"/>
      <c r="K131" s="937"/>
      <c r="L131" s="937"/>
      <c r="M131" s="938"/>
      <c r="N131" s="1393"/>
      <c r="O131" s="1393"/>
      <c r="P131" s="1382"/>
      <c r="Q131" s="121"/>
    </row>
    <row r="136" spans="1:17" ht="14.25" thickBot="1">
      <c r="B136" s="2147" t="s">
        <v>2665</v>
      </c>
    </row>
    <row r="137" spans="1:17" ht="14.25">
      <c r="B137" s="2148" t="s">
        <v>2666</v>
      </c>
      <c r="C137" s="2149"/>
      <c r="D137" s="2149"/>
      <c r="E137" s="2149"/>
      <c r="F137" s="2149"/>
      <c r="G137" s="2150"/>
      <c r="H137" s="2151"/>
      <c r="I137" s="2152" t="s">
        <v>2667</v>
      </c>
      <c r="J137" s="2149"/>
      <c r="K137" s="2153"/>
    </row>
    <row r="138" spans="1:17" ht="14.25">
      <c r="B138" s="2154"/>
      <c r="C138" s="1782" t="s">
        <v>2668</v>
      </c>
      <c r="D138" s="1782" t="s">
        <v>2669</v>
      </c>
      <c r="E138" s="2155" t="s">
        <v>2670</v>
      </c>
      <c r="F138" s="2156" t="s">
        <v>2671</v>
      </c>
      <c r="G138" s="1782" t="s">
        <v>2669</v>
      </c>
      <c r="H138" s="2157" t="s">
        <v>2670</v>
      </c>
      <c r="I138" s="2158"/>
      <c r="J138" s="1782" t="s">
        <v>2672</v>
      </c>
      <c r="K138" s="2157" t="s">
        <v>2673</v>
      </c>
    </row>
    <row r="139" spans="1:17" ht="15">
      <c r="B139" s="2159">
        <v>6</v>
      </c>
      <c r="C139" s="2160">
        <v>96</v>
      </c>
      <c r="D139" s="2161" t="s">
        <v>2674</v>
      </c>
      <c r="E139" s="2162">
        <v>100</v>
      </c>
      <c r="F139" s="2163">
        <v>102.5</v>
      </c>
      <c r="G139" s="2161" t="s">
        <v>2674</v>
      </c>
      <c r="H139" s="2164">
        <v>105</v>
      </c>
      <c r="I139" s="2165" t="s">
        <v>2675</v>
      </c>
      <c r="J139" s="2160">
        <v>20</v>
      </c>
      <c r="K139" s="2166">
        <f>C145/(J139-2)</f>
        <v>4.0555555555555553E-3</v>
      </c>
    </row>
    <row r="140" spans="1:17" ht="15">
      <c r="B140" s="2167">
        <v>5</v>
      </c>
      <c r="C140" s="2168">
        <v>100</v>
      </c>
      <c r="D140" s="2169"/>
      <c r="E140" s="2170"/>
      <c r="F140" s="2171">
        <v>102</v>
      </c>
      <c r="G140" s="2169"/>
      <c r="H140" s="2172"/>
      <c r="I140" s="2173" t="s">
        <v>2676</v>
      </c>
      <c r="J140" s="650">
        <f>ROUNDUP((J139-1)/2,0)</f>
        <v>10</v>
      </c>
      <c r="K140" s="2174">
        <v>100</v>
      </c>
    </row>
    <row r="141" spans="1:17" ht="15">
      <c r="B141" s="2167">
        <v>4</v>
      </c>
      <c r="C141" s="2168">
        <v>102</v>
      </c>
      <c r="D141" s="2169"/>
      <c r="E141" s="2170"/>
      <c r="F141" s="2171">
        <v>101.5</v>
      </c>
      <c r="G141" s="2169"/>
      <c r="H141" s="2172"/>
      <c r="I141" s="2173" t="s">
        <v>2677</v>
      </c>
      <c r="J141" s="650">
        <v>1</v>
      </c>
      <c r="K141" s="2175">
        <f>ROUND(100+(J141-J140)*K139*100,1)</f>
        <v>96.4</v>
      </c>
    </row>
    <row r="142" spans="1:17" ht="15">
      <c r="B142" s="2167">
        <v>3</v>
      </c>
      <c r="C142" s="2168">
        <v>103</v>
      </c>
      <c r="D142" s="2169"/>
      <c r="E142" s="2170"/>
      <c r="F142" s="2171">
        <v>101</v>
      </c>
      <c r="G142" s="2169"/>
      <c r="H142" s="2172"/>
      <c r="I142" s="2173" t="s">
        <v>2678</v>
      </c>
      <c r="J142" s="650">
        <f>J139</f>
        <v>20</v>
      </c>
      <c r="K142" s="2176">
        <v>95</v>
      </c>
    </row>
    <row r="143" spans="1:17" ht="15">
      <c r="B143" s="2167">
        <v>2</v>
      </c>
      <c r="C143" s="2168">
        <v>100</v>
      </c>
      <c r="D143" s="2169"/>
      <c r="E143" s="2170"/>
      <c r="F143" s="2171">
        <v>100.5</v>
      </c>
      <c r="G143" s="2169"/>
      <c r="H143" s="2172"/>
      <c r="I143" s="2173" t="s">
        <v>2679</v>
      </c>
      <c r="J143" s="2168">
        <v>15</v>
      </c>
      <c r="K143" s="2175">
        <f>ROUND(100+(J143-J140)*K139*100,1)</f>
        <v>102</v>
      </c>
    </row>
    <row r="144" spans="1:17" ht="15">
      <c r="B144" s="2167">
        <v>1</v>
      </c>
      <c r="C144" s="2168">
        <v>98</v>
      </c>
      <c r="D144" s="1163" t="s">
        <v>2680</v>
      </c>
      <c r="E144" s="2170">
        <v>102</v>
      </c>
      <c r="F144" s="2177">
        <v>100</v>
      </c>
      <c r="G144" s="1163" t="s">
        <v>2680</v>
      </c>
      <c r="H144" s="2172">
        <v>105</v>
      </c>
      <c r="I144" s="2173" t="s">
        <v>2679</v>
      </c>
      <c r="J144" s="2168">
        <v>18</v>
      </c>
      <c r="K144" s="2175">
        <f>ROUND(100+(J144-J140)*K139*100,1)</f>
        <v>103.2</v>
      </c>
    </row>
    <row r="145" spans="2:11" ht="15.75" thickBot="1">
      <c r="B145" s="2178" t="s">
        <v>2681</v>
      </c>
      <c r="C145" s="2179">
        <f>ROUND(MAX(C139:C144)/MIN(C139:C144)-1,3)</f>
        <v>7.2999999999999995E-2</v>
      </c>
      <c r="D145" s="2180"/>
      <c r="E145" s="2181"/>
      <c r="F145" s="2182" t="s">
        <v>2682</v>
      </c>
      <c r="G145" s="2183"/>
      <c r="H145" s="2184"/>
      <c r="I145" s="2185" t="s">
        <v>2683</v>
      </c>
      <c r="J145" s="2186">
        <v>8</v>
      </c>
      <c r="K145" s="2187">
        <f>ROUND(100+(J145-J140)*K139*100,1)</f>
        <v>99.2</v>
      </c>
    </row>
    <row r="147" spans="2:11">
      <c r="B147" s="2147" t="s">
        <v>2691</v>
      </c>
    </row>
    <row r="148" spans="2:11">
      <c r="B148" s="2147" t="s">
        <v>2692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127</v>
      </c>
      <c r="B1" s="3123" t="s">
        <v>1</v>
      </c>
      <c r="C1" s="3124" t="s">
        <v>192</v>
      </c>
      <c r="D1" s="3125" t="s">
        <v>3366</v>
      </c>
      <c r="E1" s="3128"/>
      <c r="F1" s="3127" t="s">
        <v>3099</v>
      </c>
      <c r="G1" s="3129" t="s">
        <v>193</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336</v>
      </c>
      <c r="B2" s="2863">
        <f ca="1">IF(C2="——",ROUND(C49*D3/10000,0),ROUND(C49*D3/10000,0)-D2)</f>
        <v>72028</v>
      </c>
      <c r="C2" s="3119" t="s">
        <v>3101</v>
      </c>
      <c r="D2" s="2740">
        <f ca="1">SUMIF(INDIRECT("'"&amp;F2&amp;"'"&amp;"!A:A"),"承租人权益价值",INDIRECT("'"&amp;F2&amp;"'"&amp;"!c:c"))</f>
        <v>-72028</v>
      </c>
      <c r="E2" s="3120" t="s">
        <v>1094</v>
      </c>
      <c r="F2" s="3121" t="s">
        <v>2832</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337</v>
      </c>
      <c r="B3" s="955" t="e">
        <f ca="1">IF(C2="——",C49,ROUND(B2*10000/D3,0))</f>
        <v>#DIV/0!</v>
      </c>
      <c r="C3" s="142" t="s">
        <v>331</v>
      </c>
      <c r="D3" s="745">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793" t="s">
        <v>59</v>
      </c>
      <c r="D4" s="3794"/>
      <c r="E4" s="3795" t="s">
        <v>60</v>
      </c>
      <c r="F4" s="3796"/>
      <c r="G4" s="3793" t="s">
        <v>61</v>
      </c>
      <c r="H4" s="3794"/>
      <c r="I4" s="3793" t="s">
        <v>62</v>
      </c>
      <c r="J4" s="3794"/>
      <c r="K4" s="187" t="s">
        <v>63</v>
      </c>
      <c r="L4" s="2302"/>
      <c r="M4" s="2303"/>
      <c r="N4" s="2303"/>
      <c r="O4" s="2303"/>
      <c r="P4" s="3797" t="s">
        <v>58</v>
      </c>
      <c r="Q4" s="3798"/>
      <c r="R4" s="3780" t="s">
        <v>60</v>
      </c>
      <c r="S4" s="3781"/>
      <c r="T4" s="3780" t="s">
        <v>61</v>
      </c>
      <c r="U4" s="3781"/>
      <c r="V4" s="3805" t="s">
        <v>62</v>
      </c>
      <c r="W4" s="3805"/>
      <c r="X4" s="1343"/>
      <c r="Y4" s="3780" t="s">
        <v>58</v>
      </c>
      <c r="Z4" s="3781"/>
      <c r="AA4" s="3775" t="s">
        <v>60</v>
      </c>
      <c r="AB4" s="3805" t="s">
        <v>61</v>
      </c>
      <c r="AC4" s="3775" t="s">
        <v>62</v>
      </c>
    </row>
    <row r="5" spans="1:29">
      <c r="A5" s="146"/>
      <c r="B5" s="147"/>
      <c r="C5" s="3786" t="s">
        <v>64</v>
      </c>
      <c r="D5" s="3787"/>
      <c r="E5" s="3784" t="s">
        <v>65</v>
      </c>
      <c r="F5" s="3785"/>
      <c r="G5" s="3786" t="s">
        <v>66</v>
      </c>
      <c r="H5" s="3787"/>
      <c r="I5" s="3786" t="s">
        <v>67</v>
      </c>
      <c r="J5" s="3787"/>
      <c r="K5" s="187"/>
      <c r="L5" s="2302"/>
      <c r="M5" s="2303"/>
      <c r="N5" s="2303"/>
      <c r="O5" s="2303"/>
      <c r="P5" s="3799"/>
      <c r="Q5" s="3800"/>
      <c r="R5" s="3782"/>
      <c r="S5" s="3783"/>
      <c r="T5" s="3782"/>
      <c r="U5" s="3783"/>
      <c r="V5" s="3805"/>
      <c r="W5" s="3805"/>
      <c r="X5" s="1343"/>
      <c r="Y5" s="3782"/>
      <c r="Z5" s="3783"/>
      <c r="AA5" s="3776"/>
      <c r="AB5" s="3805"/>
      <c r="AC5" s="3776"/>
    </row>
    <row r="6" spans="1:29" ht="14.25" thickBot="1">
      <c r="A6" s="148"/>
      <c r="B6" s="149"/>
      <c r="C6" s="3788" t="s">
        <v>68</v>
      </c>
      <c r="D6" s="3789"/>
      <c r="E6" s="3790" t="s">
        <v>68</v>
      </c>
      <c r="F6" s="3791"/>
      <c r="G6" s="3788" t="s">
        <v>68</v>
      </c>
      <c r="H6" s="3789"/>
      <c r="I6" s="3788" t="s">
        <v>68</v>
      </c>
      <c r="J6" s="3789"/>
      <c r="K6" s="187" t="s">
        <v>170</v>
      </c>
      <c r="L6" s="2302"/>
      <c r="M6" s="2303"/>
      <c r="N6" s="2303"/>
      <c r="O6" s="2303"/>
      <c r="P6" s="3801"/>
      <c r="Q6" s="3802"/>
      <c r="R6" s="3782"/>
      <c r="S6" s="3783"/>
      <c r="T6" s="3803"/>
      <c r="U6" s="3804"/>
      <c r="V6" s="3805"/>
      <c r="W6" s="3805"/>
      <c r="X6" s="1343"/>
      <c r="Y6" s="3803"/>
      <c r="Z6" s="3804"/>
      <c r="AA6" s="3777"/>
      <c r="AB6" s="3805"/>
      <c r="AC6" s="3777"/>
    </row>
    <row r="7" spans="1:29" s="40" customFormat="1" ht="15" thickBot="1">
      <c r="A7" s="1017" t="s">
        <v>69</v>
      </c>
      <c r="B7" s="1018"/>
      <c r="C7" s="1019">
        <f>'数据-取费表'!B2</f>
        <v>42906</v>
      </c>
      <c r="D7" s="757">
        <v>100</v>
      </c>
      <c r="E7" s="1020">
        <v>42736</v>
      </c>
      <c r="F7" s="759">
        <f>SUMIF(58:58,YEAR(E7)&amp;"-"&amp;MONTH(E7),59:59)</f>
        <v>95</v>
      </c>
      <c r="G7" s="1020">
        <v>42736</v>
      </c>
      <c r="H7" s="757">
        <f>SUMIF(58:58,YEAR(G7)&amp;"-"&amp;MONTH(G7),59:59)</f>
        <v>95</v>
      </c>
      <c r="I7" s="1020">
        <v>42736</v>
      </c>
      <c r="J7" s="757">
        <f>SUMIF(58:58,YEAR(I7)&amp;"-"&amp;MONTH(I7),59:59)</f>
        <v>95</v>
      </c>
      <c r="K7" s="1022"/>
      <c r="L7" s="2304"/>
      <c r="M7" s="2266"/>
      <c r="N7" s="2266"/>
      <c r="O7" s="2266"/>
      <c r="P7" s="3778" t="s">
        <v>69</v>
      </c>
      <c r="Q7" s="3806"/>
      <c r="R7" s="1345" t="s">
        <v>70</v>
      </c>
      <c r="S7" s="1346">
        <f t="shared" ref="S7:S15" si="0">F7</f>
        <v>95</v>
      </c>
      <c r="T7" s="1345" t="s">
        <v>70</v>
      </c>
      <c r="U7" s="1346">
        <f t="shared" ref="U7:U15" si="1">H7</f>
        <v>95</v>
      </c>
      <c r="V7" s="1345" t="s">
        <v>70</v>
      </c>
      <c r="W7" s="1346">
        <f t="shared" ref="W7:W15" si="2">J7</f>
        <v>95</v>
      </c>
      <c r="X7" s="293"/>
      <c r="Y7" s="3778" t="s">
        <v>69</v>
      </c>
      <c r="Z7" s="3779"/>
      <c r="AA7" s="1347">
        <f>D7/F7</f>
        <v>1.0526315789473684</v>
      </c>
      <c r="AB7" s="1347">
        <f>D7/H7</f>
        <v>1.0526315789473684</v>
      </c>
      <c r="AC7" s="1347">
        <f>D7/J7</f>
        <v>1.0526315789473684</v>
      </c>
    </row>
    <row r="8" spans="1:29" s="40" customFormat="1" ht="15" thickBot="1">
      <c r="A8" s="1017" t="s">
        <v>71</v>
      </c>
      <c r="B8" s="1018"/>
      <c r="C8" s="1023" t="s">
        <v>166</v>
      </c>
      <c r="D8" s="757">
        <v>100</v>
      </c>
      <c r="E8" s="1023" t="s">
        <v>259</v>
      </c>
      <c r="F8" s="759">
        <f>SUMIF(61:61,E8,62:62)-SUMIF(61:61,C8,62:62)+100</f>
        <v>102</v>
      </c>
      <c r="G8" s="1023" t="s">
        <v>1251</v>
      </c>
      <c r="H8" s="757">
        <f>SUMIF(61:61,G8,62:62)-SUMIF(61:61,C8,62:62)+100</f>
        <v>100</v>
      </c>
      <c r="I8" s="1023" t="s">
        <v>1251</v>
      </c>
      <c r="J8" s="757">
        <f>SUMIF(61:61,I8,62:62)-SUMIF(61:61,C8,62:62)+100</f>
        <v>100</v>
      </c>
      <c r="K8" s="1022"/>
      <c r="L8" s="2304"/>
      <c r="M8" s="2266"/>
      <c r="N8" s="2266"/>
      <c r="O8" s="2266"/>
      <c r="P8" s="3778" t="s">
        <v>1252</v>
      </c>
      <c r="Q8" s="3779"/>
      <c r="R8" s="1345" t="s">
        <v>70</v>
      </c>
      <c r="S8" s="1346">
        <f t="shared" si="0"/>
        <v>102</v>
      </c>
      <c r="T8" s="1345" t="s">
        <v>70</v>
      </c>
      <c r="U8" s="1346">
        <f t="shared" si="1"/>
        <v>100</v>
      </c>
      <c r="V8" s="1345" t="s">
        <v>70</v>
      </c>
      <c r="W8" s="1346">
        <f t="shared" si="2"/>
        <v>100</v>
      </c>
      <c r="X8" s="293"/>
      <c r="Y8" s="3778" t="s">
        <v>1252</v>
      </c>
      <c r="Z8" s="3779"/>
      <c r="AA8" s="1347">
        <f t="shared" ref="AA8:AA46" si="3">D8/F8</f>
        <v>0.98039215686274506</v>
      </c>
      <c r="AB8" s="1347">
        <f t="shared" ref="AB8:AB46" si="4">D8/H8</f>
        <v>1</v>
      </c>
      <c r="AC8" s="1347">
        <f t="shared" ref="AC8:AC46" si="5">D8/J8</f>
        <v>1</v>
      </c>
    </row>
    <row r="9" spans="1:29" s="40" customFormat="1" ht="14.25">
      <c r="A9" s="1024" t="s">
        <v>1253</v>
      </c>
      <c r="B9" s="62" t="s">
        <v>1254</v>
      </c>
      <c r="C9" s="1349" t="s">
        <v>1255</v>
      </c>
      <c r="D9" s="428">
        <v>100</v>
      </c>
      <c r="E9" s="1350" t="s">
        <v>43</v>
      </c>
      <c r="F9" s="764">
        <f>SUMIF(63:63,E9,64:64)-SUMIF(63:63,C9,64:64)+100</f>
        <v>100</v>
      </c>
      <c r="G9" s="1350" t="s">
        <v>277</v>
      </c>
      <c r="H9" s="428">
        <f>SUMIF(63:63,G9,64:64)-SUMIF(63:63,C9,64:64)+100</f>
        <v>95</v>
      </c>
      <c r="I9" s="1350" t="s">
        <v>43</v>
      </c>
      <c r="J9" s="428">
        <f>SUMIF(63:63,I9,64:64)-SUMIF(63:63,C9,64:64)+100</f>
        <v>100</v>
      </c>
      <c r="K9" s="1022"/>
      <c r="L9" s="2304"/>
      <c r="M9" s="2266"/>
      <c r="N9" s="2266"/>
      <c r="O9" s="2266"/>
      <c r="P9" s="3792" t="s">
        <v>72</v>
      </c>
      <c r="Q9" s="7" t="str">
        <f t="shared" ref="Q9:Q15" si="6">B9</f>
        <v>用途</v>
      </c>
      <c r="R9" s="1345" t="s">
        <v>70</v>
      </c>
      <c r="S9" s="1346">
        <f t="shared" si="0"/>
        <v>100</v>
      </c>
      <c r="T9" s="1345" t="s">
        <v>70</v>
      </c>
      <c r="U9" s="1346">
        <f t="shared" si="1"/>
        <v>95</v>
      </c>
      <c r="V9" s="1345" t="s">
        <v>70</v>
      </c>
      <c r="W9" s="1346">
        <f t="shared" si="2"/>
        <v>100</v>
      </c>
      <c r="X9" s="293"/>
      <c r="Y9" s="3610" t="s">
        <v>72</v>
      </c>
      <c r="Z9" s="294" t="str">
        <f t="shared" ref="Z9:Z15" si="7">Q9</f>
        <v>用途</v>
      </c>
      <c r="AA9" s="1347">
        <f t="shared" si="3"/>
        <v>1</v>
      </c>
      <c r="AB9" s="1347">
        <f t="shared" si="4"/>
        <v>1.0526315789473684</v>
      </c>
      <c r="AC9" s="1347">
        <f t="shared" si="5"/>
        <v>1</v>
      </c>
    </row>
    <row r="10" spans="1:29" s="92" customFormat="1" ht="27">
      <c r="A10" s="150"/>
      <c r="B10" s="12" t="s">
        <v>125</v>
      </c>
      <c r="C10" s="1352" t="s">
        <v>284</v>
      </c>
      <c r="D10" s="429">
        <v>100</v>
      </c>
      <c r="E10" s="1353" t="s">
        <v>285</v>
      </c>
      <c r="F10" s="771">
        <f>SUMIF(65:65,E10,66:66)-SUMIF(65:65,C10,66:66)+100</f>
        <v>99</v>
      </c>
      <c r="G10" s="1352" t="s">
        <v>2797</v>
      </c>
      <c r="H10" s="429">
        <f>SUMIF(65:65,G10,66:66)-SUMIF(65:65,C10,66:66)+100</f>
        <v>98</v>
      </c>
      <c r="I10" s="1352" t="s">
        <v>287</v>
      </c>
      <c r="J10" s="429">
        <f>SUMIF(65:65,I10,66:66)-SUMIF(65:65,C10,66:66)+100</f>
        <v>97</v>
      </c>
      <c r="K10" s="958">
        <v>1</v>
      </c>
      <c r="L10" s="2305"/>
      <c r="M10" s="2306"/>
      <c r="N10" s="2306"/>
      <c r="O10" s="2306"/>
      <c r="P10" s="3792"/>
      <c r="Q10" s="7" t="str">
        <f t="shared" si="6"/>
        <v>土地使用年限（年）</v>
      </c>
      <c r="R10" s="1345" t="s">
        <v>70</v>
      </c>
      <c r="S10" s="1346">
        <f t="shared" si="0"/>
        <v>99</v>
      </c>
      <c r="T10" s="1345" t="s">
        <v>70</v>
      </c>
      <c r="U10" s="1346">
        <f t="shared" si="1"/>
        <v>98</v>
      </c>
      <c r="V10" s="1345" t="s">
        <v>70</v>
      </c>
      <c r="W10" s="1346">
        <f t="shared" si="2"/>
        <v>97</v>
      </c>
      <c r="X10" s="293"/>
      <c r="Y10" s="3610"/>
      <c r="Z10" s="294" t="str">
        <f t="shared" si="7"/>
        <v>土地使用年限（年）</v>
      </c>
      <c r="AA10" s="1347">
        <f t="shared" si="3"/>
        <v>1.0101010101010102</v>
      </c>
      <c r="AB10" s="1347">
        <f t="shared" si="4"/>
        <v>1.0204081632653061</v>
      </c>
      <c r="AC10" s="1347">
        <f t="shared" si="5"/>
        <v>1.0309278350515463</v>
      </c>
    </row>
    <row r="11" spans="1:29" ht="15">
      <c r="A11" s="151"/>
      <c r="B11" s="12" t="s">
        <v>98</v>
      </c>
      <c r="C11" s="775">
        <v>1.5</v>
      </c>
      <c r="D11" s="429">
        <v>100</v>
      </c>
      <c r="E11" s="776">
        <v>2</v>
      </c>
      <c r="F11" s="771">
        <f>LOOKUP(E11,68:68,69:69)-LOOKUP(C11,68:68,69:69)+100</f>
        <v>98</v>
      </c>
      <c r="G11" s="775">
        <v>3.5</v>
      </c>
      <c r="H11" s="429">
        <f>LOOKUP(G11,68:68,69:69)-LOOKUP(C11,68:68,69:69)+100</f>
        <v>96</v>
      </c>
      <c r="I11" s="775">
        <v>5</v>
      </c>
      <c r="J11" s="429">
        <f>LOOKUP(I11,68:68,69:69)-LOOKUP(C11,68:68,69:69)+100</f>
        <v>94</v>
      </c>
      <c r="K11" s="958">
        <v>2</v>
      </c>
      <c r="L11" s="2307"/>
      <c r="M11" s="2303"/>
      <c r="N11" s="2303"/>
      <c r="O11" s="2303"/>
      <c r="P11" s="3792"/>
      <c r="Q11" s="7" t="str">
        <f t="shared" si="6"/>
        <v>容积率</v>
      </c>
      <c r="R11" s="1345" t="s">
        <v>70</v>
      </c>
      <c r="S11" s="1346">
        <f t="shared" si="0"/>
        <v>98</v>
      </c>
      <c r="T11" s="1345" t="s">
        <v>70</v>
      </c>
      <c r="U11" s="1346">
        <f t="shared" si="1"/>
        <v>96</v>
      </c>
      <c r="V11" s="1345" t="s">
        <v>70</v>
      </c>
      <c r="W11" s="1346">
        <f t="shared" si="2"/>
        <v>94</v>
      </c>
      <c r="X11" s="293"/>
      <c r="Y11" s="3610"/>
      <c r="Z11" s="294" t="str">
        <f t="shared" si="7"/>
        <v>容积率</v>
      </c>
      <c r="AA11" s="1347">
        <f t="shared" si="3"/>
        <v>1.0204081632653061</v>
      </c>
      <c r="AB11" s="1347">
        <f t="shared" si="4"/>
        <v>1.0416666666666667</v>
      </c>
      <c r="AC11" s="1347">
        <f t="shared" si="5"/>
        <v>1.0638297872340425</v>
      </c>
    </row>
    <row r="12" spans="1:29" s="40" customFormat="1" ht="14.25">
      <c r="A12" s="1033"/>
      <c r="B12" s="1034">
        <v>111</v>
      </c>
      <c r="C12" s="1027">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304"/>
      <c r="M12" s="2266"/>
      <c r="N12" s="2266"/>
      <c r="O12" s="2266"/>
      <c r="P12" s="3792"/>
      <c r="Q12" s="7">
        <f t="shared" si="6"/>
        <v>111</v>
      </c>
      <c r="R12" s="1345" t="s">
        <v>70</v>
      </c>
      <c r="S12" s="1346">
        <f t="shared" si="0"/>
        <v>100</v>
      </c>
      <c r="T12" s="1345" t="s">
        <v>70</v>
      </c>
      <c r="U12" s="1346">
        <f t="shared" si="1"/>
        <v>100</v>
      </c>
      <c r="V12" s="1345" t="s">
        <v>70</v>
      </c>
      <c r="W12" s="1346">
        <f t="shared" si="2"/>
        <v>100</v>
      </c>
      <c r="X12" s="293"/>
      <c r="Y12" s="3610"/>
      <c r="Z12" s="294">
        <f t="shared" si="7"/>
        <v>111</v>
      </c>
      <c r="AA12" s="1347">
        <f>D12/F12</f>
        <v>1</v>
      </c>
      <c r="AB12" s="1347">
        <f>D12/H12</f>
        <v>1</v>
      </c>
      <c r="AC12" s="1347">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8"/>
      <c r="M13" s="2303"/>
      <c r="N13" s="2303"/>
      <c r="O13" s="2303"/>
      <c r="P13" s="3792"/>
      <c r="Q13" s="7">
        <f t="shared" si="6"/>
        <v>111</v>
      </c>
      <c r="R13" s="1345" t="s">
        <v>70</v>
      </c>
      <c r="S13" s="1346">
        <f t="shared" si="0"/>
        <v>100</v>
      </c>
      <c r="T13" s="1345" t="s">
        <v>70</v>
      </c>
      <c r="U13" s="1346">
        <f t="shared" si="1"/>
        <v>100</v>
      </c>
      <c r="V13" s="1345" t="s">
        <v>70</v>
      </c>
      <c r="W13" s="1346">
        <f t="shared" si="2"/>
        <v>100</v>
      </c>
      <c r="X13" s="293"/>
      <c r="Y13" s="3610"/>
      <c r="Z13" s="294">
        <f t="shared" si="7"/>
        <v>111</v>
      </c>
      <c r="AA13" s="1347">
        <f t="shared" si="3"/>
        <v>1</v>
      </c>
      <c r="AB13" s="1347">
        <f t="shared" si="4"/>
        <v>1</v>
      </c>
      <c r="AC13" s="1347">
        <f t="shared" si="5"/>
        <v>1</v>
      </c>
    </row>
    <row r="14" spans="1:29" ht="15" thickBot="1">
      <c r="A14" s="154"/>
      <c r="B14" s="1035">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8"/>
      <c r="M14" s="2303"/>
      <c r="N14" s="2303"/>
      <c r="O14" s="2303"/>
      <c r="P14" s="3792"/>
      <c r="Q14" s="7">
        <f t="shared" si="6"/>
        <v>111</v>
      </c>
      <c r="R14" s="1345" t="s">
        <v>70</v>
      </c>
      <c r="S14" s="1346">
        <f t="shared" si="0"/>
        <v>100</v>
      </c>
      <c r="T14" s="1345" t="s">
        <v>70</v>
      </c>
      <c r="U14" s="1346">
        <f t="shared" si="1"/>
        <v>100</v>
      </c>
      <c r="V14" s="1345" t="s">
        <v>70</v>
      </c>
      <c r="W14" s="1346">
        <f t="shared" si="2"/>
        <v>100</v>
      </c>
      <c r="X14" s="293"/>
      <c r="Y14" s="3610"/>
      <c r="Z14" s="294">
        <f t="shared" si="7"/>
        <v>111</v>
      </c>
      <c r="AA14" s="1347">
        <f t="shared" si="3"/>
        <v>1</v>
      </c>
      <c r="AB14" s="1347">
        <f t="shared" si="4"/>
        <v>1</v>
      </c>
      <c r="AC14" s="1347">
        <f t="shared" si="5"/>
        <v>1</v>
      </c>
    </row>
    <row r="15" spans="1:29" ht="108">
      <c r="A15" s="155" t="s">
        <v>74</v>
      </c>
      <c r="B15" s="58" t="s">
        <v>194</v>
      </c>
      <c r="C15" s="157" t="str">
        <f>估价对象房地状况!C4</f>
        <v>估价对象自身商业用地较多，周边较少，周边仅有平安超市等住宅配套商业，商业规模较小，综合评价商业繁华度较差</v>
      </c>
      <c r="D15" s="787">
        <v>100</v>
      </c>
      <c r="E15" s="95"/>
      <c r="F15" s="789">
        <f>SUMIF(76:76,E16,77:77)-SUMIF(76:76,C16,77:77)+100</f>
        <v>100</v>
      </c>
      <c r="G15" s="96"/>
      <c r="H15" s="787">
        <f>SUMIF(76:76,G16,77:77)-SUMIF(76:76,C16,77:77)+100</f>
        <v>100</v>
      </c>
      <c r="I15" s="95"/>
      <c r="J15" s="787">
        <f>SUMIF(76:76,I16,77:77)-SUMIF(76:76,C16,77:77)+100</f>
        <v>100</v>
      </c>
      <c r="K15" s="960">
        <v>2</v>
      </c>
      <c r="L15" s="2308"/>
      <c r="M15" s="2303"/>
      <c r="N15" s="2303"/>
      <c r="O15" s="2303"/>
      <c r="P15" s="3819" t="s">
        <v>74</v>
      </c>
      <c r="Q15" s="1354" t="str">
        <f t="shared" si="6"/>
        <v>商业繁华度</v>
      </c>
      <c r="R15" s="1355" t="s">
        <v>70</v>
      </c>
      <c r="S15" s="1356">
        <f t="shared" si="0"/>
        <v>100</v>
      </c>
      <c r="T15" s="1355" t="s">
        <v>70</v>
      </c>
      <c r="U15" s="1356">
        <f t="shared" si="1"/>
        <v>100</v>
      </c>
      <c r="V15" s="1355" t="s">
        <v>70</v>
      </c>
      <c r="W15" s="1356">
        <f t="shared" si="2"/>
        <v>100</v>
      </c>
      <c r="X15" s="1343"/>
      <c r="Y15" s="3812" t="s">
        <v>74</v>
      </c>
      <c r="Z15" s="1357" t="str">
        <f t="shared" si="7"/>
        <v>商业繁华度</v>
      </c>
      <c r="AA15" s="1358">
        <f t="shared" si="3"/>
        <v>1</v>
      </c>
      <c r="AB15" s="1358">
        <f t="shared" si="4"/>
        <v>1</v>
      </c>
      <c r="AC15" s="1358">
        <f t="shared" si="5"/>
        <v>1</v>
      </c>
    </row>
    <row r="16" spans="1:29" ht="14.25">
      <c r="A16" s="151"/>
      <c r="B16" s="156"/>
      <c r="C16" s="97" t="s">
        <v>123</v>
      </c>
      <c r="D16" s="794"/>
      <c r="E16" s="97" t="s">
        <v>123</v>
      </c>
      <c r="F16" s="795"/>
      <c r="G16" s="97" t="s">
        <v>123</v>
      </c>
      <c r="H16" s="796"/>
      <c r="I16" s="97" t="s">
        <v>123</v>
      </c>
      <c r="J16" s="794"/>
      <c r="K16" s="189"/>
      <c r="L16" s="2308"/>
      <c r="M16" s="2303"/>
      <c r="N16" s="2303"/>
      <c r="O16" s="2303"/>
      <c r="P16" s="3820"/>
      <c r="Q16" s="1354"/>
      <c r="R16" s="1355"/>
      <c r="S16" s="1356"/>
      <c r="T16" s="1355"/>
      <c r="U16" s="1356"/>
      <c r="V16" s="1355"/>
      <c r="W16" s="1356"/>
      <c r="X16" s="1343"/>
      <c r="Y16" s="3813"/>
      <c r="Z16" s="1357"/>
      <c r="AA16" s="1358">
        <v>1</v>
      </c>
      <c r="AB16" s="1358">
        <v>1</v>
      </c>
      <c r="AC16" s="1358">
        <v>1</v>
      </c>
    </row>
    <row r="17" spans="1:29" ht="135">
      <c r="A17" s="151"/>
      <c r="B17" s="1359" t="s">
        <v>77</v>
      </c>
      <c r="C17" s="158" t="str">
        <f>估价对象房地状况!C6</f>
        <v>估价对象周边有938、香河1路等公交线路，大香线等城市次干道，公共交通通达情况一般；项目自身有停车位、停车便捷程度一般，综合评价交通便捷度一般</v>
      </c>
      <c r="D17" s="796">
        <v>100</v>
      </c>
      <c r="E17" s="100"/>
      <c r="F17" s="799">
        <f>SUMIF(78:78,E18,79:79)-SUMIF(78:78,C18,79:79)+100</f>
        <v>97</v>
      </c>
      <c r="G17" s="101"/>
      <c r="H17" s="801">
        <f>SUMIF(78:78,G18,79:79)-SUMIF(78:78,C18,79:79)+100</f>
        <v>94</v>
      </c>
      <c r="I17" s="100"/>
      <c r="J17" s="801">
        <f>SUMIF(78:78,I18,79:79)-SUMIF(78:78,C18,79:79)+100</f>
        <v>106</v>
      </c>
      <c r="K17" s="960">
        <v>3</v>
      </c>
      <c r="L17" s="2308"/>
      <c r="M17" s="2303"/>
      <c r="N17" s="2303"/>
      <c r="O17" s="2303"/>
      <c r="P17" s="3820"/>
      <c r="Q17" s="1354" t="str">
        <f>B17</f>
        <v>交通便捷度</v>
      </c>
      <c r="R17" s="1355" t="s">
        <v>70</v>
      </c>
      <c r="S17" s="1356">
        <f>F17</f>
        <v>97</v>
      </c>
      <c r="T17" s="1355" t="s">
        <v>70</v>
      </c>
      <c r="U17" s="1356">
        <f>H17</f>
        <v>94</v>
      </c>
      <c r="V17" s="1355" t="s">
        <v>70</v>
      </c>
      <c r="W17" s="1356">
        <f>J17</f>
        <v>106</v>
      </c>
      <c r="X17" s="1343"/>
      <c r="Y17" s="3813"/>
      <c r="Z17" s="1357" t="str">
        <f>Q17</f>
        <v>交通便捷度</v>
      </c>
      <c r="AA17" s="1358">
        <f t="shared" si="3"/>
        <v>1.0309278350515463</v>
      </c>
      <c r="AB17" s="1358">
        <f t="shared" si="4"/>
        <v>1.0638297872340425</v>
      </c>
      <c r="AC17" s="1358">
        <f t="shared" si="5"/>
        <v>0.94339622641509435</v>
      </c>
    </row>
    <row r="18" spans="1:29" ht="14.25">
      <c r="A18" s="151"/>
      <c r="B18" s="1044"/>
      <c r="C18" s="102" t="s">
        <v>124</v>
      </c>
      <c r="D18" s="796"/>
      <c r="E18" s="103" t="s">
        <v>153</v>
      </c>
      <c r="F18" s="799"/>
      <c r="G18" s="104" t="s">
        <v>184</v>
      </c>
      <c r="H18" s="794"/>
      <c r="I18" s="103" t="s">
        <v>122</v>
      </c>
      <c r="J18" s="794"/>
      <c r="K18" s="189"/>
      <c r="L18" s="2308"/>
      <c r="M18" s="2303"/>
      <c r="N18" s="2303"/>
      <c r="O18" s="2303"/>
      <c r="P18" s="3820"/>
      <c r="Q18" s="1354"/>
      <c r="R18" s="1355"/>
      <c r="S18" s="1356"/>
      <c r="T18" s="1355"/>
      <c r="U18" s="1356"/>
      <c r="V18" s="1355"/>
      <c r="W18" s="1356"/>
      <c r="X18" s="1343"/>
      <c r="Y18" s="3813"/>
      <c r="Z18" s="1357"/>
      <c r="AA18" s="1358">
        <v>1</v>
      </c>
      <c r="AB18" s="1358">
        <v>1</v>
      </c>
      <c r="AC18" s="1358">
        <v>1</v>
      </c>
    </row>
    <row r="19" spans="1:29" ht="67.5">
      <c r="A19" s="151"/>
      <c r="B19" s="1359" t="s">
        <v>3054</v>
      </c>
      <c r="C19" s="158" t="str">
        <f>估价对象房地状况!C7</f>
        <v>估价对象所在区域公共配套，有银行、医院、邮局等，设施齐备度较好</v>
      </c>
      <c r="D19" s="801">
        <v>100</v>
      </c>
      <c r="E19" s="105"/>
      <c r="F19" s="804">
        <f>SUMIF(80:80,E20,81:81)-SUMIF(80:80,C20,81:81)+100</f>
        <v>98</v>
      </c>
      <c r="G19" s="106"/>
      <c r="H19" s="796">
        <f>SUMIF(80:80,G20,81:81)-SUMIF(80:80,C20,81:81)+100</f>
        <v>96</v>
      </c>
      <c r="I19" s="105"/>
      <c r="J19" s="796">
        <f>SUMIF(80:80,I20,81:81)-SUMIF(80:80,C20,81:81)+100</f>
        <v>100</v>
      </c>
      <c r="K19" s="960">
        <v>2</v>
      </c>
      <c r="L19" s="2308"/>
      <c r="M19" s="2303"/>
      <c r="N19" s="2303"/>
      <c r="O19" s="2303"/>
      <c r="P19" s="3820"/>
      <c r="Q19" s="1354" t="str">
        <f>B19</f>
        <v>公共配套设施</v>
      </c>
      <c r="R19" s="1355" t="s">
        <v>70</v>
      </c>
      <c r="S19" s="1356">
        <f>F19</f>
        <v>98</v>
      </c>
      <c r="T19" s="1355" t="s">
        <v>70</v>
      </c>
      <c r="U19" s="1356">
        <f>H19</f>
        <v>96</v>
      </c>
      <c r="V19" s="1355" t="s">
        <v>70</v>
      </c>
      <c r="W19" s="1356">
        <f>J19</f>
        <v>100</v>
      </c>
      <c r="X19" s="1343"/>
      <c r="Y19" s="3813"/>
      <c r="Z19" s="1357" t="str">
        <f>Q19</f>
        <v>公共配套设施</v>
      </c>
      <c r="AA19" s="1358">
        <f t="shared" si="3"/>
        <v>1.0204081632653061</v>
      </c>
      <c r="AB19" s="1358">
        <f t="shared" si="4"/>
        <v>1.0416666666666667</v>
      </c>
      <c r="AC19" s="1358">
        <f t="shared" si="5"/>
        <v>1</v>
      </c>
    </row>
    <row r="20" spans="1:29" ht="14.25">
      <c r="A20" s="151"/>
      <c r="B20" s="1044"/>
      <c r="C20" s="97" t="s">
        <v>2796</v>
      </c>
      <c r="D20" s="794"/>
      <c r="E20" s="98" t="s">
        <v>124</v>
      </c>
      <c r="F20" s="795"/>
      <c r="G20" s="99" t="s">
        <v>153</v>
      </c>
      <c r="H20" s="794"/>
      <c r="I20" s="98" t="s">
        <v>123</v>
      </c>
      <c r="J20" s="794"/>
      <c r="K20" s="189"/>
      <c r="L20" s="2308"/>
      <c r="M20" s="2303"/>
      <c r="N20" s="2303"/>
      <c r="O20" s="2303"/>
      <c r="P20" s="3820"/>
      <c r="Q20" s="1354"/>
      <c r="R20" s="1355"/>
      <c r="S20" s="1356"/>
      <c r="T20" s="1355"/>
      <c r="U20" s="1356"/>
      <c r="V20" s="1355"/>
      <c r="W20" s="1356"/>
      <c r="X20" s="1343"/>
      <c r="Y20" s="3813"/>
      <c r="Z20" s="1357"/>
      <c r="AA20" s="1358">
        <v>1</v>
      </c>
      <c r="AB20" s="1358">
        <v>1</v>
      </c>
      <c r="AC20" s="1358">
        <v>1</v>
      </c>
    </row>
    <row r="21" spans="1:29" ht="40.5">
      <c r="A21" s="151"/>
      <c r="B21" s="1415" t="s">
        <v>3055</v>
      </c>
      <c r="C21" s="158" t="str">
        <f>估价对象房地状况!C8</f>
        <v>估价对象所在区域基础设施水平七通一平</v>
      </c>
      <c r="D21" s="801">
        <v>100</v>
      </c>
      <c r="E21" s="105"/>
      <c r="F21" s="804">
        <f>SUMIF(82:82,E22,83:83)-SUMIF(82:82,C22,83:83)+100</f>
        <v>99</v>
      </c>
      <c r="G21" s="106"/>
      <c r="H21" s="796">
        <f>SUMIF(82:82,G22,83:83)-SUMIF(82:82,C22,83:83)+100</f>
        <v>98</v>
      </c>
      <c r="I21" s="105"/>
      <c r="J21" s="796">
        <f>SUMIF(82:82,I22,83:83)-SUMIF(82:82,C22,83:83)+100</f>
        <v>97</v>
      </c>
      <c r="K21" s="960">
        <v>1</v>
      </c>
      <c r="L21" s="2308"/>
      <c r="M21" s="2303"/>
      <c r="N21" s="2303"/>
      <c r="O21" s="2303"/>
      <c r="P21" s="3820"/>
      <c r="Q21" s="2762" t="str">
        <f>B21</f>
        <v>基础设施水平</v>
      </c>
      <c r="R21" s="1355" t="s">
        <v>70</v>
      </c>
      <c r="S21" s="1356">
        <f>F21</f>
        <v>99</v>
      </c>
      <c r="T21" s="1355" t="s">
        <v>70</v>
      </c>
      <c r="U21" s="1356">
        <f>H21</f>
        <v>98</v>
      </c>
      <c r="V21" s="1355" t="s">
        <v>70</v>
      </c>
      <c r="W21" s="1356">
        <f>J21</f>
        <v>97</v>
      </c>
      <c r="X21" s="2764"/>
      <c r="Y21" s="3813"/>
      <c r="Z21" s="2763" t="str">
        <f>Q21</f>
        <v>基础设施水平</v>
      </c>
      <c r="AA21" s="1358">
        <f t="shared" ref="AA21" si="8">D21/F21</f>
        <v>1.0101010101010102</v>
      </c>
      <c r="AB21" s="1358">
        <f t="shared" ref="AB21" si="9">D21/H21</f>
        <v>1.0204081632653061</v>
      </c>
      <c r="AC21" s="1358">
        <f t="shared" ref="AC21" si="10">D21/J21</f>
        <v>1.0309278350515463</v>
      </c>
    </row>
    <row r="22" spans="1:29" ht="14.25">
      <c r="A22" s="151"/>
      <c r="B22" s="1415"/>
      <c r="C22" s="102" t="s">
        <v>56</v>
      </c>
      <c r="D22" s="794"/>
      <c r="E22" s="97" t="s">
        <v>161</v>
      </c>
      <c r="F22" s="795"/>
      <c r="G22" s="97" t="s">
        <v>162</v>
      </c>
      <c r="H22" s="794"/>
      <c r="I22" s="97" t="s">
        <v>258</v>
      </c>
      <c r="J22" s="794"/>
      <c r="K22" s="2782"/>
      <c r="L22" s="2308"/>
      <c r="M22" s="2303"/>
      <c r="N22" s="2303"/>
      <c r="O22" s="2303"/>
      <c r="P22" s="3820"/>
      <c r="Q22" s="2762"/>
      <c r="R22" s="1355"/>
      <c r="S22" s="1356"/>
      <c r="T22" s="1355"/>
      <c r="U22" s="1356"/>
      <c r="V22" s="1355"/>
      <c r="W22" s="1356"/>
      <c r="X22" s="2764"/>
      <c r="Y22" s="3813"/>
      <c r="Z22" s="2763"/>
      <c r="AA22" s="1358">
        <v>1</v>
      </c>
      <c r="AB22" s="1358">
        <v>1</v>
      </c>
      <c r="AC22" s="1358">
        <v>1</v>
      </c>
    </row>
    <row r="23" spans="1:29" ht="67.5">
      <c r="A23" s="151"/>
      <c r="B23" s="1359" t="s">
        <v>78</v>
      </c>
      <c r="C23" s="190" t="str">
        <f>估价对象房地状况!C9</f>
        <v>区域自然环境：无；人文环境：亚太中医哮喘病研究所；综合评价环境状况一般</v>
      </c>
      <c r="D23" s="796">
        <v>100</v>
      </c>
      <c r="E23" s="100"/>
      <c r="F23" s="799">
        <f>SUMIF(84:84,E24,85:85)-SUMIF(84:84,C24,85:85)+100</f>
        <v>98.5</v>
      </c>
      <c r="G23" s="101"/>
      <c r="H23" s="796">
        <f>SUMIF(84:84,G24,85:85)-SUMIF(84:84,C24,85:85)+100</f>
        <v>103</v>
      </c>
      <c r="I23" s="100"/>
      <c r="J23" s="796">
        <f>SUMIF(84:84,I24,85:85)-SUMIF(84:84,C24,85:85)+100</f>
        <v>101.5</v>
      </c>
      <c r="K23" s="960">
        <v>1.5</v>
      </c>
      <c r="L23" s="2308"/>
      <c r="M23" s="2303"/>
      <c r="N23" s="2303"/>
      <c r="O23" s="2303"/>
      <c r="P23" s="3820"/>
      <c r="Q23" s="1354" t="str">
        <f>B23</f>
        <v>自然及人文环境</v>
      </c>
      <c r="R23" s="1355" t="s">
        <v>70</v>
      </c>
      <c r="S23" s="1356">
        <f>F23</f>
        <v>98.5</v>
      </c>
      <c r="T23" s="1355" t="s">
        <v>70</v>
      </c>
      <c r="U23" s="1356">
        <f>H23</f>
        <v>103</v>
      </c>
      <c r="V23" s="1355" t="s">
        <v>70</v>
      </c>
      <c r="W23" s="1356">
        <f>J23</f>
        <v>101.5</v>
      </c>
      <c r="X23" s="1343"/>
      <c r="Y23" s="3813"/>
      <c r="Z23" s="1357" t="str">
        <f>Q23</f>
        <v>自然及人文环境</v>
      </c>
      <c r="AA23" s="1358">
        <f t="shared" si="3"/>
        <v>1.015228426395939</v>
      </c>
      <c r="AB23" s="1358">
        <f t="shared" si="4"/>
        <v>0.970873786407767</v>
      </c>
      <c r="AC23" s="1358">
        <f t="shared" si="5"/>
        <v>0.98522167487684731</v>
      </c>
    </row>
    <row r="24" spans="1:29" ht="14.25">
      <c r="A24" s="151"/>
      <c r="B24" s="1044"/>
      <c r="C24" s="97" t="s">
        <v>124</v>
      </c>
      <c r="D24" s="794"/>
      <c r="E24" s="98" t="s">
        <v>153</v>
      </c>
      <c r="F24" s="795"/>
      <c r="G24" s="99" t="s">
        <v>122</v>
      </c>
      <c r="H24" s="794"/>
      <c r="I24" s="98" t="s">
        <v>123</v>
      </c>
      <c r="J24" s="794"/>
      <c r="K24" s="189"/>
      <c r="L24" s="2308"/>
      <c r="M24" s="2303"/>
      <c r="N24" s="2303"/>
      <c r="O24" s="2303"/>
      <c r="P24" s="3820"/>
      <c r="Q24" s="1354"/>
      <c r="R24" s="1355"/>
      <c r="S24" s="1356"/>
      <c r="T24" s="1355"/>
      <c r="U24" s="1356"/>
      <c r="V24" s="1355"/>
      <c r="W24" s="1356"/>
      <c r="X24" s="1343"/>
      <c r="Y24" s="3813"/>
      <c r="Z24" s="1357"/>
      <c r="AA24" s="1358">
        <v>1</v>
      </c>
      <c r="AB24" s="1358">
        <v>1</v>
      </c>
      <c r="AC24" s="1358">
        <v>1</v>
      </c>
    </row>
    <row r="25" spans="1:29" ht="15">
      <c r="A25" s="151"/>
      <c r="B25" s="12" t="s">
        <v>195</v>
      </c>
      <c r="C25" s="182" t="s">
        <v>179</v>
      </c>
      <c r="D25" s="781">
        <v>100</v>
      </c>
      <c r="E25" s="182" t="s">
        <v>273</v>
      </c>
      <c r="F25" s="807">
        <f>SUMIF(86:86,E25,87:87)-SUMIF(86:86,C25,87:87)+100</f>
        <v>104</v>
      </c>
      <c r="G25" s="182" t="s">
        <v>261</v>
      </c>
      <c r="H25" s="781">
        <f>SUMIF(86:86,G25,87:87)-SUMIF(86:86,C25,87:87)+100</f>
        <v>102</v>
      </c>
      <c r="I25" s="182" t="s">
        <v>262</v>
      </c>
      <c r="J25" s="781">
        <f>SUMIF(86:86,I25,87:87)-SUMIF(86:86,C25,87:87)+100</f>
        <v>98</v>
      </c>
      <c r="K25" s="958">
        <v>2</v>
      </c>
      <c r="L25" s="2308"/>
      <c r="M25" s="2303"/>
      <c r="N25" s="2303"/>
      <c r="O25" s="2303"/>
      <c r="P25" s="3820"/>
      <c r="Q25" s="1354" t="str">
        <f t="shared" ref="Q25:Q46" si="11">B25</f>
        <v>临街状况</v>
      </c>
      <c r="R25" s="1355" t="s">
        <v>70</v>
      </c>
      <c r="S25" s="1356">
        <f>F25</f>
        <v>104</v>
      </c>
      <c r="T25" s="1355" t="s">
        <v>70</v>
      </c>
      <c r="U25" s="1356">
        <f>H25</f>
        <v>102</v>
      </c>
      <c r="V25" s="1355" t="s">
        <v>70</v>
      </c>
      <c r="W25" s="1356">
        <f>J25</f>
        <v>98</v>
      </c>
      <c r="X25" s="1343"/>
      <c r="Y25" s="3813"/>
      <c r="Z25" s="1357" t="str">
        <f>Q25</f>
        <v>临街状况</v>
      </c>
      <c r="AA25" s="1358">
        <f t="shared" si="3"/>
        <v>0.96153846153846156</v>
      </c>
      <c r="AB25" s="1358">
        <f t="shared" si="4"/>
        <v>0.98039215686274506</v>
      </c>
      <c r="AC25" s="1358">
        <f t="shared" si="5"/>
        <v>1.0204081632653061</v>
      </c>
    </row>
    <row r="26" spans="1:29" ht="14.25">
      <c r="A26" s="151"/>
      <c r="B26" s="1360" t="s">
        <v>1256</v>
      </c>
      <c r="C26" s="93" t="s">
        <v>1257</v>
      </c>
      <c r="D26" s="781">
        <v>100</v>
      </c>
      <c r="E26" s="93" t="s">
        <v>1258</v>
      </c>
      <c r="F26" s="807">
        <f>SUMIF(88:88,E26,89:89)-SUMIF(88:88,C26,89:89)+100</f>
        <v>98</v>
      </c>
      <c r="G26" s="93" t="s">
        <v>1259</v>
      </c>
      <c r="H26" s="781">
        <f>SUMIF(88:88,G26,89:89)-SUMIF(88:88,C26,89:89)+100</f>
        <v>96</v>
      </c>
      <c r="I26" s="93" t="s">
        <v>1260</v>
      </c>
      <c r="J26" s="781">
        <f>SUMIF(88:88,I26,89:89)-SUMIF(88:88,C26,89:89)+100</f>
        <v>92</v>
      </c>
      <c r="K26" s="188"/>
      <c r="L26" s="2308"/>
      <c r="M26" s="2303"/>
      <c r="N26" s="2303"/>
      <c r="O26" s="2303"/>
      <c r="P26" s="3820"/>
      <c r="Q26" s="1354" t="str">
        <f t="shared" si="11"/>
        <v>平面位置/可视性</v>
      </c>
      <c r="R26" s="1355" t="s">
        <v>70</v>
      </c>
      <c r="S26" s="1356">
        <f>F26</f>
        <v>98</v>
      </c>
      <c r="T26" s="1355" t="s">
        <v>70</v>
      </c>
      <c r="U26" s="1356">
        <f>H26</f>
        <v>96</v>
      </c>
      <c r="V26" s="1355" t="s">
        <v>70</v>
      </c>
      <c r="W26" s="1356">
        <f>J26</f>
        <v>92</v>
      </c>
      <c r="X26" s="1343"/>
      <c r="Y26" s="3813"/>
      <c r="Z26" s="1357" t="str">
        <f>Q26</f>
        <v>平面位置/可视性</v>
      </c>
      <c r="AA26" s="1358">
        <f t="shared" si="3"/>
        <v>1.0204081632653061</v>
      </c>
      <c r="AB26" s="1358">
        <f t="shared" si="4"/>
        <v>1.0416666666666667</v>
      </c>
      <c r="AC26" s="1358">
        <f t="shared" si="5"/>
        <v>1.0869565217391304</v>
      </c>
    </row>
    <row r="27" spans="1:29" s="40" customFormat="1" ht="15">
      <c r="A27" s="1033"/>
      <c r="B27" s="1359" t="s">
        <v>1261</v>
      </c>
      <c r="C27" s="1390" t="s">
        <v>180</v>
      </c>
      <c r="D27" s="808">
        <v>100</v>
      </c>
      <c r="E27" s="1390" t="s">
        <v>274</v>
      </c>
      <c r="F27" s="810">
        <f>SUMIF(90:90,E27,91:91)-SUMIF(90:90,C27,91:91)+100</f>
        <v>97</v>
      </c>
      <c r="G27" s="1390" t="s">
        <v>124</v>
      </c>
      <c r="H27" s="808">
        <f>SUMIF(90:90,G27,91:91)-SUMIF(90:90,C27,91:91)+100</f>
        <v>94</v>
      </c>
      <c r="I27" s="1390" t="s">
        <v>275</v>
      </c>
      <c r="J27" s="808">
        <f>SUMIF(90:90,I27,91:91)-SUMIF(90:90,C27,91:91)+100</f>
        <v>91</v>
      </c>
      <c r="K27" s="958">
        <v>3</v>
      </c>
      <c r="L27" s="2304"/>
      <c r="M27" s="2266"/>
      <c r="N27" s="2266"/>
      <c r="O27" s="2266"/>
      <c r="P27" s="3820"/>
      <c r="Q27" s="7" t="str">
        <f t="shared" si="11"/>
        <v>人流量</v>
      </c>
      <c r="R27" s="1345" t="s">
        <v>70</v>
      </c>
      <c r="S27" s="1346">
        <f>F27</f>
        <v>97</v>
      </c>
      <c r="T27" s="1345" t="s">
        <v>70</v>
      </c>
      <c r="U27" s="1346">
        <f>H27</f>
        <v>94</v>
      </c>
      <c r="V27" s="1345" t="s">
        <v>70</v>
      </c>
      <c r="W27" s="1346">
        <f>J27</f>
        <v>91</v>
      </c>
      <c r="X27" s="293"/>
      <c r="Y27" s="3813"/>
      <c r="Z27" s="294" t="str">
        <f>Q27</f>
        <v>人流量</v>
      </c>
      <c r="AA27" s="1358">
        <f>D27/F27</f>
        <v>1.0309278350515463</v>
      </c>
      <c r="AB27" s="1358">
        <f>D27/H27</f>
        <v>1.0638297872340425</v>
      </c>
      <c r="AC27" s="1358">
        <f>D27/J27</f>
        <v>1.098901098901099</v>
      </c>
    </row>
    <row r="28" spans="1:29" ht="14.25">
      <c r="A28" s="151"/>
      <c r="B28" s="12" t="s">
        <v>196</v>
      </c>
      <c r="C28" s="182" t="s">
        <v>198</v>
      </c>
      <c r="D28" s="781">
        <v>100</v>
      </c>
      <c r="E28" s="182" t="s">
        <v>276</v>
      </c>
      <c r="F28" s="807">
        <f>SUMIF(92:92,E28,93:93)-SUMIF(92:92,C28,93:93)+100</f>
        <v>90</v>
      </c>
      <c r="G28" s="182" t="s">
        <v>198</v>
      </c>
      <c r="H28" s="781">
        <f>SUMIF(92:92,G28,93:93)-SUMIF(92:92,C28,93:93)+100</f>
        <v>100</v>
      </c>
      <c r="I28" s="182" t="s">
        <v>198</v>
      </c>
      <c r="J28" s="781">
        <f>SUMIF(92:92,I28,93:93)-SUMIF(92:92,C28,93:93)+100</f>
        <v>100</v>
      </c>
      <c r="K28" s="188"/>
      <c r="L28" s="2308"/>
      <c r="M28" s="2303"/>
      <c r="N28" s="2303"/>
      <c r="O28" s="2303"/>
      <c r="P28" s="3820"/>
      <c r="Q28" s="1354" t="str">
        <f t="shared" si="11"/>
        <v>楼层</v>
      </c>
      <c r="R28" s="1355" t="s">
        <v>70</v>
      </c>
      <c r="S28" s="1356">
        <f t="shared" ref="S28:S46" si="12">F28</f>
        <v>90</v>
      </c>
      <c r="T28" s="1355" t="s">
        <v>70</v>
      </c>
      <c r="U28" s="1356">
        <f t="shared" ref="U28:U46" si="13">H28</f>
        <v>100</v>
      </c>
      <c r="V28" s="1355" t="s">
        <v>70</v>
      </c>
      <c r="W28" s="1356">
        <f t="shared" ref="W28:W46" si="14">J28</f>
        <v>100</v>
      </c>
      <c r="X28" s="1343"/>
      <c r="Y28" s="3813"/>
      <c r="Z28" s="1357" t="str">
        <f t="shared" ref="Z28:Z46" si="15">Q28</f>
        <v>楼层</v>
      </c>
      <c r="AA28" s="1358">
        <f t="shared" si="3"/>
        <v>1.1111111111111112</v>
      </c>
      <c r="AB28" s="1358">
        <f t="shared" si="4"/>
        <v>1</v>
      </c>
      <c r="AC28" s="1358">
        <f t="shared" si="5"/>
        <v>1</v>
      </c>
    </row>
    <row r="29" spans="1:29" ht="14.25">
      <c r="A29" s="151"/>
      <c r="B29" s="1360">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8"/>
      <c r="M29" s="2303"/>
      <c r="N29" s="2303"/>
      <c r="O29" s="2303"/>
      <c r="P29" s="3820"/>
      <c r="Q29" s="1354">
        <f t="shared" si="11"/>
        <v>111</v>
      </c>
      <c r="R29" s="1355" t="s">
        <v>70</v>
      </c>
      <c r="S29" s="1356">
        <f t="shared" si="12"/>
        <v>100</v>
      </c>
      <c r="T29" s="1355" t="s">
        <v>70</v>
      </c>
      <c r="U29" s="1356">
        <f t="shared" si="13"/>
        <v>100</v>
      </c>
      <c r="V29" s="1355" t="s">
        <v>70</v>
      </c>
      <c r="W29" s="1356">
        <f t="shared" si="14"/>
        <v>100</v>
      </c>
      <c r="X29" s="1343"/>
      <c r="Y29" s="3813"/>
      <c r="Z29" s="1357">
        <f t="shared" si="15"/>
        <v>111</v>
      </c>
      <c r="AA29" s="1358">
        <f t="shared" si="3"/>
        <v>1</v>
      </c>
      <c r="AB29" s="1358">
        <f t="shared" si="4"/>
        <v>1</v>
      </c>
      <c r="AC29" s="1358">
        <f t="shared" si="5"/>
        <v>1</v>
      </c>
    </row>
    <row r="30" spans="1:29" ht="14.25">
      <c r="A30" s="151"/>
      <c r="B30" s="1360">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8"/>
      <c r="M30" s="2303"/>
      <c r="N30" s="2303"/>
      <c r="O30" s="2303"/>
      <c r="P30" s="3820"/>
      <c r="Q30" s="1354">
        <f t="shared" si="11"/>
        <v>111</v>
      </c>
      <c r="R30" s="1355" t="s">
        <v>70</v>
      </c>
      <c r="S30" s="1356">
        <f t="shared" si="12"/>
        <v>100</v>
      </c>
      <c r="T30" s="1355" t="s">
        <v>70</v>
      </c>
      <c r="U30" s="1356">
        <f t="shared" si="13"/>
        <v>100</v>
      </c>
      <c r="V30" s="1355" t="s">
        <v>70</v>
      </c>
      <c r="W30" s="1356">
        <f t="shared" si="14"/>
        <v>100</v>
      </c>
      <c r="X30" s="1343"/>
      <c r="Y30" s="3813"/>
      <c r="Z30" s="1357">
        <f t="shared" si="15"/>
        <v>111</v>
      </c>
      <c r="AA30" s="1358">
        <f t="shared" si="3"/>
        <v>1</v>
      </c>
      <c r="AB30" s="1358">
        <f t="shared" si="4"/>
        <v>1</v>
      </c>
      <c r="AC30" s="1358">
        <f t="shared" si="5"/>
        <v>1</v>
      </c>
    </row>
    <row r="31" spans="1:29" ht="15" thickBot="1">
      <c r="A31" s="154"/>
      <c r="B31" s="1360">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8"/>
      <c r="M31" s="2303"/>
      <c r="N31" s="2303"/>
      <c r="O31" s="2303"/>
      <c r="P31" s="3820"/>
      <c r="Q31" s="1354">
        <f t="shared" si="11"/>
        <v>111</v>
      </c>
      <c r="R31" s="1355" t="s">
        <v>70</v>
      </c>
      <c r="S31" s="1356">
        <f t="shared" si="12"/>
        <v>100</v>
      </c>
      <c r="T31" s="1355" t="s">
        <v>70</v>
      </c>
      <c r="U31" s="1356">
        <f t="shared" si="13"/>
        <v>100</v>
      </c>
      <c r="V31" s="1355" t="s">
        <v>70</v>
      </c>
      <c r="W31" s="1356">
        <f t="shared" si="14"/>
        <v>100</v>
      </c>
      <c r="X31" s="1343"/>
      <c r="Y31" s="3813"/>
      <c r="Z31" s="1357">
        <f t="shared" si="15"/>
        <v>111</v>
      </c>
      <c r="AA31" s="1358">
        <f t="shared" si="3"/>
        <v>1</v>
      </c>
      <c r="AB31" s="1358">
        <f t="shared" si="4"/>
        <v>1</v>
      </c>
      <c r="AC31" s="1358">
        <f t="shared" si="5"/>
        <v>1</v>
      </c>
    </row>
    <row r="32" spans="1:29" ht="15">
      <c r="A32" s="155" t="s">
        <v>1262</v>
      </c>
      <c r="B32" s="62" t="s">
        <v>1263</v>
      </c>
      <c r="C32" s="110" t="s">
        <v>178</v>
      </c>
      <c r="D32" s="813">
        <v>100</v>
      </c>
      <c r="E32" s="110" t="s">
        <v>182</v>
      </c>
      <c r="F32" s="807">
        <f>SUMIF(100:100,E32,101:101)-SUMIF(100:100,C32,101:101)+100</f>
        <v>102</v>
      </c>
      <c r="G32" s="110" t="s">
        <v>181</v>
      </c>
      <c r="H32" s="781">
        <f>SUMIF(100:100,G32,101:101)-SUMIF(100:100,C32,101:101)+100</f>
        <v>104</v>
      </c>
      <c r="I32" s="110" t="s">
        <v>178</v>
      </c>
      <c r="J32" s="813">
        <f>SUMIF(100:100,I32,101:101)-SUMIF(100:100,C32,101:101)+100</f>
        <v>100</v>
      </c>
      <c r="K32" s="958">
        <v>2</v>
      </c>
      <c r="L32" s="2308"/>
      <c r="M32" s="2303"/>
      <c r="N32" s="2303"/>
      <c r="O32" s="2303"/>
      <c r="P32" s="3814" t="s">
        <v>1264</v>
      </c>
      <c r="Q32" s="1354" t="str">
        <f t="shared" si="11"/>
        <v>商业类型</v>
      </c>
      <c r="R32" s="1355" t="s">
        <v>70</v>
      </c>
      <c r="S32" s="1356">
        <f t="shared" si="12"/>
        <v>102</v>
      </c>
      <c r="T32" s="1355" t="s">
        <v>70</v>
      </c>
      <c r="U32" s="1356">
        <f t="shared" si="13"/>
        <v>104</v>
      </c>
      <c r="V32" s="1355" t="s">
        <v>70</v>
      </c>
      <c r="W32" s="1356">
        <f t="shared" si="14"/>
        <v>100</v>
      </c>
      <c r="X32" s="1343"/>
      <c r="Y32" s="3817" t="s">
        <v>1264</v>
      </c>
      <c r="Z32" s="1357" t="str">
        <f t="shared" si="15"/>
        <v>商业类型</v>
      </c>
      <c r="AA32" s="1358">
        <f t="shared" si="3"/>
        <v>0.98039215686274506</v>
      </c>
      <c r="AB32" s="1358">
        <f t="shared" si="4"/>
        <v>0.96153846153846156</v>
      </c>
      <c r="AC32" s="1358">
        <f t="shared" si="5"/>
        <v>1</v>
      </c>
    </row>
    <row r="33" spans="1:29" s="1043" customFormat="1" ht="14.25">
      <c r="A33" s="1047"/>
      <c r="B33" s="12" t="s">
        <v>81</v>
      </c>
      <c r="C33" s="815">
        <v>10000</v>
      </c>
      <c r="D33" s="429">
        <v>100</v>
      </c>
      <c r="E33" s="776">
        <v>150</v>
      </c>
      <c r="F33" s="771">
        <f>LOOKUP(E33,103:103,104:104)-LOOKUP(C33,103:103,104:104)+100</f>
        <v>92</v>
      </c>
      <c r="G33" s="775">
        <v>550</v>
      </c>
      <c r="H33" s="429">
        <f>LOOKUP(G33,103:103,104:104)-LOOKUP(C33,103:103,104:104)+100</f>
        <v>94</v>
      </c>
      <c r="I33" s="775">
        <v>3500</v>
      </c>
      <c r="J33" s="429">
        <f>LOOKUP(I33,103:103,104:104)-LOOKUP(C33,103:103,104:104)+100</f>
        <v>96</v>
      </c>
      <c r="K33" s="188"/>
      <c r="L33" s="2307"/>
      <c r="M33" s="2309"/>
      <c r="N33" s="2309"/>
      <c r="O33" s="2309"/>
      <c r="P33" s="3815"/>
      <c r="Q33" s="1362" t="str">
        <f t="shared" si="11"/>
        <v>项目建筑规模</v>
      </c>
      <c r="R33" s="1363" t="s">
        <v>70</v>
      </c>
      <c r="S33" s="1364">
        <f t="shared" si="12"/>
        <v>92</v>
      </c>
      <c r="T33" s="1363" t="s">
        <v>70</v>
      </c>
      <c r="U33" s="1364">
        <f t="shared" si="13"/>
        <v>94</v>
      </c>
      <c r="V33" s="1363" t="s">
        <v>70</v>
      </c>
      <c r="W33" s="1364">
        <f t="shared" si="14"/>
        <v>96</v>
      </c>
      <c r="X33" s="1365"/>
      <c r="Y33" s="3817"/>
      <c r="Z33" s="1366" t="str">
        <f t="shared" si="15"/>
        <v>项目建筑规模</v>
      </c>
      <c r="AA33" s="1358">
        <f t="shared" si="3"/>
        <v>1.0869565217391304</v>
      </c>
      <c r="AB33" s="1358">
        <f t="shared" si="4"/>
        <v>1.0638297872340425</v>
      </c>
      <c r="AC33" s="1358">
        <f t="shared" si="5"/>
        <v>1.0416666666666667</v>
      </c>
    </row>
    <row r="34" spans="1:29" ht="15">
      <c r="A34" s="161"/>
      <c r="B34" s="12" t="s">
        <v>82</v>
      </c>
      <c r="C34" s="112" t="s">
        <v>131</v>
      </c>
      <c r="D34" s="781">
        <v>100</v>
      </c>
      <c r="E34" s="113" t="s">
        <v>131</v>
      </c>
      <c r="F34" s="807">
        <f>SUMIF(105:105,E34,106:106)-SUMIF(105:105,C34,106:106)+100</f>
        <v>100</v>
      </c>
      <c r="G34" s="112" t="s">
        <v>149</v>
      </c>
      <c r="H34" s="781">
        <f>SUMIF(105:105,G34,106:106)-SUMIF(105:105,C34,106:106)+100</f>
        <v>101</v>
      </c>
      <c r="I34" s="112" t="s">
        <v>151</v>
      </c>
      <c r="J34" s="781">
        <f>SUMIF(105:105,I34,106:106)-SUMIF(105:105,C34,106:106)+100</f>
        <v>99</v>
      </c>
      <c r="K34" s="958">
        <v>1</v>
      </c>
      <c r="L34" s="2308"/>
      <c r="M34" s="2303"/>
      <c r="N34" s="2303"/>
      <c r="O34" s="2303"/>
      <c r="P34" s="3815"/>
      <c r="Q34" s="1354" t="str">
        <f t="shared" si="11"/>
        <v>建筑结构</v>
      </c>
      <c r="R34" s="1355" t="s">
        <v>70</v>
      </c>
      <c r="S34" s="1356">
        <f t="shared" si="12"/>
        <v>100</v>
      </c>
      <c r="T34" s="1355" t="s">
        <v>70</v>
      </c>
      <c r="U34" s="1356">
        <f t="shared" si="13"/>
        <v>101</v>
      </c>
      <c r="V34" s="1355" t="s">
        <v>70</v>
      </c>
      <c r="W34" s="1356">
        <f t="shared" si="14"/>
        <v>99</v>
      </c>
      <c r="X34" s="1343"/>
      <c r="Y34" s="3817"/>
      <c r="Z34" s="1357" t="str">
        <f t="shared" si="15"/>
        <v>建筑结构</v>
      </c>
      <c r="AA34" s="1358">
        <f t="shared" si="3"/>
        <v>1</v>
      </c>
      <c r="AB34" s="1358">
        <f t="shared" si="4"/>
        <v>0.99009900990099009</v>
      </c>
      <c r="AC34" s="1358">
        <f t="shared" si="5"/>
        <v>1.0101010101010102</v>
      </c>
    </row>
    <row r="35" spans="1:29" ht="15">
      <c r="A35" s="161"/>
      <c r="B35" s="12" t="s">
        <v>1265</v>
      </c>
      <c r="C35" s="109" t="s">
        <v>132</v>
      </c>
      <c r="D35" s="781">
        <v>100</v>
      </c>
      <c r="E35" s="109" t="s">
        <v>159</v>
      </c>
      <c r="F35" s="807">
        <f>SUMIF(107:107,E35,108:108)-SUMIF(107:107,C35,108:108)+100</f>
        <v>97</v>
      </c>
      <c r="G35" s="109" t="s">
        <v>137</v>
      </c>
      <c r="H35" s="781">
        <f>SUMIF(107:107,G35,108:108)-SUMIF(107:107,C35,108:108)+100</f>
        <v>103</v>
      </c>
      <c r="I35" s="109" t="s">
        <v>136</v>
      </c>
      <c r="J35" s="781">
        <f>SUMIF(107:107,I35,108:108)-SUMIF(107:107,C35,108:108)+100</f>
        <v>94</v>
      </c>
      <c r="K35" s="958">
        <v>3</v>
      </c>
      <c r="L35" s="2308"/>
      <c r="M35" s="2303"/>
      <c r="N35" s="2303"/>
      <c r="O35" s="2303"/>
      <c r="P35" s="3815"/>
      <c r="Q35" s="1354" t="str">
        <f t="shared" si="11"/>
        <v>公共部分装修</v>
      </c>
      <c r="R35" s="1355" t="s">
        <v>70</v>
      </c>
      <c r="S35" s="1356">
        <f t="shared" si="12"/>
        <v>97</v>
      </c>
      <c r="T35" s="1355" t="s">
        <v>70</v>
      </c>
      <c r="U35" s="1356">
        <f t="shared" si="13"/>
        <v>103</v>
      </c>
      <c r="V35" s="1355" t="s">
        <v>70</v>
      </c>
      <c r="W35" s="1356">
        <f t="shared" si="14"/>
        <v>94</v>
      </c>
      <c r="X35" s="1343"/>
      <c r="Y35" s="3817"/>
      <c r="Z35" s="1357" t="str">
        <f t="shared" si="15"/>
        <v>公共部分装修</v>
      </c>
      <c r="AA35" s="1358">
        <f t="shared" si="3"/>
        <v>1.0309278350515463</v>
      </c>
      <c r="AB35" s="1358">
        <f t="shared" si="4"/>
        <v>0.970873786407767</v>
      </c>
      <c r="AC35" s="1358">
        <f t="shared" si="5"/>
        <v>1.0638297872340425</v>
      </c>
    </row>
    <row r="36" spans="1:29" ht="15">
      <c r="A36" s="161"/>
      <c r="B36" s="12" t="s">
        <v>1266</v>
      </c>
      <c r="C36" s="820">
        <v>0.97</v>
      </c>
      <c r="D36" s="781">
        <v>100</v>
      </c>
      <c r="E36" s="820">
        <v>0.85</v>
      </c>
      <c r="F36" s="807">
        <f>LOOKUP(E36,110:110,111:111)-LOOKUP(C36,110:110,111:111)+100</f>
        <v>98</v>
      </c>
      <c r="G36" s="820">
        <v>0.9</v>
      </c>
      <c r="H36" s="807">
        <f>LOOKUP(G36,110:110,111:111)-LOOKUP(C36,110:110,111:111)+100</f>
        <v>100</v>
      </c>
      <c r="I36" s="820">
        <v>1</v>
      </c>
      <c r="J36" s="781">
        <f>LOOKUP(I36,110:110,111:111)-LOOKUP(C36,110:110,111:111)+100</f>
        <v>100</v>
      </c>
      <c r="K36" s="958">
        <v>2</v>
      </c>
      <c r="L36" s="2308"/>
      <c r="M36" s="2303"/>
      <c r="N36" s="2303"/>
      <c r="O36" s="2303"/>
      <c r="P36" s="3815"/>
      <c r="Q36" s="1354" t="str">
        <f t="shared" si="11"/>
        <v>成新度</v>
      </c>
      <c r="R36" s="1355" t="s">
        <v>70</v>
      </c>
      <c r="S36" s="1356">
        <f t="shared" si="12"/>
        <v>98</v>
      </c>
      <c r="T36" s="1355" t="s">
        <v>70</v>
      </c>
      <c r="U36" s="1356">
        <f t="shared" si="13"/>
        <v>100</v>
      </c>
      <c r="V36" s="1355" t="s">
        <v>70</v>
      </c>
      <c r="W36" s="1356">
        <f t="shared" si="14"/>
        <v>100</v>
      </c>
      <c r="X36" s="1343"/>
      <c r="Y36" s="3817"/>
      <c r="Z36" s="1357" t="str">
        <f t="shared" si="15"/>
        <v>成新度</v>
      </c>
      <c r="AA36" s="1358">
        <f t="shared" si="3"/>
        <v>1.0204081632653061</v>
      </c>
      <c r="AB36" s="1358">
        <f t="shared" si="4"/>
        <v>1</v>
      </c>
      <c r="AC36" s="1358">
        <f t="shared" si="5"/>
        <v>1</v>
      </c>
    </row>
    <row r="37" spans="1:29" s="40" customFormat="1" ht="15">
      <c r="A37" s="1045"/>
      <c r="B37" s="12" t="s">
        <v>3056</v>
      </c>
      <c r="C37" s="109" t="s">
        <v>56</v>
      </c>
      <c r="D37" s="429">
        <v>100</v>
      </c>
      <c r="E37" s="109" t="s">
        <v>161</v>
      </c>
      <c r="F37" s="807">
        <f>SUMIF(112:112,E37,113:113)-SUMIF(112:112,C37,113:113)+100</f>
        <v>98.5</v>
      </c>
      <c r="G37" s="109" t="s">
        <v>162</v>
      </c>
      <c r="H37" s="781">
        <f>SUMIF(112:112,G37,113:113)-SUMIF(112:112,C37,113:113)+100</f>
        <v>97</v>
      </c>
      <c r="I37" s="109" t="s">
        <v>258</v>
      </c>
      <c r="J37" s="781">
        <f>SUMIF(112:112,I37,113:113)-SUMIF(112:112,C37,113:113)+100</f>
        <v>95.5</v>
      </c>
      <c r="K37" s="958">
        <v>1.5</v>
      </c>
      <c r="L37" s="2304"/>
      <c r="M37" s="2266"/>
      <c r="N37" s="2266"/>
      <c r="O37" s="2266"/>
      <c r="P37" s="3815"/>
      <c r="Q37" s="7" t="str">
        <f t="shared" si="11"/>
        <v>市政基础设施</v>
      </c>
      <c r="R37" s="1345" t="s">
        <v>70</v>
      </c>
      <c r="S37" s="1346">
        <f t="shared" si="12"/>
        <v>98.5</v>
      </c>
      <c r="T37" s="1345" t="s">
        <v>70</v>
      </c>
      <c r="U37" s="1346">
        <f t="shared" si="13"/>
        <v>97</v>
      </c>
      <c r="V37" s="1345" t="s">
        <v>70</v>
      </c>
      <c r="W37" s="1346">
        <f t="shared" si="14"/>
        <v>95.5</v>
      </c>
      <c r="X37" s="293"/>
      <c r="Y37" s="3817"/>
      <c r="Z37" s="294" t="str">
        <f t="shared" si="15"/>
        <v>市政基础设施</v>
      </c>
      <c r="AA37" s="1347">
        <f t="shared" si="3"/>
        <v>1.015228426395939</v>
      </c>
      <c r="AB37" s="1347">
        <f t="shared" si="4"/>
        <v>1.0309278350515463</v>
      </c>
      <c r="AC37" s="1347">
        <f t="shared" si="5"/>
        <v>1.0471204188481675</v>
      </c>
    </row>
    <row r="38" spans="1:29" ht="15">
      <c r="A38" s="161"/>
      <c r="B38" s="12" t="s">
        <v>201</v>
      </c>
      <c r="C38" s="109" t="s">
        <v>219</v>
      </c>
      <c r="D38" s="781">
        <v>100</v>
      </c>
      <c r="E38" s="109" t="s">
        <v>219</v>
      </c>
      <c r="F38" s="807">
        <f>SUMIF(114:114,E38,115:115)-SUMIF(114:114,C38,115:115)+100</f>
        <v>100</v>
      </c>
      <c r="G38" s="109" t="s">
        <v>220</v>
      </c>
      <c r="H38" s="781">
        <f>SUMIF(114:114,G38,115:115)-SUMIF(114:114,C38,115:115)+100</f>
        <v>95</v>
      </c>
      <c r="I38" s="109" t="s">
        <v>219</v>
      </c>
      <c r="J38" s="781">
        <f>SUMIF(114:114,I38,115:115)-SUMIF(114:114,C38,115:115)+100</f>
        <v>100</v>
      </c>
      <c r="K38" s="958">
        <v>5</v>
      </c>
      <c r="L38" s="2308"/>
      <c r="M38" s="2303"/>
      <c r="N38" s="2303"/>
      <c r="O38" s="2303"/>
      <c r="P38" s="3815" t="s">
        <v>1267</v>
      </c>
      <c r="Q38" s="1354" t="str">
        <f t="shared" si="11"/>
        <v>业态</v>
      </c>
      <c r="R38" s="1355" t="s">
        <v>70</v>
      </c>
      <c r="S38" s="1356">
        <f t="shared" si="12"/>
        <v>100</v>
      </c>
      <c r="T38" s="1355" t="s">
        <v>70</v>
      </c>
      <c r="U38" s="1356">
        <f t="shared" si="13"/>
        <v>95</v>
      </c>
      <c r="V38" s="1355" t="s">
        <v>70</v>
      </c>
      <c r="W38" s="1356">
        <f t="shared" si="14"/>
        <v>100</v>
      </c>
      <c r="X38" s="1343"/>
      <c r="Y38" s="3817" t="s">
        <v>1267</v>
      </c>
      <c r="Z38" s="1357" t="str">
        <f t="shared" si="15"/>
        <v>业态</v>
      </c>
      <c r="AA38" s="1358">
        <f t="shared" si="3"/>
        <v>1</v>
      </c>
      <c r="AB38" s="1358">
        <f t="shared" si="4"/>
        <v>1.0526315789473684</v>
      </c>
      <c r="AC38" s="1358">
        <f t="shared" si="5"/>
        <v>1</v>
      </c>
    </row>
    <row r="39" spans="1:29" ht="15">
      <c r="A39" s="161"/>
      <c r="B39" s="12" t="s">
        <v>1268</v>
      </c>
      <c r="C39" s="109" t="s">
        <v>222</v>
      </c>
      <c r="D39" s="781">
        <v>100</v>
      </c>
      <c r="E39" s="109" t="s">
        <v>221</v>
      </c>
      <c r="F39" s="807">
        <f>SUMIF(116:116,E39,117:117)-SUMIF(116:116,C39,117:117)+100</f>
        <v>102</v>
      </c>
      <c r="G39" s="109" t="s">
        <v>222</v>
      </c>
      <c r="H39" s="781">
        <f>SUMIF(116:116,G39,117:117)-SUMIF(116:116,C39,117:117)+100</f>
        <v>100</v>
      </c>
      <c r="I39" s="109" t="s">
        <v>222</v>
      </c>
      <c r="J39" s="781">
        <f>SUMIF(116:116,I39,117:117)-SUMIF(116:116,C39,117:117)+100</f>
        <v>100</v>
      </c>
      <c r="K39" s="958">
        <v>2</v>
      </c>
      <c r="L39" s="2308"/>
      <c r="M39" s="2303"/>
      <c r="N39" s="2303"/>
      <c r="O39" s="2303"/>
      <c r="P39" s="3815"/>
      <c r="Q39" s="1354" t="str">
        <f t="shared" si="11"/>
        <v>层高</v>
      </c>
      <c r="R39" s="1355" t="s">
        <v>70</v>
      </c>
      <c r="S39" s="1356">
        <f t="shared" si="12"/>
        <v>102</v>
      </c>
      <c r="T39" s="1355" t="s">
        <v>70</v>
      </c>
      <c r="U39" s="1356">
        <f t="shared" si="13"/>
        <v>100</v>
      </c>
      <c r="V39" s="1355" t="s">
        <v>70</v>
      </c>
      <c r="W39" s="1356">
        <f t="shared" si="14"/>
        <v>100</v>
      </c>
      <c r="X39" s="1343"/>
      <c r="Y39" s="3817"/>
      <c r="Z39" s="1357" t="str">
        <f t="shared" si="15"/>
        <v>层高</v>
      </c>
      <c r="AA39" s="1358">
        <f t="shared" si="3"/>
        <v>0.98039215686274506</v>
      </c>
      <c r="AB39" s="1358">
        <f t="shared" si="4"/>
        <v>1</v>
      </c>
      <c r="AC39" s="1358">
        <f t="shared" si="5"/>
        <v>1</v>
      </c>
    </row>
    <row r="40" spans="1:29" ht="14.25">
      <c r="A40" s="161"/>
      <c r="B40" s="12" t="s">
        <v>1269</v>
      </c>
      <c r="C40" s="963" t="s">
        <v>278</v>
      </c>
      <c r="D40" s="781">
        <v>100</v>
      </c>
      <c r="E40" s="964" t="s">
        <v>288</v>
      </c>
      <c r="F40" s="807">
        <f>SUMIF(118:118,E40,119:119)-SUMIF(118:118,C40,119:119)+100</f>
        <v>102</v>
      </c>
      <c r="G40" s="964" t="s">
        <v>282</v>
      </c>
      <c r="H40" s="781">
        <f>SUMIF(118:118,G40,119:119)-SUMIF(118:118,C40,119:119)+100</f>
        <v>105</v>
      </c>
      <c r="I40" s="964" t="s">
        <v>281</v>
      </c>
      <c r="J40" s="781">
        <f>SUMIF(118:118,I40,119:119)-SUMIF(118:118,C40,119:119)+100</f>
        <v>102</v>
      </c>
      <c r="K40" s="188"/>
      <c r="L40" s="2308"/>
      <c r="M40" s="2303"/>
      <c r="N40" s="2303"/>
      <c r="O40" s="2303"/>
      <c r="P40" s="3815"/>
      <c r="Q40" s="1354" t="str">
        <f t="shared" si="11"/>
        <v>单套建筑面积</v>
      </c>
      <c r="R40" s="1355" t="s">
        <v>70</v>
      </c>
      <c r="S40" s="1356">
        <f t="shared" si="12"/>
        <v>102</v>
      </c>
      <c r="T40" s="1355" t="s">
        <v>70</v>
      </c>
      <c r="U40" s="1356">
        <f t="shared" si="13"/>
        <v>105</v>
      </c>
      <c r="V40" s="1355" t="s">
        <v>70</v>
      </c>
      <c r="W40" s="1356">
        <f t="shared" si="14"/>
        <v>102</v>
      </c>
      <c r="X40" s="1343"/>
      <c r="Y40" s="3817"/>
      <c r="Z40" s="1357" t="str">
        <f t="shared" si="15"/>
        <v>单套建筑面积</v>
      </c>
      <c r="AA40" s="1358">
        <f t="shared" si="3"/>
        <v>0.98039215686274506</v>
      </c>
      <c r="AB40" s="1358">
        <f t="shared" si="4"/>
        <v>0.95238095238095233</v>
      </c>
      <c r="AC40" s="1358">
        <f t="shared" si="5"/>
        <v>0.98039215686274506</v>
      </c>
    </row>
    <row r="41" spans="1:29" s="1043" customFormat="1" ht="15">
      <c r="A41" s="1047"/>
      <c r="B41" s="191" t="s">
        <v>1270</v>
      </c>
      <c r="C41" s="182" t="s">
        <v>204</v>
      </c>
      <c r="D41" s="781">
        <v>100</v>
      </c>
      <c r="E41" s="182" t="s">
        <v>205</v>
      </c>
      <c r="F41" s="807">
        <f>SUMIF(120:120,E41,121:121)-SUMIF(120:120,C41,121:121)+100</f>
        <v>98</v>
      </c>
      <c r="G41" s="182" t="s">
        <v>206</v>
      </c>
      <c r="H41" s="781">
        <f>SUMIF(120:120,G41,121:121)-SUMIF(120:120,C41,121:121)+100</f>
        <v>96</v>
      </c>
      <c r="I41" s="182" t="s">
        <v>204</v>
      </c>
      <c r="J41" s="781">
        <f>SUMIF(120:120,I41,121:121)-SUMIF(120:120,C41,121:121)+100</f>
        <v>100</v>
      </c>
      <c r="K41" s="958">
        <v>2</v>
      </c>
      <c r="L41" s="2307"/>
      <c r="M41" s="2309"/>
      <c r="N41" s="2309"/>
      <c r="O41" s="2309"/>
      <c r="P41" s="3815"/>
      <c r="Q41" s="1362" t="str">
        <f t="shared" si="11"/>
        <v>进深比</v>
      </c>
      <c r="R41" s="1363" t="s">
        <v>70</v>
      </c>
      <c r="S41" s="1364">
        <f t="shared" si="12"/>
        <v>98</v>
      </c>
      <c r="T41" s="1363" t="s">
        <v>70</v>
      </c>
      <c r="U41" s="1364">
        <f t="shared" si="13"/>
        <v>96</v>
      </c>
      <c r="V41" s="1363" t="s">
        <v>70</v>
      </c>
      <c r="W41" s="1364">
        <f t="shared" si="14"/>
        <v>100</v>
      </c>
      <c r="X41" s="1365"/>
      <c r="Y41" s="3817"/>
      <c r="Z41" s="1366" t="str">
        <f t="shared" si="15"/>
        <v>进深比</v>
      </c>
      <c r="AA41" s="1358">
        <f t="shared" si="3"/>
        <v>1.0204081632653061</v>
      </c>
      <c r="AB41" s="1358">
        <f t="shared" si="4"/>
        <v>1.0416666666666667</v>
      </c>
      <c r="AC41" s="1358">
        <f t="shared" si="5"/>
        <v>1</v>
      </c>
    </row>
    <row r="42" spans="1:29" ht="15">
      <c r="A42" s="161"/>
      <c r="B42" s="12" t="s">
        <v>1271</v>
      </c>
      <c r="C42" s="109" t="s">
        <v>137</v>
      </c>
      <c r="D42" s="781">
        <v>100</v>
      </c>
      <c r="E42" s="109" t="s">
        <v>132</v>
      </c>
      <c r="F42" s="807">
        <f>SUMIF(122:122,E42,123:123)-SUMIF(122:122,C42,123:123)+100</f>
        <v>98.5</v>
      </c>
      <c r="G42" s="109" t="s">
        <v>159</v>
      </c>
      <c r="H42" s="781">
        <f>SUMIF(122:122,G42,123:123)-SUMIF(122:122,C42,123:123)+100</f>
        <v>97</v>
      </c>
      <c r="I42" s="109" t="s">
        <v>137</v>
      </c>
      <c r="J42" s="781">
        <f>SUMIF(122:122,I42,123:123)-SUMIF(122:122,C42,123:123)+100</f>
        <v>100</v>
      </c>
      <c r="K42" s="958">
        <v>1.5</v>
      </c>
      <c r="L42" s="2308"/>
      <c r="M42" s="2303"/>
      <c r="N42" s="2303"/>
      <c r="O42" s="2303"/>
      <c r="P42" s="3815"/>
      <c r="Q42" s="1354" t="str">
        <f t="shared" si="11"/>
        <v>内部装修</v>
      </c>
      <c r="R42" s="1355" t="s">
        <v>70</v>
      </c>
      <c r="S42" s="1356">
        <f t="shared" si="12"/>
        <v>98.5</v>
      </c>
      <c r="T42" s="1355" t="s">
        <v>70</v>
      </c>
      <c r="U42" s="1356">
        <f t="shared" si="13"/>
        <v>97</v>
      </c>
      <c r="V42" s="1355" t="s">
        <v>70</v>
      </c>
      <c r="W42" s="1356">
        <f t="shared" si="14"/>
        <v>100</v>
      </c>
      <c r="X42" s="1343"/>
      <c r="Y42" s="3817"/>
      <c r="Z42" s="1357" t="str">
        <f t="shared" si="15"/>
        <v>内部装修</v>
      </c>
      <c r="AA42" s="1358">
        <f t="shared" si="3"/>
        <v>1.015228426395939</v>
      </c>
      <c r="AB42" s="1358">
        <f t="shared" si="4"/>
        <v>1.0309278350515463</v>
      </c>
      <c r="AC42" s="1358">
        <f t="shared" si="5"/>
        <v>1</v>
      </c>
    </row>
    <row r="43" spans="1:29" ht="27">
      <c r="A43" s="161"/>
      <c r="B43" s="12" t="s">
        <v>89</v>
      </c>
      <c r="C43" s="109" t="s">
        <v>123</v>
      </c>
      <c r="D43" s="781">
        <v>100</v>
      </c>
      <c r="E43" s="109" t="s">
        <v>124</v>
      </c>
      <c r="F43" s="807">
        <f>SUMIF(124:124,E43,125:125)-SUMIF(124:124,C43,125:125)+100</f>
        <v>98</v>
      </c>
      <c r="G43" s="109" t="s">
        <v>122</v>
      </c>
      <c r="H43" s="781">
        <f>SUMIF(124:124,G43,125:125)-SUMIF(124:124,C43,125:125)+100</f>
        <v>102</v>
      </c>
      <c r="I43" s="109" t="s">
        <v>184</v>
      </c>
      <c r="J43" s="781">
        <f>SUMIF(124:124,I43,125:125)-SUMIF(124:124,C43,125:125)+100</f>
        <v>94</v>
      </c>
      <c r="K43" s="958">
        <v>2</v>
      </c>
      <c r="L43" s="2308"/>
      <c r="M43" s="2303"/>
      <c r="N43" s="2303"/>
      <c r="O43" s="2303"/>
      <c r="P43" s="3815"/>
      <c r="Q43" s="1354" t="str">
        <f t="shared" si="11"/>
        <v>内部装修维护情况</v>
      </c>
      <c r="R43" s="1355" t="s">
        <v>70</v>
      </c>
      <c r="S43" s="1356">
        <f t="shared" si="12"/>
        <v>98</v>
      </c>
      <c r="T43" s="1355" t="s">
        <v>70</v>
      </c>
      <c r="U43" s="1356">
        <f t="shared" si="13"/>
        <v>102</v>
      </c>
      <c r="V43" s="1355" t="s">
        <v>70</v>
      </c>
      <c r="W43" s="1356">
        <f t="shared" si="14"/>
        <v>94</v>
      </c>
      <c r="X43" s="1343"/>
      <c r="Y43" s="3817"/>
      <c r="Z43" s="1357" t="str">
        <f t="shared" si="15"/>
        <v>内部装修维护情况</v>
      </c>
      <c r="AA43" s="1358">
        <f t="shared" si="3"/>
        <v>1.0204081632653061</v>
      </c>
      <c r="AB43" s="1358">
        <f t="shared" si="4"/>
        <v>0.98039215686274506</v>
      </c>
      <c r="AC43" s="1358">
        <f t="shared" si="5"/>
        <v>1.0638297872340425</v>
      </c>
    </row>
    <row r="44" spans="1:29" s="40" customFormat="1" ht="14.25">
      <c r="A44" s="1045"/>
      <c r="B44" s="1360">
        <v>111</v>
      </c>
      <c r="C44" s="1361">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304"/>
      <c r="M44" s="2266"/>
      <c r="N44" s="2266"/>
      <c r="O44" s="2266"/>
      <c r="P44" s="3815"/>
      <c r="Q44" s="7">
        <f t="shared" si="11"/>
        <v>111</v>
      </c>
      <c r="R44" s="1345" t="s">
        <v>70</v>
      </c>
      <c r="S44" s="1346">
        <f t="shared" si="12"/>
        <v>100</v>
      </c>
      <c r="T44" s="1345" t="s">
        <v>70</v>
      </c>
      <c r="U44" s="1346">
        <f t="shared" si="13"/>
        <v>100</v>
      </c>
      <c r="V44" s="1345" t="s">
        <v>70</v>
      </c>
      <c r="W44" s="1346">
        <f t="shared" si="14"/>
        <v>100</v>
      </c>
      <c r="X44" s="293"/>
      <c r="Y44" s="3817"/>
      <c r="Z44" s="294">
        <f t="shared" si="15"/>
        <v>111</v>
      </c>
      <c r="AA44" s="1347">
        <f t="shared" si="3"/>
        <v>1</v>
      </c>
      <c r="AB44" s="1347">
        <f t="shared" si="4"/>
        <v>1</v>
      </c>
      <c r="AC44" s="1347">
        <f t="shared" si="5"/>
        <v>1</v>
      </c>
    </row>
    <row r="45" spans="1:29" ht="14.25">
      <c r="A45" s="161"/>
      <c r="B45" s="1360">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8"/>
      <c r="M45" s="2303"/>
      <c r="N45" s="2303"/>
      <c r="O45" s="2303"/>
      <c r="P45" s="3815"/>
      <c r="Q45" s="1354">
        <f t="shared" si="11"/>
        <v>111</v>
      </c>
      <c r="R45" s="1355" t="s">
        <v>70</v>
      </c>
      <c r="S45" s="1356">
        <f t="shared" si="12"/>
        <v>100</v>
      </c>
      <c r="T45" s="1355" t="s">
        <v>70</v>
      </c>
      <c r="U45" s="1356">
        <f t="shared" si="13"/>
        <v>100</v>
      </c>
      <c r="V45" s="1355" t="s">
        <v>70</v>
      </c>
      <c r="W45" s="1356">
        <f t="shared" si="14"/>
        <v>100</v>
      </c>
      <c r="X45" s="1343"/>
      <c r="Y45" s="3817"/>
      <c r="Z45" s="1357">
        <f t="shared" si="15"/>
        <v>111</v>
      </c>
      <c r="AA45" s="1358">
        <f t="shared" si="3"/>
        <v>1</v>
      </c>
      <c r="AB45" s="1358">
        <f t="shared" si="4"/>
        <v>1</v>
      </c>
      <c r="AC45" s="1358">
        <f t="shared" si="5"/>
        <v>1</v>
      </c>
    </row>
    <row r="46" spans="1:29" ht="15" thickBot="1">
      <c r="A46" s="162"/>
      <c r="B46" s="1035">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8"/>
      <c r="M46" s="2303"/>
      <c r="N46" s="2303"/>
      <c r="O46" s="2303"/>
      <c r="P46" s="3816"/>
      <c r="Q46" s="1354">
        <f t="shared" si="11"/>
        <v>111</v>
      </c>
      <c r="R46" s="1355" t="s">
        <v>70</v>
      </c>
      <c r="S46" s="1356">
        <f t="shared" si="12"/>
        <v>100</v>
      </c>
      <c r="T46" s="1355" t="s">
        <v>70</v>
      </c>
      <c r="U46" s="1356">
        <f t="shared" si="13"/>
        <v>100</v>
      </c>
      <c r="V46" s="1355" t="s">
        <v>70</v>
      </c>
      <c r="W46" s="1356">
        <f t="shared" si="14"/>
        <v>100</v>
      </c>
      <c r="X46" s="1343"/>
      <c r="Y46" s="3818"/>
      <c r="Z46" s="1357">
        <f t="shared" si="15"/>
        <v>111</v>
      </c>
      <c r="AA46" s="1358">
        <f t="shared" si="3"/>
        <v>1</v>
      </c>
      <c r="AB46" s="1358">
        <f t="shared" si="4"/>
        <v>1</v>
      </c>
      <c r="AC46" s="1358">
        <f t="shared" si="5"/>
        <v>1</v>
      </c>
    </row>
    <row r="47" spans="1:29" ht="15">
      <c r="A47" s="163" t="s">
        <v>1272</v>
      </c>
      <c r="B47" s="164"/>
      <c r="C47" s="2852" t="s">
        <v>23</v>
      </c>
      <c r="D47" s="2853"/>
      <c r="E47" s="2854">
        <v>30000</v>
      </c>
      <c r="F47" s="2855"/>
      <c r="G47" s="2856">
        <v>35000</v>
      </c>
      <c r="H47" s="2857"/>
      <c r="I47" s="2854">
        <v>32000</v>
      </c>
      <c r="J47" s="2857"/>
      <c r="K47" s="1396"/>
      <c r="L47" s="2310"/>
      <c r="M47" s="2311"/>
      <c r="N47" s="2303"/>
      <c r="O47" s="2311"/>
      <c r="P47" s="3810" t="str">
        <f>A47</f>
        <v>成交单价（元/平方米）</v>
      </c>
      <c r="Q47" s="3810"/>
      <c r="R47" s="3805">
        <f>E47</f>
        <v>30000</v>
      </c>
      <c r="S47" s="3805"/>
      <c r="T47" s="3805">
        <f>G47</f>
        <v>35000</v>
      </c>
      <c r="U47" s="3805"/>
      <c r="V47" s="3805">
        <f>I47</f>
        <v>32000</v>
      </c>
      <c r="W47" s="3805"/>
      <c r="X47" s="1368"/>
      <c r="Y47" s="1369"/>
      <c r="Z47" s="1368"/>
      <c r="AA47" s="1368"/>
      <c r="AB47" s="1368"/>
      <c r="AC47" s="1368"/>
    </row>
    <row r="48" spans="1:29" ht="15.75" thickBot="1">
      <c r="A48" s="165" t="s">
        <v>1273</v>
      </c>
      <c r="B48" s="166"/>
      <c r="C48" s="2858">
        <f>R49</f>
        <v>50028</v>
      </c>
      <c r="D48" s="2859"/>
      <c r="E48" s="2860">
        <f>R48</f>
        <v>44739</v>
      </c>
      <c r="F48" s="2860"/>
      <c r="G48" s="2858">
        <f>T48</f>
        <v>52603</v>
      </c>
      <c r="H48" s="2859"/>
      <c r="I48" s="2860">
        <f>V48</f>
        <v>52743</v>
      </c>
      <c r="J48" s="2859"/>
      <c r="K48" s="1397"/>
      <c r="L48" s="2310"/>
      <c r="M48" s="2311"/>
      <c r="N48" s="2303"/>
      <c r="O48" s="2311"/>
      <c r="P48" s="3810" t="str">
        <f>A48</f>
        <v>比较价值（元/平方米）</v>
      </c>
      <c r="Q48" s="3810"/>
      <c r="R48" s="3811">
        <f>IF(F1="售价",ROUND(PRODUCT(R47,AA7:AA46),0),ROUND(PRODUCT(R47,AA7:AA46),1))</f>
        <v>44739</v>
      </c>
      <c r="S48" s="3811"/>
      <c r="T48" s="3811">
        <f>IF(F1="售价",ROUND(PRODUCT(T47,AB7:AB46),0),ROUND(PRODUCT(T47,AB7:AB46),1))</f>
        <v>52603</v>
      </c>
      <c r="U48" s="3811"/>
      <c r="V48" s="3811">
        <f>IF(F1="售价",ROUND(PRODUCT(V47,AC7:AC46),0),ROUND(PRODUCT(V47,AC7:AC46),1))</f>
        <v>52743</v>
      </c>
      <c r="W48" s="3811"/>
      <c r="X48" s="1368"/>
      <c r="Y48" s="1368"/>
      <c r="Z48" s="1368"/>
      <c r="AA48" s="1368"/>
      <c r="AB48" s="1368"/>
      <c r="AC48" s="1368"/>
    </row>
    <row r="49" spans="1:29" ht="15.75" thickBot="1">
      <c r="A49" s="115" t="s">
        <v>1274</v>
      </c>
      <c r="B49" s="116"/>
      <c r="C49" s="2862">
        <f>R49</f>
        <v>50028</v>
      </c>
      <c r="D49" s="2862"/>
      <c r="E49" s="2862"/>
      <c r="F49" s="2862"/>
      <c r="G49" s="2862"/>
      <c r="H49" s="2862"/>
      <c r="I49" s="2862"/>
      <c r="J49" s="2862"/>
      <c r="K49" s="1398"/>
      <c r="L49" s="2310"/>
      <c r="M49" s="2311"/>
      <c r="N49" s="2303"/>
      <c r="O49" s="2311"/>
      <c r="P49" s="3807" t="str">
        <f>A49</f>
        <v>估价对象XX用房的比较价值（楼面单价，元/平方米）</v>
      </c>
      <c r="Q49" s="3808"/>
      <c r="R49" s="3809">
        <f>IF(F1="售价",ROUND(AVERAGE(R48:V48),0),ROUND(AVERAGE(R48:V48),1))</f>
        <v>50028</v>
      </c>
      <c r="S49" s="3809"/>
      <c r="T49" s="3809"/>
      <c r="U49" s="3809"/>
      <c r="V49" s="3809"/>
      <c r="W49" s="3809"/>
      <c r="X49" s="1368"/>
      <c r="Y49" s="1368"/>
      <c r="Z49" s="1368"/>
      <c r="AA49" s="1368"/>
      <c r="AB49" s="1368"/>
      <c r="AC49" s="1368"/>
    </row>
    <row r="50" spans="1:29">
      <c r="A50" s="2311"/>
      <c r="B50" s="2311"/>
      <c r="C50" s="2311"/>
      <c r="D50" s="2311"/>
      <c r="E50" s="2311"/>
      <c r="F50" s="2311"/>
      <c r="G50" s="2320"/>
      <c r="H50" s="2311"/>
      <c r="I50" s="2311"/>
      <c r="J50" s="2311"/>
      <c r="K50" s="2312"/>
      <c r="L50" s="2313"/>
      <c r="M50" s="2311"/>
      <c r="N50" s="2311"/>
      <c r="O50" s="2311"/>
      <c r="P50" s="214"/>
      <c r="Q50" s="1368"/>
      <c r="R50" s="1368"/>
      <c r="S50" s="1368"/>
      <c r="T50" s="1368"/>
      <c r="U50" s="1368"/>
      <c r="V50" s="1368"/>
      <c r="W50" s="1368"/>
      <c r="X50" s="1368"/>
      <c r="Y50" s="1368"/>
      <c r="Z50" s="1368"/>
      <c r="AA50" s="1368"/>
      <c r="AB50" s="1368"/>
      <c r="AC50" s="1368"/>
    </row>
    <row r="51" spans="1:29">
      <c r="A51" s="2311"/>
      <c r="B51" s="2311"/>
      <c r="C51" s="2311"/>
      <c r="D51" s="2311"/>
      <c r="E51" s="2311"/>
      <c r="F51" s="2311"/>
      <c r="G51" s="2311"/>
      <c r="H51" s="2311"/>
      <c r="I51" s="2311"/>
      <c r="J51" s="2311"/>
      <c r="K51" s="2312"/>
      <c r="L51" s="2313"/>
      <c r="M51" s="2311"/>
      <c r="N51" s="2311"/>
      <c r="O51" s="2311"/>
      <c r="P51" s="214"/>
      <c r="Q51" s="1368"/>
      <c r="R51" s="1368"/>
      <c r="S51" s="1368"/>
      <c r="T51" s="1368"/>
      <c r="U51" s="1368"/>
      <c r="V51" s="1368"/>
      <c r="W51" s="1368"/>
      <c r="X51" s="1368"/>
      <c r="Y51" s="1368"/>
      <c r="Z51" s="1368"/>
      <c r="AA51" s="1368"/>
      <c r="AB51" s="1368"/>
      <c r="AC51" s="1368"/>
    </row>
    <row r="52" spans="1:29" ht="13.5" customHeight="1">
      <c r="A52" s="2311"/>
      <c r="B52" s="2311"/>
      <c r="C52" s="843" t="s">
        <v>1236</v>
      </c>
      <c r="D52" s="844"/>
      <c r="E52" s="845">
        <f>IF(E47&lt;E48,E48/E47-1,E47/E48-1)</f>
        <v>0.49130000000000007</v>
      </c>
      <c r="F52" s="846" t="str">
        <f>IF(OR(E52&gt;=0.3,E52&lt;=-0.3),"超过30%","")</f>
        <v>超过30%</v>
      </c>
      <c r="G52" s="845">
        <f>IF(G47&lt;G48,G48/G47-1,G47/G48-1)</f>
        <v>0.50294285714285714</v>
      </c>
      <c r="H52" s="846" t="str">
        <f>IF(OR(G52&gt;=0.3,G52&lt;=-0.3),"超过30%","")</f>
        <v>超过30%</v>
      </c>
      <c r="I52" s="845">
        <f>IF(I47&lt;I48,I48/I47-1,I47/I48-1)</f>
        <v>0.64821875000000007</v>
      </c>
      <c r="J52" s="846" t="str">
        <f>IF(OR(I52&gt;=0.3,I52&lt;=-0.3),"超过30%","")</f>
        <v>超过30%</v>
      </c>
      <c r="K52" s="2312"/>
      <c r="L52" s="2313"/>
      <c r="M52" s="2311"/>
      <c r="N52" s="2311"/>
      <c r="O52" s="2311"/>
      <c r="P52" s="214"/>
      <c r="Q52" s="1368"/>
      <c r="R52" s="1368"/>
      <c r="S52" s="1368"/>
      <c r="T52" s="1368"/>
      <c r="U52" s="1368"/>
      <c r="V52" s="1368"/>
      <c r="W52" s="1368"/>
      <c r="X52" s="1368"/>
      <c r="Y52" s="1368"/>
      <c r="Z52" s="1368"/>
      <c r="AA52" s="1368"/>
      <c r="AB52" s="1368"/>
      <c r="AC52" s="1368"/>
    </row>
    <row r="53" spans="1:29" ht="13.5" customHeight="1">
      <c r="A53" s="2311"/>
      <c r="B53" s="2311"/>
      <c r="C53" s="843" t="s">
        <v>1237</v>
      </c>
      <c r="D53" s="847"/>
      <c r="E53" s="845">
        <f>IF(E48&lt;G48,G48/E48-1,E48/G48-1)</f>
        <v>0.17577505085048828</v>
      </c>
      <c r="F53" s="846" t="str">
        <f>IF(OR(E53&gt;=0.2,E53&lt;=-0.2),"超过20%","")</f>
        <v/>
      </c>
      <c r="G53" s="845">
        <f>IF(G48&lt;I48,I48/G48-1,G48/I48-1)</f>
        <v>2.6614451647244408E-3</v>
      </c>
      <c r="H53" s="846" t="str">
        <f>IF(OR(G53&gt;=0.2,G53&lt;=-0.2),"超过20%","")</f>
        <v/>
      </c>
      <c r="I53" s="845">
        <f>IF(I48&lt;E48,E48/I48-1,I48/E48-1)</f>
        <v>0.17890431167437804</v>
      </c>
      <c r="J53" s="846" t="str">
        <f>IF(OR(I53&gt;=0.2,I53&lt;=-0.2),"超过20%","")</f>
        <v/>
      </c>
      <c r="K53" s="2312"/>
      <c r="L53" s="2313"/>
      <c r="M53" s="2311"/>
      <c r="N53" s="2311"/>
      <c r="O53" s="2311"/>
      <c r="P53" s="214"/>
      <c r="Q53" s="1368"/>
      <c r="R53" s="1368"/>
      <c r="S53" s="1368"/>
      <c r="T53" s="1368"/>
      <c r="U53" s="1368"/>
      <c r="V53" s="1368"/>
      <c r="W53" s="1368"/>
      <c r="X53" s="1368"/>
      <c r="Y53" s="1368"/>
      <c r="Z53" s="1368"/>
      <c r="AA53" s="1368"/>
      <c r="AB53" s="1368"/>
      <c r="AC53" s="1368"/>
    </row>
    <row r="54" spans="1:29" s="119" customFormat="1" ht="13.5" customHeight="1">
      <c r="A54" s="2316"/>
      <c r="B54" s="2316"/>
      <c r="C54" s="843" t="s">
        <v>1238</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14"/>
      <c r="L54" s="2315"/>
      <c r="M54" s="2316"/>
      <c r="N54" s="2316"/>
      <c r="O54" s="2316"/>
      <c r="P54" s="1399"/>
      <c r="Q54" s="1373"/>
      <c r="R54" s="1373"/>
      <c r="S54" s="1373"/>
      <c r="T54" s="1373"/>
      <c r="U54" s="1373"/>
      <c r="V54" s="1373"/>
      <c r="W54" s="1373"/>
      <c r="X54" s="1373"/>
      <c r="Y54" s="1373"/>
      <c r="Z54" s="1373"/>
      <c r="AA54" s="1373"/>
      <c r="AB54" s="1373"/>
      <c r="AC54" s="1373"/>
    </row>
    <row r="55" spans="1:29" s="119" customFormat="1">
      <c r="A55" s="2316"/>
      <c r="B55" s="2321"/>
      <c r="C55" s="2322"/>
      <c r="D55" s="2316"/>
      <c r="E55" s="2316"/>
      <c r="F55" s="2316"/>
      <c r="G55" s="2316"/>
      <c r="H55" s="2316"/>
      <c r="I55" s="2316"/>
      <c r="J55" s="2316"/>
      <c r="K55" s="2314"/>
      <c r="L55" s="2315"/>
      <c r="M55" s="2316"/>
      <c r="N55" s="2316"/>
      <c r="O55" s="2316"/>
      <c r="P55" s="1399"/>
      <c r="Q55" s="1373"/>
      <c r="R55" s="1373"/>
      <c r="S55" s="1373"/>
      <c r="T55" s="1373"/>
      <c r="U55" s="1373"/>
      <c r="V55" s="1373"/>
      <c r="W55" s="1373"/>
      <c r="X55" s="1373"/>
      <c r="Y55" s="1373"/>
      <c r="Z55" s="1373"/>
      <c r="AA55" s="1373"/>
      <c r="AB55" s="1373"/>
      <c r="AC55" s="1373"/>
    </row>
    <row r="56" spans="1:29">
      <c r="A56" s="2311"/>
      <c r="B56" s="2321"/>
      <c r="C56" s="2322"/>
      <c r="D56" s="2311"/>
      <c r="E56" s="2311"/>
      <c r="F56" s="2311"/>
      <c r="G56" s="2311"/>
      <c r="H56" s="2311"/>
      <c r="I56" s="2311"/>
      <c r="J56" s="2311"/>
      <c r="K56" s="2312"/>
      <c r="L56" s="2313"/>
      <c r="M56" s="2311"/>
      <c r="N56" s="2311"/>
      <c r="O56" s="2311"/>
      <c r="P56" s="214"/>
      <c r="Q56" s="1368"/>
      <c r="R56" s="1368"/>
      <c r="S56" s="1368"/>
      <c r="T56" s="1368"/>
      <c r="U56" s="1368"/>
      <c r="V56" s="1368"/>
      <c r="W56" s="1368"/>
      <c r="X56" s="1368"/>
      <c r="Y56" s="1368"/>
      <c r="Z56" s="1368"/>
      <c r="AA56" s="1368"/>
      <c r="AB56" s="1368"/>
      <c r="AC56" s="1368"/>
    </row>
    <row r="57" spans="1:29" ht="21" thickBot="1">
      <c r="A57" s="1375" t="s">
        <v>1275</v>
      </c>
      <c r="B57" s="1368"/>
      <c r="C57" s="1376"/>
      <c r="D57" s="1376"/>
      <c r="E57" s="1376"/>
      <c r="F57" s="1377"/>
      <c r="G57" s="1377"/>
      <c r="H57" s="1376"/>
      <c r="I57" s="1376"/>
      <c r="J57" s="1376"/>
      <c r="K57" s="1378"/>
      <c r="L57" s="2318"/>
      <c r="M57" s="2319"/>
      <c r="N57" s="2319"/>
      <c r="O57" s="2319"/>
      <c r="P57" s="1400"/>
      <c r="Q57" s="1401"/>
      <c r="R57" s="1368"/>
      <c r="S57" s="1368"/>
      <c r="T57" s="1368"/>
      <c r="U57" s="1368"/>
      <c r="V57" s="1368"/>
      <c r="W57" s="1368"/>
      <c r="X57" s="1368"/>
      <c r="Y57" s="1368"/>
      <c r="Z57" s="1368"/>
      <c r="AA57" s="1368"/>
      <c r="AB57" s="1368"/>
      <c r="AC57" s="1368"/>
    </row>
    <row r="58" spans="1:29" s="854" customFormat="1" ht="15">
      <c r="A58" s="851" t="s">
        <v>3199</v>
      </c>
      <c r="B58" s="852"/>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49"/>
      <c r="B59" s="1050"/>
      <c r="C59" s="3060">
        <v>100</v>
      </c>
      <c r="D59" s="858">
        <v>99</v>
      </c>
      <c r="E59" s="858">
        <v>98</v>
      </c>
      <c r="F59" s="858">
        <v>97</v>
      </c>
      <c r="G59" s="858">
        <v>96</v>
      </c>
      <c r="H59" s="858">
        <v>95</v>
      </c>
      <c r="I59" s="858">
        <v>94</v>
      </c>
      <c r="J59" s="858">
        <v>93</v>
      </c>
      <c r="K59" s="858">
        <v>92</v>
      </c>
      <c r="L59" s="858">
        <v>91</v>
      </c>
      <c r="M59" s="859">
        <v>90</v>
      </c>
      <c r="N59" s="858">
        <v>89</v>
      </c>
      <c r="O59" s="859">
        <v>88</v>
      </c>
      <c r="P59" s="1380"/>
    </row>
    <row r="60" spans="1:29" s="40" customFormat="1" ht="15" thickBot="1">
      <c r="A60" s="1051" t="s">
        <v>1276</v>
      </c>
      <c r="B60" s="1052"/>
      <c r="C60" s="863"/>
      <c r="D60" s="864"/>
      <c r="E60" s="864"/>
      <c r="F60" s="864"/>
      <c r="G60" s="864"/>
      <c r="H60" s="864"/>
      <c r="I60" s="864"/>
      <c r="J60" s="864"/>
      <c r="K60" s="864"/>
      <c r="L60" s="864"/>
      <c r="M60" s="865"/>
      <c r="N60" s="864"/>
      <c r="O60" s="865"/>
      <c r="P60" s="1380"/>
      <c r="Q60" s="121"/>
    </row>
    <row r="61" spans="1:29" s="40" customFormat="1">
      <c r="A61" s="1053" t="s">
        <v>1277</v>
      </c>
      <c r="B61" s="1050"/>
      <c r="C61" s="1054" t="s">
        <v>1278</v>
      </c>
      <c r="D61" s="140" t="s">
        <v>1279</v>
      </c>
      <c r="E61" s="140"/>
      <c r="F61" s="140"/>
      <c r="G61" s="140"/>
      <c r="H61" s="140"/>
      <c r="I61" s="140"/>
      <c r="J61" s="140"/>
      <c r="K61" s="140"/>
      <c r="L61" s="141"/>
      <c r="M61" s="1055"/>
      <c r="N61" s="1391"/>
      <c r="O61" s="1391"/>
      <c r="P61" s="1381"/>
      <c r="Q61" s="121"/>
    </row>
    <row r="62" spans="1:29" s="40" customFormat="1" ht="15" thickBot="1">
      <c r="A62" s="1053"/>
      <c r="B62" s="1050"/>
      <c r="C62" s="857">
        <v>100</v>
      </c>
      <c r="D62" s="858">
        <v>102</v>
      </c>
      <c r="E62" s="858"/>
      <c r="F62" s="858"/>
      <c r="G62" s="858"/>
      <c r="H62" s="858"/>
      <c r="I62" s="858"/>
      <c r="J62" s="858"/>
      <c r="K62" s="858"/>
      <c r="L62" s="858"/>
      <c r="M62" s="860"/>
      <c r="N62" s="1391"/>
      <c r="O62" s="1391"/>
      <c r="P62" s="1380"/>
      <c r="Q62" s="121"/>
    </row>
    <row r="63" spans="1:29">
      <c r="A63" s="172" t="s">
        <v>1280</v>
      </c>
      <c r="B63" s="292" t="s">
        <v>1281</v>
      </c>
      <c r="C63" s="176" t="str">
        <f>C9</f>
        <v>商业</v>
      </c>
      <c r="D63" s="122" t="s">
        <v>1282</v>
      </c>
      <c r="E63" s="122"/>
      <c r="F63" s="122"/>
      <c r="G63" s="122"/>
      <c r="H63" s="122"/>
      <c r="I63" s="122"/>
      <c r="J63" s="122"/>
      <c r="K63" s="123"/>
      <c r="L63" s="124"/>
      <c r="M63" s="125"/>
      <c r="N63" s="1392"/>
      <c r="O63" s="1392"/>
      <c r="P63" s="1382"/>
      <c r="Q63" s="121"/>
    </row>
    <row r="64" spans="1:29" ht="15" thickBot="1">
      <c r="A64" s="173"/>
      <c r="B64" s="1057"/>
      <c r="C64" s="882">
        <v>100</v>
      </c>
      <c r="D64" s="882">
        <v>95</v>
      </c>
      <c r="E64" s="882"/>
      <c r="F64" s="882"/>
      <c r="G64" s="882"/>
      <c r="H64" s="882"/>
      <c r="I64" s="882"/>
      <c r="J64" s="882"/>
      <c r="K64" s="882"/>
      <c r="L64" s="882"/>
      <c r="M64" s="883"/>
      <c r="N64" s="1393"/>
      <c r="O64" s="1393"/>
      <c r="P64" s="1382"/>
      <c r="Q64" s="121"/>
    </row>
    <row r="65" spans="1:17" ht="27.75" thickTop="1">
      <c r="A65" s="173"/>
      <c r="B65" s="1058" t="s">
        <v>1283</v>
      </c>
      <c r="C65" s="885" t="s">
        <v>1239</v>
      </c>
      <c r="D65" s="885" t="s">
        <v>1240</v>
      </c>
      <c r="E65" s="885" t="s">
        <v>1241</v>
      </c>
      <c r="F65" s="885" t="s">
        <v>1242</v>
      </c>
      <c r="G65" s="885" t="s">
        <v>1243</v>
      </c>
      <c r="H65" s="885" t="s">
        <v>1244</v>
      </c>
      <c r="I65" s="885" t="s">
        <v>1245</v>
      </c>
      <c r="J65" s="885"/>
      <c r="K65" s="886"/>
      <c r="L65" s="887"/>
      <c r="M65" s="888"/>
      <c r="N65" s="1392"/>
      <c r="O65" s="1392"/>
      <c r="P65" s="1382"/>
      <c r="Q65" s="121"/>
    </row>
    <row r="66" spans="1:17" ht="15" thickBot="1">
      <c r="A66" s="173"/>
      <c r="B66" s="1059"/>
      <c r="C66" s="890" t="s">
        <v>207</v>
      </c>
      <c r="D66" s="890" t="s">
        <v>208</v>
      </c>
      <c r="E66" s="890" t="s">
        <v>209</v>
      </c>
      <c r="F66" s="890">
        <v>100</v>
      </c>
      <c r="G66" s="890">
        <f>F66-$K10</f>
        <v>99</v>
      </c>
      <c r="H66" s="890">
        <f>G66-$K10</f>
        <v>98</v>
      </c>
      <c r="I66" s="890">
        <f>H66-$K10</f>
        <v>97</v>
      </c>
      <c r="J66" s="890"/>
      <c r="K66" s="890"/>
      <c r="L66" s="890"/>
      <c r="M66" s="891"/>
      <c r="N66" s="1393"/>
      <c r="O66" s="1393"/>
      <c r="P66" s="1382"/>
      <c r="Q66" s="121"/>
    </row>
    <row r="67" spans="1:17" ht="15" thickTop="1">
      <c r="A67" s="173"/>
      <c r="B67" s="1060" t="s">
        <v>1284</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4" t="str">
        <f>M68&amp;"（含）"&amp;"-"&amp;P68</f>
        <v>（含）-</v>
      </c>
      <c r="N67" s="1393"/>
      <c r="O67" s="1393"/>
      <c r="P67" s="1382"/>
      <c r="Q67" s="121"/>
    </row>
    <row r="68" spans="1:17" ht="14.25">
      <c r="A68" s="173"/>
      <c r="B68" s="1061"/>
      <c r="C68" s="895">
        <v>0</v>
      </c>
      <c r="D68" s="895">
        <v>1</v>
      </c>
      <c r="E68" s="895">
        <v>2</v>
      </c>
      <c r="F68" s="895">
        <v>3</v>
      </c>
      <c r="G68" s="895">
        <v>4</v>
      </c>
      <c r="H68" s="895"/>
      <c r="I68" s="895"/>
      <c r="J68" s="895"/>
      <c r="K68" s="896"/>
      <c r="L68" s="897"/>
      <c r="M68" s="898"/>
      <c r="N68" s="1392"/>
      <c r="O68" s="1392"/>
      <c r="P68" s="1382"/>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3"/>
      <c r="O69" s="1393"/>
      <c r="P69" s="1382"/>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4"/>
      <c r="O70" s="1394"/>
      <c r="P70" s="1383"/>
      <c r="Q70" s="1067"/>
    </row>
    <row r="71" spans="1:17" s="1043" customFormat="1" ht="15" thickBot="1">
      <c r="A71" s="1062"/>
      <c r="B71" s="1059"/>
      <c r="C71" s="906">
        <v>100</v>
      </c>
      <c r="D71" s="882">
        <v>99</v>
      </c>
      <c r="E71" s="882">
        <v>98</v>
      </c>
      <c r="F71" s="882">
        <v>97</v>
      </c>
      <c r="G71" s="882"/>
      <c r="H71" s="882"/>
      <c r="I71" s="882"/>
      <c r="J71" s="882"/>
      <c r="K71" s="882"/>
      <c r="L71" s="882"/>
      <c r="M71" s="883"/>
      <c r="N71" s="1393"/>
      <c r="O71" s="1393"/>
      <c r="P71" s="1383"/>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4"/>
      <c r="O72" s="1394"/>
      <c r="P72" s="1384"/>
      <c r="Q72" s="1069"/>
    </row>
    <row r="73" spans="1:17" s="1043" customFormat="1" ht="15" thickBot="1">
      <c r="A73" s="1062"/>
      <c r="B73" s="1059"/>
      <c r="C73" s="906">
        <v>100</v>
      </c>
      <c r="D73" s="882">
        <v>99</v>
      </c>
      <c r="E73" s="882">
        <v>98</v>
      </c>
      <c r="F73" s="882">
        <v>97</v>
      </c>
      <c r="G73" s="906"/>
      <c r="H73" s="908"/>
      <c r="I73" s="908"/>
      <c r="J73" s="908"/>
      <c r="K73" s="908"/>
      <c r="L73" s="908"/>
      <c r="M73" s="909"/>
      <c r="N73" s="1394"/>
      <c r="O73" s="1394"/>
      <c r="P73" s="1383"/>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4"/>
      <c r="O74" s="1394"/>
      <c r="P74" s="1385"/>
      <c r="Q74" s="1067"/>
    </row>
    <row r="75" spans="1:17" s="1043" customFormat="1" ht="15" thickBot="1">
      <c r="A75" s="1074"/>
      <c r="B75" s="1075"/>
      <c r="C75" s="916">
        <v>100</v>
      </c>
      <c r="D75" s="916">
        <v>98</v>
      </c>
      <c r="E75" s="916">
        <v>96</v>
      </c>
      <c r="F75" s="916">
        <v>94</v>
      </c>
      <c r="G75" s="916"/>
      <c r="H75" s="917"/>
      <c r="I75" s="917"/>
      <c r="J75" s="917"/>
      <c r="K75" s="917"/>
      <c r="L75" s="917"/>
      <c r="M75" s="918"/>
      <c r="N75" s="1394"/>
      <c r="O75" s="1394"/>
      <c r="P75" s="1383"/>
      <c r="Q75" s="1067"/>
    </row>
    <row r="76" spans="1:17" ht="14.25">
      <c r="A76" s="172" t="s">
        <v>1285</v>
      </c>
      <c r="B76" s="292" t="s">
        <v>1286</v>
      </c>
      <c r="C76" s="919" t="s">
        <v>1246</v>
      </c>
      <c r="D76" s="919" t="s">
        <v>1247</v>
      </c>
      <c r="E76" s="919" t="s">
        <v>1248</v>
      </c>
      <c r="F76" s="919" t="s">
        <v>1249</v>
      </c>
      <c r="G76" s="919" t="s">
        <v>1250</v>
      </c>
      <c r="H76" s="875"/>
      <c r="I76" s="875"/>
      <c r="J76" s="875"/>
      <c r="K76" s="920"/>
      <c r="L76" s="921"/>
      <c r="M76" s="922"/>
      <c r="N76" s="1392"/>
      <c r="O76" s="1392"/>
      <c r="P76" s="1386"/>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3"/>
      <c r="O77" s="1393"/>
      <c r="P77" s="1382"/>
      <c r="Q77" s="121"/>
    </row>
    <row r="78" spans="1:17" ht="15" thickTop="1">
      <c r="A78" s="173"/>
      <c r="B78" s="1058" t="s">
        <v>1292</v>
      </c>
      <c r="C78" s="924" t="s">
        <v>599</v>
      </c>
      <c r="D78" s="924" t="s">
        <v>600</v>
      </c>
      <c r="E78" s="924" t="s">
        <v>601</v>
      </c>
      <c r="F78" s="924" t="s">
        <v>602</v>
      </c>
      <c r="G78" s="924" t="s">
        <v>603</v>
      </c>
      <c r="H78" s="885"/>
      <c r="I78" s="885"/>
      <c r="J78" s="885"/>
      <c r="K78" s="886"/>
      <c r="L78" s="887"/>
      <c r="M78" s="888"/>
      <c r="N78" s="1392"/>
      <c r="O78" s="1392"/>
      <c r="P78" s="1382"/>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3"/>
      <c r="O79" s="1393"/>
      <c r="P79" s="1382"/>
      <c r="Q79" s="121"/>
    </row>
    <row r="80" spans="1:17" ht="15" thickTop="1">
      <c r="A80" s="173"/>
      <c r="B80" s="1058" t="s">
        <v>3038</v>
      </c>
      <c r="C80" s="924" t="s">
        <v>599</v>
      </c>
      <c r="D80" s="924" t="s">
        <v>600</v>
      </c>
      <c r="E80" s="924" t="s">
        <v>601</v>
      </c>
      <c r="F80" s="924" t="s">
        <v>602</v>
      </c>
      <c r="G80" s="924" t="s">
        <v>603</v>
      </c>
      <c r="H80" s="885"/>
      <c r="I80" s="885"/>
      <c r="J80" s="885"/>
      <c r="K80" s="886"/>
      <c r="L80" s="887"/>
      <c r="M80" s="888"/>
      <c r="N80" s="1392"/>
      <c r="O80" s="1392"/>
      <c r="P80" s="1382"/>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3"/>
      <c r="O81" s="1393"/>
      <c r="P81" s="1382"/>
      <c r="Q81" s="121"/>
    </row>
    <row r="82" spans="1:17" ht="15" thickTop="1">
      <c r="A82" s="173"/>
      <c r="B82" s="1060" t="s">
        <v>3057</v>
      </c>
      <c r="C82" s="213" t="s">
        <v>3058</v>
      </c>
      <c r="D82" s="213" t="s">
        <v>3059</v>
      </c>
      <c r="E82" s="213" t="s">
        <v>3060</v>
      </c>
      <c r="F82" s="213" t="s">
        <v>3061</v>
      </c>
      <c r="G82" s="213" t="s">
        <v>3062</v>
      </c>
      <c r="H82" s="885"/>
      <c r="I82" s="885"/>
      <c r="J82" s="885"/>
      <c r="K82" s="885"/>
      <c r="L82" s="885"/>
      <c r="M82" s="2781"/>
      <c r="N82" s="1393"/>
      <c r="O82" s="1393"/>
      <c r="P82" s="1382"/>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6"/>
      <c r="N83" s="1393"/>
      <c r="O83" s="1393"/>
      <c r="P83" s="1382"/>
      <c r="Q83" s="121"/>
    </row>
    <row r="84" spans="1:17" ht="15" thickTop="1">
      <c r="A84" s="173"/>
      <c r="B84" s="1058" t="s">
        <v>1293</v>
      </c>
      <c r="C84" s="924" t="s">
        <v>599</v>
      </c>
      <c r="D84" s="924" t="s">
        <v>600</v>
      </c>
      <c r="E84" s="924" t="s">
        <v>601</v>
      </c>
      <c r="F84" s="924" t="s">
        <v>602</v>
      </c>
      <c r="G84" s="924" t="s">
        <v>603</v>
      </c>
      <c r="H84" s="885"/>
      <c r="I84" s="885"/>
      <c r="J84" s="885"/>
      <c r="K84" s="886"/>
      <c r="L84" s="887"/>
      <c r="M84" s="888"/>
      <c r="N84" s="1392"/>
      <c r="O84" s="1392"/>
      <c r="P84" s="1382"/>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3"/>
      <c r="O85" s="1393"/>
      <c r="P85" s="1382"/>
      <c r="Q85" s="121"/>
    </row>
    <row r="86" spans="1:17" s="40" customFormat="1" ht="14.25" thickTop="1">
      <c r="A86" s="1076"/>
      <c r="B86" s="1058" t="s">
        <v>1294</v>
      </c>
      <c r="C86" s="139" t="s">
        <v>1295</v>
      </c>
      <c r="D86" s="139" t="s">
        <v>1296</v>
      </c>
      <c r="E86" s="139" t="s">
        <v>1297</v>
      </c>
      <c r="F86" s="139" t="s">
        <v>1298</v>
      </c>
      <c r="G86" s="139"/>
      <c r="H86" s="139"/>
      <c r="I86" s="139"/>
      <c r="J86" s="139"/>
      <c r="K86" s="139"/>
      <c r="L86" s="1387"/>
      <c r="M86" s="1388"/>
      <c r="N86" s="1391"/>
      <c r="O86" s="1391"/>
      <c r="P86" s="1382"/>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3"/>
      <c r="O87" s="1393"/>
      <c r="P87" s="1382"/>
      <c r="Q87" s="121"/>
    </row>
    <row r="88" spans="1:17" s="40" customFormat="1" ht="14.25" thickTop="1">
      <c r="A88" s="1076"/>
      <c r="B88" s="1058" t="str">
        <f>B26</f>
        <v>平面位置/可视性</v>
      </c>
      <c r="C88" s="139" t="s">
        <v>1299</v>
      </c>
      <c r="D88" s="139" t="s">
        <v>1300</v>
      </c>
      <c r="E88" s="139" t="s">
        <v>1301</v>
      </c>
      <c r="F88" s="1389" t="s">
        <v>1302</v>
      </c>
      <c r="G88" s="139" t="s">
        <v>1303</v>
      </c>
      <c r="H88" s="139"/>
      <c r="I88" s="139"/>
      <c r="J88" s="139"/>
      <c r="K88" s="139"/>
      <c r="L88" s="139"/>
      <c r="M88" s="1388"/>
      <c r="N88" s="1391"/>
      <c r="O88" s="1391"/>
      <c r="P88" s="1382"/>
      <c r="Q88" s="121"/>
    </row>
    <row r="89" spans="1:17" s="40" customFormat="1" ht="15" thickBot="1">
      <c r="A89" s="1076"/>
      <c r="B89" s="1059"/>
      <c r="C89" s="906">
        <v>100</v>
      </c>
      <c r="D89" s="882">
        <v>98</v>
      </c>
      <c r="E89" s="882">
        <v>96</v>
      </c>
      <c r="F89" s="882">
        <v>94</v>
      </c>
      <c r="G89" s="882">
        <v>92</v>
      </c>
      <c r="H89" s="882"/>
      <c r="I89" s="882"/>
      <c r="J89" s="882"/>
      <c r="K89" s="882"/>
      <c r="L89" s="882"/>
      <c r="M89" s="882"/>
      <c r="N89" s="1393"/>
      <c r="O89" s="1393"/>
      <c r="P89" s="1382"/>
      <c r="Q89" s="121"/>
    </row>
    <row r="90" spans="1:17" s="1043" customFormat="1" ht="14.25" thickTop="1">
      <c r="A90" s="1062"/>
      <c r="B90" s="1058" t="str">
        <f>B27</f>
        <v>人流量</v>
      </c>
      <c r="C90" s="139" t="s">
        <v>1304</v>
      </c>
      <c r="D90" s="139" t="s">
        <v>1305</v>
      </c>
      <c r="E90" s="139" t="s">
        <v>1301</v>
      </c>
      <c r="F90" s="139" t="s">
        <v>1306</v>
      </c>
      <c r="G90" s="139" t="s">
        <v>1307</v>
      </c>
      <c r="H90" s="1063"/>
      <c r="I90" s="1063"/>
      <c r="J90" s="1063"/>
      <c r="K90" s="1063"/>
      <c r="L90" s="1064"/>
      <c r="M90" s="1065"/>
      <c r="N90" s="1394"/>
      <c r="O90" s="1394"/>
      <c r="P90" s="1383"/>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4"/>
      <c r="O91" s="1394"/>
      <c r="P91" s="1383"/>
      <c r="Q91" s="1067"/>
    </row>
    <row r="92" spans="1:17" ht="14.25" thickTop="1">
      <c r="A92" s="173"/>
      <c r="B92" s="1058" t="str">
        <f>B28</f>
        <v>楼层</v>
      </c>
      <c r="C92" s="139" t="s">
        <v>1308</v>
      </c>
      <c r="D92" s="139" t="s">
        <v>1309</v>
      </c>
      <c r="E92" s="139" t="s">
        <v>1310</v>
      </c>
      <c r="F92" s="139" t="s">
        <v>1311</v>
      </c>
      <c r="G92" s="139" t="s">
        <v>1312</v>
      </c>
      <c r="H92" s="139"/>
      <c r="I92" s="139"/>
      <c r="J92" s="139"/>
      <c r="K92" s="139"/>
      <c r="L92" s="1387"/>
      <c r="M92" s="1388"/>
      <c r="N92" s="1392"/>
      <c r="O92" s="1392"/>
      <c r="P92" s="1382"/>
      <c r="Q92" s="121"/>
    </row>
    <row r="93" spans="1:17" ht="15" thickBot="1">
      <c r="A93" s="173"/>
      <c r="B93" s="1059"/>
      <c r="C93" s="882">
        <v>100</v>
      </c>
      <c r="D93" s="882">
        <v>90</v>
      </c>
      <c r="E93" s="882">
        <v>85</v>
      </c>
      <c r="F93" s="882">
        <v>80</v>
      </c>
      <c r="G93" s="882">
        <v>80</v>
      </c>
      <c r="H93" s="882"/>
      <c r="I93" s="882"/>
      <c r="J93" s="882"/>
      <c r="K93" s="882"/>
      <c r="L93" s="882"/>
      <c r="M93" s="883"/>
      <c r="N93" s="1393"/>
      <c r="O93" s="1393"/>
      <c r="P93" s="1382"/>
      <c r="Q93" s="121"/>
    </row>
    <row r="94" spans="1:17" ht="14.25" thickTop="1">
      <c r="A94" s="173"/>
      <c r="B94" s="1058">
        <f>B29</f>
        <v>111</v>
      </c>
      <c r="C94" s="139">
        <v>111</v>
      </c>
      <c r="D94" s="139">
        <v>222</v>
      </c>
      <c r="E94" s="139">
        <v>333</v>
      </c>
      <c r="F94" s="139">
        <v>444</v>
      </c>
      <c r="G94" s="131"/>
      <c r="H94" s="131"/>
      <c r="I94" s="131"/>
      <c r="J94" s="131"/>
      <c r="K94" s="132"/>
      <c r="L94" s="133"/>
      <c r="M94" s="134"/>
      <c r="N94" s="1392"/>
      <c r="O94" s="1392"/>
      <c r="P94" s="1382"/>
      <c r="Q94" s="121"/>
    </row>
    <row r="95" spans="1:17" ht="15" thickBot="1">
      <c r="A95" s="173"/>
      <c r="B95" s="1059"/>
      <c r="C95" s="906">
        <v>100</v>
      </c>
      <c r="D95" s="882">
        <v>99</v>
      </c>
      <c r="E95" s="882">
        <v>98</v>
      </c>
      <c r="F95" s="882">
        <v>97</v>
      </c>
      <c r="G95" s="882"/>
      <c r="H95" s="882"/>
      <c r="I95" s="882"/>
      <c r="J95" s="882"/>
      <c r="K95" s="882"/>
      <c r="L95" s="882"/>
      <c r="M95" s="883"/>
      <c r="N95" s="1393"/>
      <c r="O95" s="1393"/>
      <c r="P95" s="1382"/>
      <c r="Q95" s="121"/>
    </row>
    <row r="96" spans="1:17" ht="14.25" thickTop="1">
      <c r="A96" s="173"/>
      <c r="B96" s="1058">
        <f>B30</f>
        <v>111</v>
      </c>
      <c r="C96" s="139">
        <v>111</v>
      </c>
      <c r="D96" s="139">
        <v>222</v>
      </c>
      <c r="E96" s="139">
        <v>333</v>
      </c>
      <c r="F96" s="139">
        <v>444</v>
      </c>
      <c r="G96" s="131"/>
      <c r="H96" s="131"/>
      <c r="I96" s="131"/>
      <c r="J96" s="131"/>
      <c r="K96" s="132"/>
      <c r="L96" s="133"/>
      <c r="M96" s="134"/>
      <c r="N96" s="1392"/>
      <c r="O96" s="1392"/>
      <c r="P96" s="1382"/>
      <c r="Q96" s="121"/>
    </row>
    <row r="97" spans="1:17" ht="15" thickBot="1">
      <c r="A97" s="173"/>
      <c r="B97" s="1059"/>
      <c r="C97" s="906">
        <v>100</v>
      </c>
      <c r="D97" s="882">
        <v>99</v>
      </c>
      <c r="E97" s="882">
        <v>98</v>
      </c>
      <c r="F97" s="882">
        <v>97</v>
      </c>
      <c r="G97" s="882"/>
      <c r="H97" s="882"/>
      <c r="I97" s="882"/>
      <c r="J97" s="882"/>
      <c r="K97" s="882"/>
      <c r="L97" s="882"/>
      <c r="M97" s="883"/>
      <c r="N97" s="1393"/>
      <c r="O97" s="1393"/>
      <c r="P97" s="1382"/>
      <c r="Q97" s="121"/>
    </row>
    <row r="98" spans="1:17" ht="14.25" thickTop="1">
      <c r="A98" s="173"/>
      <c r="B98" s="1060">
        <f>B31</f>
        <v>111</v>
      </c>
      <c r="C98" s="139">
        <v>111</v>
      </c>
      <c r="D98" s="139">
        <v>222</v>
      </c>
      <c r="E98" s="139">
        <v>333</v>
      </c>
      <c r="F98" s="139">
        <v>444</v>
      </c>
      <c r="G98" s="135"/>
      <c r="H98" s="135"/>
      <c r="I98" s="135"/>
      <c r="J98" s="135"/>
      <c r="K98" s="136"/>
      <c r="L98" s="137"/>
      <c r="M98" s="138"/>
      <c r="N98" s="1392"/>
      <c r="O98" s="1392"/>
      <c r="P98" s="1382"/>
      <c r="Q98" s="121"/>
    </row>
    <row r="99" spans="1:17" ht="15" thickBot="1">
      <c r="A99" s="174"/>
      <c r="B99" s="1075"/>
      <c r="C99" s="916">
        <v>100</v>
      </c>
      <c r="D99" s="916">
        <v>98</v>
      </c>
      <c r="E99" s="916">
        <v>96</v>
      </c>
      <c r="F99" s="916">
        <v>94</v>
      </c>
      <c r="G99" s="937"/>
      <c r="H99" s="937"/>
      <c r="I99" s="937"/>
      <c r="J99" s="937"/>
      <c r="K99" s="937"/>
      <c r="L99" s="937"/>
      <c r="M99" s="938"/>
      <c r="N99" s="1393"/>
      <c r="O99" s="1393"/>
      <c r="P99" s="1382"/>
      <c r="Q99" s="121"/>
    </row>
    <row r="100" spans="1:17">
      <c r="A100" s="172" t="s">
        <v>1313</v>
      </c>
      <c r="B100" s="292" t="s">
        <v>1314</v>
      </c>
      <c r="C100" s="122" t="s">
        <v>1315</v>
      </c>
      <c r="D100" s="122" t="s">
        <v>1316</v>
      </c>
      <c r="E100" s="122" t="s">
        <v>1317</v>
      </c>
      <c r="F100" s="122"/>
      <c r="G100" s="122"/>
      <c r="H100" s="122"/>
      <c r="I100" s="122"/>
      <c r="J100" s="122"/>
      <c r="K100" s="123"/>
      <c r="L100" s="124"/>
      <c r="M100" s="125"/>
      <c r="N100" s="1392"/>
      <c r="O100" s="1392"/>
      <c r="P100" s="1382"/>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3"/>
      <c r="O101" s="1393"/>
      <c r="P101" s="1382"/>
      <c r="Q101" s="121"/>
    </row>
    <row r="102" spans="1:17" ht="29.25" thickTop="1">
      <c r="A102" s="173"/>
      <c r="B102" s="1058" t="s">
        <v>1318</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1"/>
      <c r="O102" s="1391"/>
      <c r="P102" s="1382"/>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4"/>
      <c r="O103" s="1394"/>
      <c r="P103" s="1383"/>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3"/>
      <c r="O104" s="1393"/>
      <c r="P104" s="1383"/>
      <c r="Q104" s="1067"/>
    </row>
    <row r="105" spans="1:17" ht="14.25" thickTop="1">
      <c r="A105" s="175"/>
      <c r="B105" s="1058" t="s">
        <v>1319</v>
      </c>
      <c r="C105" s="139" t="s">
        <v>1320</v>
      </c>
      <c r="D105" s="139" t="s">
        <v>1321</v>
      </c>
      <c r="E105" s="131" t="s">
        <v>1322</v>
      </c>
      <c r="F105" s="131"/>
      <c r="G105" s="131"/>
      <c r="H105" s="131"/>
      <c r="I105" s="131"/>
      <c r="J105" s="131"/>
      <c r="K105" s="132"/>
      <c r="L105" s="133"/>
      <c r="M105" s="134"/>
      <c r="N105" s="1392"/>
      <c r="O105" s="1392"/>
      <c r="P105" s="1382"/>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3"/>
      <c r="O106" s="1393"/>
      <c r="P106" s="1382"/>
      <c r="Q106" s="121"/>
    </row>
    <row r="107" spans="1:17" ht="14.25" thickTop="1">
      <c r="A107" s="175"/>
      <c r="B107" s="1058" t="s">
        <v>1323</v>
      </c>
      <c r="C107" s="139" t="s">
        <v>1324</v>
      </c>
      <c r="D107" s="139" t="s">
        <v>1325</v>
      </c>
      <c r="E107" s="139" t="s">
        <v>1326</v>
      </c>
      <c r="F107" s="131" t="s">
        <v>1327</v>
      </c>
      <c r="G107" s="131"/>
      <c r="H107" s="131"/>
      <c r="I107" s="131"/>
      <c r="J107" s="131"/>
      <c r="K107" s="132"/>
      <c r="L107" s="133"/>
      <c r="M107" s="134"/>
      <c r="N107" s="1392"/>
      <c r="O107" s="1392"/>
      <c r="P107" s="1382"/>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3"/>
      <c r="O108" s="1393"/>
      <c r="P108" s="1382"/>
      <c r="Q108" s="121"/>
    </row>
    <row r="109" spans="1:17" ht="15" thickTop="1">
      <c r="A109" s="175"/>
      <c r="B109" s="1058" t="s">
        <v>1328</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2"/>
      <c r="O109" s="1392"/>
      <c r="P109" s="1382"/>
      <c r="Q109" s="121"/>
    </row>
    <row r="110" spans="1:17" ht="14.25">
      <c r="A110" s="175"/>
      <c r="B110" s="1060"/>
      <c r="C110" s="949">
        <v>0.5</v>
      </c>
      <c r="D110" s="949">
        <v>0.6</v>
      </c>
      <c r="E110" s="949">
        <v>0.7</v>
      </c>
      <c r="F110" s="949">
        <v>0.8</v>
      </c>
      <c r="G110" s="949">
        <v>0.9</v>
      </c>
      <c r="H110" s="949">
        <v>1.0001</v>
      </c>
      <c r="I110" s="183"/>
      <c r="J110" s="183"/>
      <c r="K110" s="184"/>
      <c r="L110" s="185"/>
      <c r="M110" s="186"/>
      <c r="N110" s="1392"/>
      <c r="O110" s="1392"/>
      <c r="P110" s="1382"/>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3"/>
      <c r="O111" s="1393"/>
      <c r="P111" s="1382"/>
      <c r="Q111" s="121"/>
    </row>
    <row r="112" spans="1:17" s="1043" customFormat="1" ht="14.25" thickTop="1">
      <c r="A112" s="1077"/>
      <c r="B112" s="1058" t="s">
        <v>3040</v>
      </c>
      <c r="C112" s="139" t="s">
        <v>1329</v>
      </c>
      <c r="D112" s="139" t="s">
        <v>1330</v>
      </c>
      <c r="E112" s="139" t="s">
        <v>1331</v>
      </c>
      <c r="F112" s="139" t="s">
        <v>1332</v>
      </c>
      <c r="G112" s="139" t="s">
        <v>1333</v>
      </c>
      <c r="H112" s="131"/>
      <c r="I112" s="131"/>
      <c r="J112" s="131"/>
      <c r="K112" s="132"/>
      <c r="L112" s="133"/>
      <c r="M112" s="134"/>
      <c r="N112" s="1394"/>
      <c r="O112" s="1394"/>
      <c r="P112" s="1383"/>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4"/>
      <c r="O113" s="1394"/>
      <c r="P113" s="1383"/>
      <c r="Q113" s="1067"/>
    </row>
    <row r="114" spans="1:17" ht="14.25" thickTop="1">
      <c r="A114" s="175"/>
      <c r="B114" s="1058" t="s">
        <v>1334</v>
      </c>
      <c r="C114" s="139" t="s">
        <v>1335</v>
      </c>
      <c r="D114" s="139" t="s">
        <v>1336</v>
      </c>
      <c r="E114" s="131"/>
      <c r="F114" s="131"/>
      <c r="G114" s="131"/>
      <c r="H114" s="131"/>
      <c r="I114" s="131"/>
      <c r="J114" s="131"/>
      <c r="K114" s="132"/>
      <c r="L114" s="133"/>
      <c r="M114" s="134"/>
      <c r="N114" s="1392"/>
      <c r="O114" s="1392"/>
      <c r="P114" s="1382"/>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3"/>
      <c r="O115" s="1393"/>
      <c r="P115" s="1382"/>
      <c r="Q115" s="121"/>
    </row>
    <row r="116" spans="1:17" ht="14.25" thickTop="1">
      <c r="A116" s="175"/>
      <c r="B116" s="1058" t="s">
        <v>1337</v>
      </c>
      <c r="C116" s="139" t="s">
        <v>1338</v>
      </c>
      <c r="D116" s="139" t="s">
        <v>1339</v>
      </c>
      <c r="E116" s="139"/>
      <c r="F116" s="139"/>
      <c r="G116" s="139"/>
      <c r="H116" s="131"/>
      <c r="I116" s="131"/>
      <c r="J116" s="131"/>
      <c r="K116" s="132"/>
      <c r="L116" s="133"/>
      <c r="M116" s="134"/>
      <c r="N116" s="1392"/>
      <c r="O116" s="1392"/>
      <c r="P116" s="1382"/>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3"/>
      <c r="O117" s="1393"/>
      <c r="P117" s="1382"/>
      <c r="Q117" s="121"/>
    </row>
    <row r="118" spans="1:17" ht="15" thickTop="1">
      <c r="A118" s="175"/>
      <c r="B118" s="1058" t="s">
        <v>1340</v>
      </c>
      <c r="C118" s="973" t="s">
        <v>278</v>
      </c>
      <c r="D118" s="973" t="s">
        <v>279</v>
      </c>
      <c r="E118" s="973" t="s">
        <v>280</v>
      </c>
      <c r="F118" s="973" t="s">
        <v>281</v>
      </c>
      <c r="G118" s="973"/>
      <c r="H118" s="901"/>
      <c r="I118" s="901"/>
      <c r="J118" s="901"/>
      <c r="K118" s="901"/>
      <c r="L118" s="902"/>
      <c r="M118" s="903"/>
      <c r="N118" s="1392"/>
      <c r="O118" s="1392"/>
      <c r="P118" s="1382"/>
      <c r="Q118" s="121"/>
    </row>
    <row r="119" spans="1:17" ht="15" thickBot="1">
      <c r="A119" s="173"/>
      <c r="B119" s="1059"/>
      <c r="C119" s="906">
        <v>100</v>
      </c>
      <c r="D119" s="882">
        <v>102</v>
      </c>
      <c r="E119" s="882">
        <v>105</v>
      </c>
      <c r="F119" s="882">
        <v>102</v>
      </c>
      <c r="G119" s="882"/>
      <c r="H119" s="882"/>
      <c r="I119" s="882"/>
      <c r="J119" s="882"/>
      <c r="K119" s="882"/>
      <c r="L119" s="882"/>
      <c r="M119" s="883"/>
      <c r="N119" s="1393"/>
      <c r="O119" s="1393"/>
      <c r="P119" s="1382"/>
      <c r="Q119" s="121"/>
    </row>
    <row r="120" spans="1:17" s="1043" customFormat="1" ht="14.25" thickTop="1">
      <c r="A120" s="1077"/>
      <c r="B120" s="1058" t="s">
        <v>1341</v>
      </c>
      <c r="C120" s="131" t="s">
        <v>1342</v>
      </c>
      <c r="D120" s="131" t="s">
        <v>1343</v>
      </c>
      <c r="E120" s="131" t="s">
        <v>1344</v>
      </c>
      <c r="F120" s="131"/>
      <c r="G120" s="1063"/>
      <c r="H120" s="1063"/>
      <c r="I120" s="1063"/>
      <c r="J120" s="1063"/>
      <c r="K120" s="1063"/>
      <c r="L120" s="1064"/>
      <c r="M120" s="1065"/>
      <c r="N120" s="1394"/>
      <c r="O120" s="1394"/>
      <c r="P120" s="1383"/>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4"/>
      <c r="O121" s="1394"/>
      <c r="P121" s="1383"/>
      <c r="Q121" s="1067"/>
    </row>
    <row r="122" spans="1:17" ht="14.25" thickTop="1">
      <c r="A122" s="175"/>
      <c r="B122" s="1058" t="s">
        <v>1345</v>
      </c>
      <c r="C122" s="139" t="s">
        <v>1324</v>
      </c>
      <c r="D122" s="139" t="s">
        <v>1325</v>
      </c>
      <c r="E122" s="139" t="s">
        <v>1326</v>
      </c>
      <c r="F122" s="131" t="s">
        <v>1327</v>
      </c>
      <c r="G122" s="131"/>
      <c r="H122" s="131"/>
      <c r="I122" s="131"/>
      <c r="J122" s="131"/>
      <c r="K122" s="132"/>
      <c r="L122" s="133"/>
      <c r="M122" s="134"/>
      <c r="N122" s="1392"/>
      <c r="O122" s="1392"/>
      <c r="P122" s="1382"/>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3"/>
      <c r="O123" s="1393"/>
      <c r="P123" s="1382"/>
      <c r="Q123" s="121"/>
    </row>
    <row r="124" spans="1:17" ht="27.75" thickTop="1">
      <c r="A124" s="175"/>
      <c r="B124" s="1058" t="s">
        <v>1346</v>
      </c>
      <c r="C124" s="181" t="s">
        <v>1287</v>
      </c>
      <c r="D124" s="181" t="s">
        <v>1288</v>
      </c>
      <c r="E124" s="181" t="s">
        <v>1289</v>
      </c>
      <c r="F124" s="181" t="s">
        <v>1290</v>
      </c>
      <c r="G124" s="181" t="s">
        <v>1291</v>
      </c>
      <c r="H124" s="177"/>
      <c r="I124" s="177"/>
      <c r="J124" s="177"/>
      <c r="K124" s="178"/>
      <c r="L124" s="179"/>
      <c r="M124" s="180"/>
      <c r="N124" s="1392"/>
      <c r="O124" s="1392"/>
      <c r="P124" s="1383"/>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3"/>
      <c r="O125" s="1393"/>
      <c r="P125" s="1382"/>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4"/>
      <c r="O126" s="1394"/>
      <c r="P126" s="1383"/>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4"/>
      <c r="O127" s="1394"/>
      <c r="P127" s="1383"/>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9"/>
      <c r="C129" s="906">
        <v>100</v>
      </c>
      <c r="D129" s="882">
        <v>98</v>
      </c>
      <c r="E129" s="882">
        <v>97</v>
      </c>
      <c r="F129" s="882">
        <v>96</v>
      </c>
      <c r="G129" s="882"/>
      <c r="H129" s="882"/>
      <c r="I129" s="882"/>
      <c r="J129" s="882"/>
      <c r="K129" s="882"/>
      <c r="L129" s="882"/>
      <c r="M129" s="883"/>
      <c r="N129" s="1393"/>
      <c r="O129" s="1393"/>
      <c r="P129" s="1382"/>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5"/>
      <c r="C131" s="916">
        <v>100</v>
      </c>
      <c r="D131" s="916">
        <v>97</v>
      </c>
      <c r="E131" s="916">
        <v>94</v>
      </c>
      <c r="F131" s="916">
        <v>91</v>
      </c>
      <c r="G131" s="937"/>
      <c r="H131" s="937"/>
      <c r="I131" s="937"/>
      <c r="J131" s="937"/>
      <c r="K131" s="937"/>
      <c r="L131" s="937"/>
      <c r="M131" s="938"/>
      <c r="N131" s="1393"/>
      <c r="O131" s="1393"/>
      <c r="P131" s="1382"/>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1347</v>
      </c>
      <c r="B1" s="3140" t="s">
        <v>1348</v>
      </c>
      <c r="C1" s="3134" t="s">
        <v>1349</v>
      </c>
      <c r="D1" s="3125" t="s">
        <v>3366</v>
      </c>
      <c r="E1" s="3130"/>
      <c r="F1" s="3127" t="s">
        <v>3099</v>
      </c>
      <c r="G1" s="3129" t="s">
        <v>1350</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1351</v>
      </c>
      <c r="B2" s="2863">
        <f ca="1">IF(C2="——",ROUND(C50*D3/10000,0),ROUND(C50*D3/10000,0)-D2)</f>
        <v>72028</v>
      </c>
      <c r="C2" s="3119" t="s">
        <v>3101</v>
      </c>
      <c r="D2" s="2740">
        <f ca="1">SUMIF(INDIRECT("'"&amp;F2&amp;"'"&amp;"!A:A"),"承租人权益价值",INDIRECT("'"&amp;F2&amp;"'"&amp;"!c:c"))</f>
        <v>-72028</v>
      </c>
      <c r="E2" s="3120" t="s">
        <v>1094</v>
      </c>
      <c r="F2" s="3121" t="s">
        <v>2832</v>
      </c>
      <c r="G2" s="2325"/>
      <c r="H2" s="2325"/>
      <c r="I2" s="2325"/>
      <c r="J2" s="2325"/>
      <c r="K2" s="2325"/>
      <c r="L2" s="2326"/>
      <c r="M2" s="2327"/>
      <c r="N2" s="2327"/>
      <c r="O2" s="2327"/>
      <c r="P2" s="1337"/>
      <c r="Q2" s="1337"/>
      <c r="R2" s="1337"/>
      <c r="S2" s="1337"/>
      <c r="T2" s="1337"/>
      <c r="U2" s="1337"/>
      <c r="V2" s="1337"/>
      <c r="W2" s="1337"/>
      <c r="X2" s="1337"/>
      <c r="Y2" s="1337"/>
      <c r="Z2" s="1337"/>
      <c r="AA2" s="1337"/>
      <c r="AB2" s="1337"/>
      <c r="AC2" s="1338"/>
    </row>
    <row r="3" spans="1:29" s="90" customFormat="1" ht="28.5" customHeight="1" thickBot="1">
      <c r="A3" s="87" t="s">
        <v>1352</v>
      </c>
      <c r="B3" s="955" t="e">
        <f ca="1">IF(C2="——",C50,ROUND(B2*10000/D3,0))</f>
        <v>#DIV/0!</v>
      </c>
      <c r="C3" s="142" t="s">
        <v>1353</v>
      </c>
      <c r="D3" s="745">
        <f>IF(D1="",'数据-汇总表'!E3,SUMIF('数据-汇总表'!$C19:$C33,D1,'数据-汇总表'!$E19:$E33))</f>
        <v>0</v>
      </c>
      <c r="E3" s="2323"/>
      <c r="F3" s="2324"/>
      <c r="G3" s="2325"/>
      <c r="H3" s="2325"/>
      <c r="I3" s="2325"/>
      <c r="J3" s="2325"/>
      <c r="K3" s="2328"/>
      <c r="L3" s="2326"/>
      <c r="M3" s="2327"/>
      <c r="N3" s="2327"/>
      <c r="O3" s="2327"/>
      <c r="P3" s="1337"/>
      <c r="Q3" s="1337"/>
      <c r="R3" s="1337"/>
      <c r="S3" s="1337"/>
      <c r="T3" s="1337"/>
      <c r="U3" s="1337"/>
      <c r="V3" s="1337"/>
      <c r="W3" s="1337"/>
      <c r="X3" s="1337"/>
      <c r="Y3" s="1337"/>
      <c r="Z3" s="1337"/>
      <c r="AA3" s="1337"/>
      <c r="AB3" s="1337"/>
      <c r="AC3" s="1338"/>
    </row>
    <row r="4" spans="1:29">
      <c r="A4" s="143" t="s">
        <v>1354</v>
      </c>
      <c r="B4" s="144"/>
      <c r="C4" s="3793" t="s">
        <v>1355</v>
      </c>
      <c r="D4" s="3794"/>
      <c r="E4" s="3795" t="s">
        <v>1356</v>
      </c>
      <c r="F4" s="3796"/>
      <c r="G4" s="3793" t="s">
        <v>1357</v>
      </c>
      <c r="H4" s="3794"/>
      <c r="I4" s="3793" t="s">
        <v>1358</v>
      </c>
      <c r="J4" s="3794"/>
      <c r="K4" s="187" t="s">
        <v>1359</v>
      </c>
      <c r="L4" s="2302"/>
      <c r="M4" s="2303"/>
      <c r="N4" s="2303"/>
      <c r="O4" s="2303"/>
      <c r="P4" s="3827" t="s">
        <v>1354</v>
      </c>
      <c r="Q4" s="3828"/>
      <c r="R4" s="3822" t="s">
        <v>1356</v>
      </c>
      <c r="S4" s="3823"/>
      <c r="T4" s="3822" t="s">
        <v>1357</v>
      </c>
      <c r="U4" s="3823"/>
      <c r="V4" s="3831" t="s">
        <v>1358</v>
      </c>
      <c r="W4" s="3831"/>
      <c r="X4" s="2342"/>
      <c r="Y4" s="3822" t="s">
        <v>1354</v>
      </c>
      <c r="Z4" s="3823"/>
      <c r="AA4" s="3821" t="s">
        <v>1356</v>
      </c>
      <c r="AB4" s="3821" t="s">
        <v>1357</v>
      </c>
      <c r="AC4" s="3824" t="s">
        <v>1358</v>
      </c>
    </row>
    <row r="5" spans="1:29">
      <c r="A5" s="146"/>
      <c r="B5" s="147"/>
      <c r="C5" s="3786" t="s">
        <v>1360</v>
      </c>
      <c r="D5" s="3787"/>
      <c r="E5" s="3784" t="s">
        <v>1361</v>
      </c>
      <c r="F5" s="3785"/>
      <c r="G5" s="3786" t="s">
        <v>1362</v>
      </c>
      <c r="H5" s="3787"/>
      <c r="I5" s="3786" t="s">
        <v>1363</v>
      </c>
      <c r="J5" s="3787"/>
      <c r="K5" s="187"/>
      <c r="L5" s="2302"/>
      <c r="M5" s="2303"/>
      <c r="N5" s="2303"/>
      <c r="O5" s="2303"/>
      <c r="P5" s="3829"/>
      <c r="Q5" s="3800"/>
      <c r="R5" s="3782"/>
      <c r="S5" s="3783"/>
      <c r="T5" s="3782"/>
      <c r="U5" s="3783"/>
      <c r="V5" s="3805"/>
      <c r="W5" s="3805"/>
      <c r="X5" s="2228"/>
      <c r="Y5" s="3782"/>
      <c r="Z5" s="3783"/>
      <c r="AA5" s="3776"/>
      <c r="AB5" s="3776"/>
      <c r="AC5" s="3825"/>
    </row>
    <row r="6" spans="1:29" ht="14.25" thickBot="1">
      <c r="A6" s="148"/>
      <c r="B6" s="149"/>
      <c r="C6" s="3788" t="s">
        <v>1364</v>
      </c>
      <c r="D6" s="3789"/>
      <c r="E6" s="3790" t="s">
        <v>1364</v>
      </c>
      <c r="F6" s="3791"/>
      <c r="G6" s="3788" t="s">
        <v>1364</v>
      </c>
      <c r="H6" s="3789"/>
      <c r="I6" s="3788" t="s">
        <v>1364</v>
      </c>
      <c r="J6" s="3789"/>
      <c r="K6" s="187" t="s">
        <v>1365</v>
      </c>
      <c r="L6" s="2302"/>
      <c r="M6" s="2303"/>
      <c r="N6" s="2303"/>
      <c r="O6" s="2303"/>
      <c r="P6" s="3830"/>
      <c r="Q6" s="3802"/>
      <c r="R6" s="3782"/>
      <c r="S6" s="3783"/>
      <c r="T6" s="3803"/>
      <c r="U6" s="3804"/>
      <c r="V6" s="3805"/>
      <c r="W6" s="3805"/>
      <c r="X6" s="2228"/>
      <c r="Y6" s="3803"/>
      <c r="Z6" s="3804"/>
      <c r="AA6" s="3777"/>
      <c r="AB6" s="3777"/>
      <c r="AC6" s="3826"/>
    </row>
    <row r="7" spans="1:29" s="40" customFormat="1" ht="15" thickBot="1">
      <c r="A7" s="1017" t="s">
        <v>1366</v>
      </c>
      <c r="B7" s="1018"/>
      <c r="C7" s="756">
        <f>'数据-取费表'!B2</f>
        <v>42906</v>
      </c>
      <c r="D7" s="757">
        <v>100</v>
      </c>
      <c r="E7" s="1020">
        <v>42736</v>
      </c>
      <c r="F7" s="759">
        <f>SUMIF(59:59,YEAR(E7)&amp;"-"&amp;MONTH(E7),60:60)</f>
        <v>97.5</v>
      </c>
      <c r="G7" s="1020">
        <v>42736</v>
      </c>
      <c r="H7" s="757">
        <f>SUMIF(59:59,YEAR(G7)&amp;"-"&amp;MONTH(G7),60:60)</f>
        <v>97.5</v>
      </c>
      <c r="I7" s="1020">
        <v>42736</v>
      </c>
      <c r="J7" s="757">
        <f>SUMIF(59:59,YEAR(I7)&amp;"-"&amp;MONTH(I7),60:60)</f>
        <v>97.5</v>
      </c>
      <c r="K7" s="1022"/>
      <c r="L7" s="2304"/>
      <c r="M7" s="2266"/>
      <c r="N7" s="2266"/>
      <c r="O7" s="2266"/>
      <c r="P7" s="3832" t="s">
        <v>1366</v>
      </c>
      <c r="Q7" s="3806"/>
      <c r="R7" s="1345" t="s">
        <v>70</v>
      </c>
      <c r="S7" s="1346">
        <f t="shared" ref="S7:S15" si="0">F7</f>
        <v>97.5</v>
      </c>
      <c r="T7" s="1345" t="s">
        <v>70</v>
      </c>
      <c r="U7" s="1346">
        <f t="shared" ref="U7:U15" si="1">H7</f>
        <v>97.5</v>
      </c>
      <c r="V7" s="1345" t="s">
        <v>70</v>
      </c>
      <c r="W7" s="1346">
        <f t="shared" ref="W7:W15" si="2">J7</f>
        <v>97.5</v>
      </c>
      <c r="X7" s="293"/>
      <c r="Y7" s="3778" t="s">
        <v>1366</v>
      </c>
      <c r="Z7" s="3779"/>
      <c r="AA7" s="1347">
        <f>D7/F7</f>
        <v>1.0256410256410255</v>
      </c>
      <c r="AB7" s="1347">
        <f>D7/H7</f>
        <v>1.0256410256410255</v>
      </c>
      <c r="AC7" s="2343">
        <f>D7/J7</f>
        <v>1.0256410256410255</v>
      </c>
    </row>
    <row r="8" spans="1:29" s="40" customFormat="1" ht="15" thickBot="1">
      <c r="A8" s="1017" t="s">
        <v>1367</v>
      </c>
      <c r="B8" s="1018"/>
      <c r="C8" s="1023" t="s">
        <v>1368</v>
      </c>
      <c r="D8" s="757">
        <v>100</v>
      </c>
      <c r="E8" s="1023" t="s">
        <v>259</v>
      </c>
      <c r="F8" s="759">
        <f>SUMIF(62:62,E8,63:63)-SUMIF(62:62,C8,63:63)+100</f>
        <v>99</v>
      </c>
      <c r="G8" s="1023" t="s">
        <v>1251</v>
      </c>
      <c r="H8" s="757">
        <f>SUMIF(62:62,G8,63:63)-SUMIF(62:62,C8,63:63)+100</f>
        <v>100</v>
      </c>
      <c r="I8" s="1023" t="s">
        <v>1251</v>
      </c>
      <c r="J8" s="757">
        <f>SUMIF(62:62,I8,63:63)-SUMIF(62:62,C8,63:63)+100</f>
        <v>100</v>
      </c>
      <c r="K8" s="1022"/>
      <c r="L8" s="2304"/>
      <c r="M8" s="2266"/>
      <c r="N8" s="2266"/>
      <c r="O8" s="2266"/>
      <c r="P8" s="3832" t="s">
        <v>1252</v>
      </c>
      <c r="Q8" s="3779"/>
      <c r="R8" s="1345" t="s">
        <v>70</v>
      </c>
      <c r="S8" s="1346">
        <f t="shared" si="0"/>
        <v>99</v>
      </c>
      <c r="T8" s="1345" t="s">
        <v>70</v>
      </c>
      <c r="U8" s="1346">
        <f t="shared" si="1"/>
        <v>100</v>
      </c>
      <c r="V8" s="1345" t="s">
        <v>70</v>
      </c>
      <c r="W8" s="1346">
        <f t="shared" si="2"/>
        <v>100</v>
      </c>
      <c r="X8" s="293"/>
      <c r="Y8" s="3778" t="s">
        <v>1252</v>
      </c>
      <c r="Z8" s="3779"/>
      <c r="AA8" s="1347">
        <f t="shared" ref="AA8:AA47" si="3">D8/F8</f>
        <v>1.0101010101010102</v>
      </c>
      <c r="AB8" s="1347">
        <f t="shared" ref="AB8:AB47" si="4">D8/H8</f>
        <v>1</v>
      </c>
      <c r="AC8" s="2343">
        <f t="shared" ref="AC8:AC47" si="5">D8/J8</f>
        <v>1</v>
      </c>
    </row>
    <row r="9" spans="1:29" s="40" customFormat="1" ht="14.25">
      <c r="A9" s="1024" t="s">
        <v>1253</v>
      </c>
      <c r="B9" s="62" t="s">
        <v>1254</v>
      </c>
      <c r="C9" s="1349" t="s">
        <v>1369</v>
      </c>
      <c r="D9" s="428">
        <v>100</v>
      </c>
      <c r="E9" s="1351" t="s">
        <v>210</v>
      </c>
      <c r="F9" s="428">
        <f>SUMIF(64:64,E9,65:65)-SUMIF(64:64,C9,65:65)+100</f>
        <v>100</v>
      </c>
      <c r="G9" s="1350" t="s">
        <v>277</v>
      </c>
      <c r="H9" s="428">
        <f>SUMIF(64:64,G9,65:65)-SUMIF(64:64,C9,65:65)+100</f>
        <v>95</v>
      </c>
      <c r="I9" s="1350" t="s">
        <v>210</v>
      </c>
      <c r="J9" s="428">
        <f>SUMIF(64:64,I9,65:65)-SUMIF(64:64,C9,65:65)+100</f>
        <v>100</v>
      </c>
      <c r="K9" s="1022"/>
      <c r="L9" s="2304"/>
      <c r="M9" s="2266"/>
      <c r="N9" s="2266"/>
      <c r="O9" s="2266"/>
      <c r="P9" s="3792" t="s">
        <v>72</v>
      </c>
      <c r="Q9" s="2219" t="str">
        <f t="shared" ref="Q9:Q15" si="6">B9</f>
        <v>用途</v>
      </c>
      <c r="R9" s="1345" t="s">
        <v>70</v>
      </c>
      <c r="S9" s="1346">
        <f t="shared" si="0"/>
        <v>100</v>
      </c>
      <c r="T9" s="1345" t="s">
        <v>70</v>
      </c>
      <c r="U9" s="1346">
        <f t="shared" si="1"/>
        <v>95</v>
      </c>
      <c r="V9" s="1345" t="s">
        <v>70</v>
      </c>
      <c r="W9" s="1346">
        <f t="shared" si="2"/>
        <v>100</v>
      </c>
      <c r="X9" s="293"/>
      <c r="Y9" s="3610" t="s">
        <v>72</v>
      </c>
      <c r="Z9" s="2218" t="str">
        <f t="shared" ref="Z9:Z15" si="7">Q9</f>
        <v>用途</v>
      </c>
      <c r="AA9" s="1347">
        <f t="shared" si="3"/>
        <v>1</v>
      </c>
      <c r="AB9" s="1347">
        <f t="shared" si="4"/>
        <v>1.0526315789473684</v>
      </c>
      <c r="AC9" s="2343">
        <f t="shared" si="5"/>
        <v>1</v>
      </c>
    </row>
    <row r="10" spans="1:29" s="92" customFormat="1" ht="27">
      <c r="A10" s="150"/>
      <c r="B10" s="12" t="s">
        <v>125</v>
      </c>
      <c r="C10" s="1352" t="s">
        <v>283</v>
      </c>
      <c r="D10" s="429">
        <v>100</v>
      </c>
      <c r="E10" s="1352" t="s">
        <v>284</v>
      </c>
      <c r="F10" s="429">
        <f>SUMIF(66:66,E10,67:67)-SUMIF(66:66,C10,67:67)+100</f>
        <v>99</v>
      </c>
      <c r="G10" s="1353" t="s">
        <v>285</v>
      </c>
      <c r="H10" s="429">
        <f>SUMIF(66:66,G10,67:67)-SUMIF(66:66,C10,67:67)+100</f>
        <v>98</v>
      </c>
      <c r="I10" s="1352" t="s">
        <v>286</v>
      </c>
      <c r="J10" s="429">
        <f>SUMIF(66:66,I10,67:67)-SUMIF(66:66,C10,67:67)+100</f>
        <v>97</v>
      </c>
      <c r="K10" s="958">
        <v>1</v>
      </c>
      <c r="L10" s="2305"/>
      <c r="M10" s="2306"/>
      <c r="N10" s="2306"/>
      <c r="O10" s="2306"/>
      <c r="P10" s="3792"/>
      <c r="Q10" s="2219" t="str">
        <f t="shared" si="6"/>
        <v>土地使用年限（年）</v>
      </c>
      <c r="R10" s="1345" t="s">
        <v>70</v>
      </c>
      <c r="S10" s="1346">
        <f t="shared" si="0"/>
        <v>99</v>
      </c>
      <c r="T10" s="1345" t="s">
        <v>70</v>
      </c>
      <c r="U10" s="1346">
        <f t="shared" si="1"/>
        <v>98</v>
      </c>
      <c r="V10" s="1345" t="s">
        <v>70</v>
      </c>
      <c r="W10" s="1346">
        <f t="shared" si="2"/>
        <v>97</v>
      </c>
      <c r="X10" s="293"/>
      <c r="Y10" s="3610"/>
      <c r="Z10" s="2218" t="str">
        <f t="shared" si="7"/>
        <v>土地使用年限（年）</v>
      </c>
      <c r="AA10" s="1347">
        <f t="shared" si="3"/>
        <v>1.0101010101010102</v>
      </c>
      <c r="AB10" s="1347">
        <f t="shared" si="4"/>
        <v>1.0204081632653061</v>
      </c>
      <c r="AC10" s="2343">
        <f t="shared" si="5"/>
        <v>1.0309278350515463</v>
      </c>
    </row>
    <row r="11" spans="1:29" ht="15">
      <c r="A11" s="151"/>
      <c r="B11" s="12" t="s">
        <v>98</v>
      </c>
      <c r="C11" s="775">
        <v>1.5</v>
      </c>
      <c r="D11" s="429">
        <v>100</v>
      </c>
      <c r="E11" s="775">
        <v>2</v>
      </c>
      <c r="F11" s="429">
        <f>LOOKUP(E11,69:69,70:70)-LOOKUP(C11,69:69,70:70)+100</f>
        <v>97</v>
      </c>
      <c r="G11" s="776">
        <v>3.5</v>
      </c>
      <c r="H11" s="429">
        <f>LOOKUP(G11,69:69,70:70)-LOOKUP(C11,69:69,70:70)+100</f>
        <v>94</v>
      </c>
      <c r="I11" s="775">
        <v>5</v>
      </c>
      <c r="J11" s="429">
        <f>LOOKUP(I11,69:69,70:70)-LOOKUP(C11,69:69,70:70)+100</f>
        <v>91</v>
      </c>
      <c r="K11" s="958">
        <v>3</v>
      </c>
      <c r="L11" s="2307"/>
      <c r="M11" s="2303"/>
      <c r="N11" s="2303"/>
      <c r="O11" s="2303"/>
      <c r="P11" s="3792"/>
      <c r="Q11" s="2219" t="str">
        <f t="shared" si="6"/>
        <v>容积率</v>
      </c>
      <c r="R11" s="1345" t="s">
        <v>70</v>
      </c>
      <c r="S11" s="1346">
        <f t="shared" si="0"/>
        <v>97</v>
      </c>
      <c r="T11" s="1345" t="s">
        <v>70</v>
      </c>
      <c r="U11" s="1346">
        <f t="shared" si="1"/>
        <v>94</v>
      </c>
      <c r="V11" s="1345" t="s">
        <v>70</v>
      </c>
      <c r="W11" s="1346">
        <f t="shared" si="2"/>
        <v>91</v>
      </c>
      <c r="X11" s="293"/>
      <c r="Y11" s="3610"/>
      <c r="Z11" s="2218" t="str">
        <f t="shared" si="7"/>
        <v>容积率</v>
      </c>
      <c r="AA11" s="1347">
        <f t="shared" si="3"/>
        <v>1.0309278350515463</v>
      </c>
      <c r="AB11" s="1347">
        <f t="shared" si="4"/>
        <v>1.0638297872340425</v>
      </c>
      <c r="AC11" s="2343">
        <f t="shared" si="5"/>
        <v>1.098901098901099</v>
      </c>
    </row>
    <row r="12" spans="1:29" s="40" customFormat="1" ht="14.25">
      <c r="A12" s="1033"/>
      <c r="B12" s="1034">
        <v>111</v>
      </c>
      <c r="C12" s="1027">
        <v>111</v>
      </c>
      <c r="D12" s="779">
        <v>100</v>
      </c>
      <c r="E12" s="1027">
        <v>111</v>
      </c>
      <c r="F12" s="429">
        <f>SUMIF(71:71,E12,72:72)-SUMIF(71:71,C12,72:72)+100</f>
        <v>100</v>
      </c>
      <c r="G12" s="1406">
        <v>111</v>
      </c>
      <c r="H12" s="429">
        <f>SUMIF(71:71,G12,72:72)-SUMIF(71:71,C12,72:72)+100</f>
        <v>100</v>
      </c>
      <c r="I12" s="1027">
        <v>111</v>
      </c>
      <c r="J12" s="429">
        <f>SUMIF(71:71,I12,72:72)-SUMIF(71:71,C12,72:72)+100</f>
        <v>100</v>
      </c>
      <c r="K12" s="188"/>
      <c r="L12" s="2304"/>
      <c r="M12" s="2266"/>
      <c r="N12" s="2266"/>
      <c r="O12" s="2266"/>
      <c r="P12" s="3792"/>
      <c r="Q12" s="2219">
        <f t="shared" si="6"/>
        <v>111</v>
      </c>
      <c r="R12" s="1345" t="s">
        <v>70</v>
      </c>
      <c r="S12" s="1346">
        <f t="shared" si="0"/>
        <v>100</v>
      </c>
      <c r="T12" s="1345" t="s">
        <v>70</v>
      </c>
      <c r="U12" s="1346">
        <f t="shared" si="1"/>
        <v>100</v>
      </c>
      <c r="V12" s="1345" t="s">
        <v>70</v>
      </c>
      <c r="W12" s="1346">
        <f t="shared" si="2"/>
        <v>100</v>
      </c>
      <c r="X12" s="293"/>
      <c r="Y12" s="3610"/>
      <c r="Z12" s="2218">
        <f t="shared" si="7"/>
        <v>111</v>
      </c>
      <c r="AA12" s="1347">
        <f>D12/F12</f>
        <v>1</v>
      </c>
      <c r="AB12" s="1347">
        <f>D12/H12</f>
        <v>1</v>
      </c>
      <c r="AC12" s="2343">
        <f>D12/J12</f>
        <v>1</v>
      </c>
    </row>
    <row r="13" spans="1:29" ht="14.25">
      <c r="A13" s="151"/>
      <c r="B13" s="1034">
        <v>111</v>
      </c>
      <c r="C13" s="93">
        <v>111</v>
      </c>
      <c r="D13" s="781">
        <v>100</v>
      </c>
      <c r="E13" s="1027">
        <v>111</v>
      </c>
      <c r="F13" s="429">
        <f>SUMIF(73:73,E13,74:74)-SUMIF(73:73,C13,74:74)+100</f>
        <v>100</v>
      </c>
      <c r="G13" s="1406">
        <v>111</v>
      </c>
      <c r="H13" s="781">
        <f>SUMIF(73:73,G13,74:74)-SUMIF(73:73,C13,74:74)+100</f>
        <v>100</v>
      </c>
      <c r="I13" s="1027">
        <v>111</v>
      </c>
      <c r="J13" s="781">
        <f>SUMIF(73:73,I13,74:74)-SUMIF(73:73,C13,74:74)+100</f>
        <v>100</v>
      </c>
      <c r="K13" s="188"/>
      <c r="L13" s="2308"/>
      <c r="M13" s="2303"/>
      <c r="N13" s="2303"/>
      <c r="O13" s="2303"/>
      <c r="P13" s="3792"/>
      <c r="Q13" s="2219">
        <f t="shared" si="6"/>
        <v>111</v>
      </c>
      <c r="R13" s="1345" t="s">
        <v>70</v>
      </c>
      <c r="S13" s="1346">
        <f t="shared" si="0"/>
        <v>100</v>
      </c>
      <c r="T13" s="1345" t="s">
        <v>70</v>
      </c>
      <c r="U13" s="1346">
        <f t="shared" si="1"/>
        <v>100</v>
      </c>
      <c r="V13" s="1345" t="s">
        <v>70</v>
      </c>
      <c r="W13" s="1346">
        <f t="shared" si="2"/>
        <v>100</v>
      </c>
      <c r="X13" s="293"/>
      <c r="Y13" s="3610"/>
      <c r="Z13" s="2218">
        <f t="shared" si="7"/>
        <v>111</v>
      </c>
      <c r="AA13" s="1347">
        <f t="shared" si="3"/>
        <v>1</v>
      </c>
      <c r="AB13" s="1347">
        <f t="shared" si="4"/>
        <v>1</v>
      </c>
      <c r="AC13" s="2343">
        <f t="shared" si="5"/>
        <v>1</v>
      </c>
    </row>
    <row r="14" spans="1:29" ht="15" thickBot="1">
      <c r="A14" s="154"/>
      <c r="B14" s="1035">
        <v>111</v>
      </c>
      <c r="C14" s="94">
        <v>111</v>
      </c>
      <c r="D14" s="784">
        <v>100</v>
      </c>
      <c r="E14" s="1407">
        <v>111</v>
      </c>
      <c r="F14" s="784">
        <f>SUMIF(75:75,E14,76:76)-SUMIF(75:75,C14,76:76)+100</f>
        <v>100</v>
      </c>
      <c r="G14" s="1406">
        <v>111</v>
      </c>
      <c r="H14" s="784">
        <f>SUMIF(75:75,G14,76:76)-SUMIF(75:75,C14,76:76)+100</f>
        <v>100</v>
      </c>
      <c r="I14" s="1027">
        <v>111</v>
      </c>
      <c r="J14" s="784">
        <f>SUMIF(75:75,I14,76:76)-SUMIF(75:75,C14,76:76)+100</f>
        <v>100</v>
      </c>
      <c r="K14" s="188"/>
      <c r="L14" s="2308"/>
      <c r="M14" s="2303"/>
      <c r="N14" s="2303"/>
      <c r="O14" s="2303"/>
      <c r="P14" s="3792"/>
      <c r="Q14" s="2219">
        <f t="shared" si="6"/>
        <v>111</v>
      </c>
      <c r="R14" s="1345" t="s">
        <v>70</v>
      </c>
      <c r="S14" s="1346">
        <f t="shared" si="0"/>
        <v>100</v>
      </c>
      <c r="T14" s="1345" t="s">
        <v>70</v>
      </c>
      <c r="U14" s="1346">
        <f t="shared" si="1"/>
        <v>100</v>
      </c>
      <c r="V14" s="1345" t="s">
        <v>70</v>
      </c>
      <c r="W14" s="1346">
        <f t="shared" si="2"/>
        <v>100</v>
      </c>
      <c r="X14" s="293"/>
      <c r="Y14" s="3610"/>
      <c r="Z14" s="2218">
        <f t="shared" si="7"/>
        <v>111</v>
      </c>
      <c r="AA14" s="1347">
        <f t="shared" si="3"/>
        <v>1</v>
      </c>
      <c r="AB14" s="1347">
        <f t="shared" si="4"/>
        <v>1</v>
      </c>
      <c r="AC14" s="2343">
        <f t="shared" si="5"/>
        <v>1</v>
      </c>
    </row>
    <row r="15" spans="1:29" ht="15">
      <c r="A15" s="155" t="s">
        <v>74</v>
      </c>
      <c r="B15" s="1036" t="s">
        <v>211</v>
      </c>
      <c r="C15" s="208">
        <f>估价对象房地状况!C5</f>
        <v>0</v>
      </c>
      <c r="D15" s="787">
        <v>100</v>
      </c>
      <c r="E15" s="96"/>
      <c r="F15" s="787">
        <f>SUMIF(77:77,E16,78:78)-SUMIF(77:77,C16,78:78)+100</f>
        <v>101.5</v>
      </c>
      <c r="G15" s="95"/>
      <c r="H15" s="787">
        <f>SUMIF(77:77,G16,78:78)-SUMIF(77:77,C16,78:78)+100</f>
        <v>103</v>
      </c>
      <c r="I15" s="95"/>
      <c r="J15" s="787">
        <f>SUMIF(77:77,I16,78:78)-SUMIF(77:77,C16,78:78)+100</f>
        <v>97</v>
      </c>
      <c r="K15" s="960">
        <v>1.5</v>
      </c>
      <c r="L15" s="2308"/>
      <c r="M15" s="2303"/>
      <c r="N15" s="2303"/>
      <c r="O15" s="2303"/>
      <c r="P15" s="3819" t="s">
        <v>74</v>
      </c>
      <c r="Q15" s="2226" t="str">
        <f t="shared" si="6"/>
        <v>办公集聚程度</v>
      </c>
      <c r="R15" s="1355" t="s">
        <v>70</v>
      </c>
      <c r="S15" s="1356">
        <f t="shared" si="0"/>
        <v>101.5</v>
      </c>
      <c r="T15" s="1355" t="s">
        <v>70</v>
      </c>
      <c r="U15" s="1356">
        <f t="shared" si="1"/>
        <v>103</v>
      </c>
      <c r="V15" s="1355" t="s">
        <v>70</v>
      </c>
      <c r="W15" s="1356">
        <f t="shared" si="2"/>
        <v>97</v>
      </c>
      <c r="X15" s="2228"/>
      <c r="Y15" s="3812" t="s">
        <v>74</v>
      </c>
      <c r="Z15" s="2227" t="str">
        <f t="shared" si="7"/>
        <v>办公集聚程度</v>
      </c>
      <c r="AA15" s="1358">
        <f t="shared" si="3"/>
        <v>0.98522167487684731</v>
      </c>
      <c r="AB15" s="1358">
        <f t="shared" si="4"/>
        <v>0.970873786407767</v>
      </c>
      <c r="AC15" s="2344">
        <f t="shared" si="5"/>
        <v>1.0309278350515463</v>
      </c>
    </row>
    <row r="16" spans="1:29" ht="14.25">
      <c r="A16" s="151"/>
      <c r="B16" s="209"/>
      <c r="C16" s="192" t="s">
        <v>124</v>
      </c>
      <c r="D16" s="794"/>
      <c r="E16" s="97" t="s">
        <v>123</v>
      </c>
      <c r="F16" s="794"/>
      <c r="G16" s="192" t="s">
        <v>122</v>
      </c>
      <c r="H16" s="796"/>
      <c r="I16" s="97" t="s">
        <v>184</v>
      </c>
      <c r="J16" s="794"/>
      <c r="K16" s="189"/>
      <c r="L16" s="2308"/>
      <c r="M16" s="2303"/>
      <c r="N16" s="2303"/>
      <c r="O16" s="2303"/>
      <c r="P16" s="3820"/>
      <c r="Q16" s="2226"/>
      <c r="R16" s="1355"/>
      <c r="S16" s="1356"/>
      <c r="T16" s="1355"/>
      <c r="U16" s="1356"/>
      <c r="V16" s="1355"/>
      <c r="W16" s="1356"/>
      <c r="X16" s="2228"/>
      <c r="Y16" s="3813"/>
      <c r="Z16" s="2227"/>
      <c r="AA16" s="1358">
        <v>1</v>
      </c>
      <c r="AB16" s="1358">
        <v>1</v>
      </c>
      <c r="AC16" s="2344">
        <v>1</v>
      </c>
    </row>
    <row r="17" spans="1:29" ht="135">
      <c r="A17" s="151"/>
      <c r="B17" s="1037" t="s">
        <v>77</v>
      </c>
      <c r="C17" s="210" t="str">
        <f>估价对象房地状况!C6</f>
        <v>估价对象周边有938、香河1路等公交线路，大香线等城市次干道，公共交通通达情况一般；项目自身有停车位、停车便捷程度一般，综合评价交通便捷度一般</v>
      </c>
      <c r="D17" s="796">
        <v>100</v>
      </c>
      <c r="E17" s="101"/>
      <c r="F17" s="796">
        <f>SUMIF(79:79,E18,80:80)-SUMIF(79:79,C18,80:80)+100</f>
        <v>94</v>
      </c>
      <c r="G17" s="100"/>
      <c r="H17" s="801">
        <f>SUMIF(79:79,G18,80:80)-SUMIF(79:79,C18,80:80)+100</f>
        <v>103</v>
      </c>
      <c r="I17" s="100"/>
      <c r="J17" s="801">
        <f>SUMIF(79:79,I18,80:80)-SUMIF(79:79,C18,80:80)+100</f>
        <v>97</v>
      </c>
      <c r="K17" s="960">
        <v>3</v>
      </c>
      <c r="L17" s="2308"/>
      <c r="M17" s="2303"/>
      <c r="N17" s="2303"/>
      <c r="O17" s="2303"/>
      <c r="P17" s="3820"/>
      <c r="Q17" s="2226" t="str">
        <f>B17</f>
        <v>交通便捷度</v>
      </c>
      <c r="R17" s="1355" t="s">
        <v>70</v>
      </c>
      <c r="S17" s="1356">
        <f>F17</f>
        <v>94</v>
      </c>
      <c r="T17" s="1355" t="s">
        <v>70</v>
      </c>
      <c r="U17" s="1356">
        <f>H17</f>
        <v>103</v>
      </c>
      <c r="V17" s="1355" t="s">
        <v>70</v>
      </c>
      <c r="W17" s="1356">
        <f>J17</f>
        <v>97</v>
      </c>
      <c r="X17" s="2228"/>
      <c r="Y17" s="3813"/>
      <c r="Z17" s="2227" t="str">
        <f>Q17</f>
        <v>交通便捷度</v>
      </c>
      <c r="AA17" s="1358">
        <f t="shared" si="3"/>
        <v>1.0638297872340425</v>
      </c>
      <c r="AB17" s="1358">
        <f t="shared" si="4"/>
        <v>0.970873786407767</v>
      </c>
      <c r="AC17" s="2344">
        <f t="shared" si="5"/>
        <v>1.0309278350515463</v>
      </c>
    </row>
    <row r="18" spans="1:29" ht="14.25">
      <c r="A18" s="151"/>
      <c r="B18" s="1038"/>
      <c r="C18" s="193" t="s">
        <v>124</v>
      </c>
      <c r="D18" s="796"/>
      <c r="E18" s="104" t="s">
        <v>184</v>
      </c>
      <c r="F18" s="796"/>
      <c r="G18" s="103" t="s">
        <v>123</v>
      </c>
      <c r="H18" s="794"/>
      <c r="I18" s="103" t="s">
        <v>153</v>
      </c>
      <c r="J18" s="794"/>
      <c r="K18" s="189"/>
      <c r="L18" s="2308"/>
      <c r="M18" s="2303"/>
      <c r="N18" s="2303"/>
      <c r="O18" s="2303"/>
      <c r="P18" s="3820"/>
      <c r="Q18" s="2226"/>
      <c r="R18" s="1355"/>
      <c r="S18" s="1356"/>
      <c r="T18" s="1355"/>
      <c r="U18" s="1356"/>
      <c r="V18" s="1355"/>
      <c r="W18" s="1356"/>
      <c r="X18" s="2228"/>
      <c r="Y18" s="3813"/>
      <c r="Z18" s="2227"/>
      <c r="AA18" s="1358">
        <v>1</v>
      </c>
      <c r="AB18" s="1358">
        <v>1</v>
      </c>
      <c r="AC18" s="2344">
        <v>1</v>
      </c>
    </row>
    <row r="19" spans="1:29" ht="67.5">
      <c r="A19" s="151"/>
      <c r="B19" s="1037" t="s">
        <v>3063</v>
      </c>
      <c r="C19" s="210" t="str">
        <f>估价对象房地状况!C7</f>
        <v>估价对象所在区域公共配套，有银行、医院、邮局等，设施齐备度较好</v>
      </c>
      <c r="D19" s="801">
        <v>100</v>
      </c>
      <c r="E19" s="106"/>
      <c r="F19" s="801">
        <f>SUMIF(81:81,E20,82:82)-SUMIF(81:81,C20,82:82)+100</f>
        <v>97.5</v>
      </c>
      <c r="G19" s="105"/>
      <c r="H19" s="796">
        <f>SUMIF(81:81,G20,82:82)-SUMIF(81:81,C20,82:82)+100</f>
        <v>102.5</v>
      </c>
      <c r="I19" s="105"/>
      <c r="J19" s="796">
        <f>SUMIF(81:81,I20,82:82)-SUMIF(81:81,C20,82:82)+100</f>
        <v>95</v>
      </c>
      <c r="K19" s="960">
        <v>2.5</v>
      </c>
      <c r="L19" s="2308"/>
      <c r="M19" s="2303"/>
      <c r="N19" s="2303"/>
      <c r="O19" s="2303"/>
      <c r="P19" s="3820"/>
      <c r="Q19" s="2226" t="str">
        <f>B19</f>
        <v>公共配套设施</v>
      </c>
      <c r="R19" s="1355" t="s">
        <v>70</v>
      </c>
      <c r="S19" s="1356">
        <f>F19</f>
        <v>97.5</v>
      </c>
      <c r="T19" s="1355" t="s">
        <v>70</v>
      </c>
      <c r="U19" s="1356">
        <f>H19</f>
        <v>102.5</v>
      </c>
      <c r="V19" s="1355" t="s">
        <v>70</v>
      </c>
      <c r="W19" s="1356">
        <f>J19</f>
        <v>95</v>
      </c>
      <c r="X19" s="2228"/>
      <c r="Y19" s="3813"/>
      <c r="Z19" s="2227" t="str">
        <f>Q19</f>
        <v>公共配套设施</v>
      </c>
      <c r="AA19" s="1358">
        <f t="shared" si="3"/>
        <v>1.0256410256410255</v>
      </c>
      <c r="AB19" s="1358">
        <f t="shared" si="4"/>
        <v>0.97560975609756095</v>
      </c>
      <c r="AC19" s="2344">
        <f t="shared" si="5"/>
        <v>1.0526315789473684</v>
      </c>
    </row>
    <row r="20" spans="1:29" ht="14.25">
      <c r="A20" s="151"/>
      <c r="B20" s="1038"/>
      <c r="C20" s="192" t="s">
        <v>123</v>
      </c>
      <c r="D20" s="794"/>
      <c r="E20" s="99" t="s">
        <v>124</v>
      </c>
      <c r="F20" s="794"/>
      <c r="G20" s="98" t="s">
        <v>122</v>
      </c>
      <c r="H20" s="794"/>
      <c r="I20" s="98" t="s">
        <v>153</v>
      </c>
      <c r="J20" s="794"/>
      <c r="K20" s="189"/>
      <c r="L20" s="2308"/>
      <c r="M20" s="2303"/>
      <c r="N20" s="2303"/>
      <c r="O20" s="2303"/>
      <c r="P20" s="3820"/>
      <c r="Q20" s="2226"/>
      <c r="R20" s="1355"/>
      <c r="S20" s="1356"/>
      <c r="T20" s="1355"/>
      <c r="U20" s="1356"/>
      <c r="V20" s="1355"/>
      <c r="W20" s="1356"/>
      <c r="X20" s="2228"/>
      <c r="Y20" s="3813"/>
      <c r="Z20" s="2227"/>
      <c r="AA20" s="1358">
        <v>1</v>
      </c>
      <c r="AB20" s="1358">
        <v>1</v>
      </c>
      <c r="AC20" s="2344">
        <v>1</v>
      </c>
    </row>
    <row r="21" spans="1:29" ht="40.5">
      <c r="A21" s="151"/>
      <c r="B21" s="1039" t="s">
        <v>3064</v>
      </c>
      <c r="C21" s="210" t="str">
        <f>估价对象房地状况!C8</f>
        <v>估价对象所在区域基础设施水平七通一平</v>
      </c>
      <c r="D21" s="796">
        <v>100</v>
      </c>
      <c r="E21" s="106"/>
      <c r="F21" s="801">
        <f>SUMIF(83:83,E22,84:84)-SUMIF(83:83,C22,84:84)+100</f>
        <v>98.5</v>
      </c>
      <c r="G21" s="105"/>
      <c r="H21" s="796">
        <f>SUMIF(83:83,G22,84:84)-SUMIF(83:83,C22,84:84)+100</f>
        <v>97</v>
      </c>
      <c r="I21" s="105"/>
      <c r="J21" s="796">
        <f>SUMIF(83:83,I22,84:84)-SUMIF(83:83,C22,84:84)+100</f>
        <v>95.5</v>
      </c>
      <c r="K21" s="960">
        <v>1.5</v>
      </c>
      <c r="L21" s="2308"/>
      <c r="M21" s="2303"/>
      <c r="N21" s="2303"/>
      <c r="O21" s="2303"/>
      <c r="P21" s="3820"/>
      <c r="Q21" s="2762" t="str">
        <f>B21</f>
        <v>基础设施水平</v>
      </c>
      <c r="R21" s="1355" t="s">
        <v>70</v>
      </c>
      <c r="S21" s="1356">
        <f>F21</f>
        <v>98.5</v>
      </c>
      <c r="T21" s="1355" t="s">
        <v>70</v>
      </c>
      <c r="U21" s="1356">
        <f>H21</f>
        <v>97</v>
      </c>
      <c r="V21" s="1355" t="s">
        <v>70</v>
      </c>
      <c r="W21" s="1356">
        <f>J21</f>
        <v>95.5</v>
      </c>
      <c r="X21" s="2764"/>
      <c r="Y21" s="3813"/>
      <c r="Z21" s="2763" t="str">
        <f>Q21</f>
        <v>基础设施水平</v>
      </c>
      <c r="AA21" s="1358">
        <f t="shared" ref="AA21" si="8">D21/F21</f>
        <v>1.015228426395939</v>
      </c>
      <c r="AB21" s="1358">
        <f t="shared" ref="AB21" si="9">D21/H21</f>
        <v>1.0309278350515463</v>
      </c>
      <c r="AC21" s="2344">
        <f t="shared" ref="AC21" si="10">D21/J21</f>
        <v>1.0471204188481675</v>
      </c>
    </row>
    <row r="22" spans="1:29" ht="14.25">
      <c r="A22" s="151"/>
      <c r="B22" s="1039"/>
      <c r="C22" s="193" t="s">
        <v>56</v>
      </c>
      <c r="D22" s="794"/>
      <c r="E22" s="97" t="s">
        <v>161</v>
      </c>
      <c r="F22" s="794"/>
      <c r="G22" s="192" t="s">
        <v>162</v>
      </c>
      <c r="H22" s="794"/>
      <c r="I22" s="192" t="s">
        <v>258</v>
      </c>
      <c r="J22" s="794"/>
      <c r="K22" s="2782"/>
      <c r="L22" s="2308"/>
      <c r="M22" s="2303"/>
      <c r="N22" s="2303"/>
      <c r="O22" s="2303"/>
      <c r="P22" s="3820"/>
      <c r="Q22" s="2762"/>
      <c r="R22" s="1355"/>
      <c r="S22" s="1356"/>
      <c r="T22" s="1355"/>
      <c r="U22" s="1356"/>
      <c r="V22" s="1355"/>
      <c r="W22" s="1356"/>
      <c r="X22" s="2764"/>
      <c r="Y22" s="3813"/>
      <c r="Z22" s="2763"/>
      <c r="AA22" s="1358">
        <v>1</v>
      </c>
      <c r="AB22" s="1358">
        <v>1</v>
      </c>
      <c r="AC22" s="2344">
        <v>1</v>
      </c>
    </row>
    <row r="23" spans="1:29" ht="67.5">
      <c r="A23" s="151"/>
      <c r="B23" s="1037" t="s">
        <v>212</v>
      </c>
      <c r="C23" s="210" t="str">
        <f>估价对象房地状况!C9</f>
        <v>区域自然环境：无；人文环境：亚太中医哮喘病研究所；综合评价环境状况一般</v>
      </c>
      <c r="D23" s="796">
        <v>100</v>
      </c>
      <c r="E23" s="101"/>
      <c r="F23" s="796">
        <f>SUMIF(85:85,E24,86:86)-SUMIF(85:85,C24,86:86)+100</f>
        <v>98.5</v>
      </c>
      <c r="G23" s="100"/>
      <c r="H23" s="796">
        <f>SUMIF(85:85,G24,86:86)-SUMIF(85:85,C24,86:86)+100</f>
        <v>103</v>
      </c>
      <c r="I23" s="100"/>
      <c r="J23" s="796">
        <f>SUMIF(85:85,I24,86:86)-SUMIF(85:85,C24,86:86)+100</f>
        <v>101.5</v>
      </c>
      <c r="K23" s="960">
        <v>1.5</v>
      </c>
      <c r="L23" s="2308"/>
      <c r="M23" s="2303"/>
      <c r="N23" s="2303"/>
      <c r="O23" s="2303"/>
      <c r="P23" s="3820"/>
      <c r="Q23" s="2226" t="str">
        <f>B23</f>
        <v>环境质量</v>
      </c>
      <c r="R23" s="1355" t="s">
        <v>70</v>
      </c>
      <c r="S23" s="1356">
        <f>F23</f>
        <v>98.5</v>
      </c>
      <c r="T23" s="1355" t="s">
        <v>70</v>
      </c>
      <c r="U23" s="1356">
        <f>H23</f>
        <v>103</v>
      </c>
      <c r="V23" s="1355" t="s">
        <v>70</v>
      </c>
      <c r="W23" s="1356">
        <f>J23</f>
        <v>101.5</v>
      </c>
      <c r="X23" s="2228"/>
      <c r="Y23" s="3813"/>
      <c r="Z23" s="2227" t="str">
        <f>Q23</f>
        <v>环境质量</v>
      </c>
      <c r="AA23" s="1358">
        <f t="shared" si="3"/>
        <v>1.015228426395939</v>
      </c>
      <c r="AB23" s="1358">
        <f t="shared" si="4"/>
        <v>0.970873786407767</v>
      </c>
      <c r="AC23" s="2344">
        <f t="shared" si="5"/>
        <v>0.98522167487684731</v>
      </c>
    </row>
    <row r="24" spans="1:29" ht="14.25">
      <c r="A24" s="151"/>
      <c r="B24" s="1039"/>
      <c r="C24" s="192" t="s">
        <v>124</v>
      </c>
      <c r="D24" s="794"/>
      <c r="E24" s="99" t="s">
        <v>153</v>
      </c>
      <c r="F24" s="794"/>
      <c r="G24" s="98" t="s">
        <v>122</v>
      </c>
      <c r="H24" s="794"/>
      <c r="I24" s="98" t="s">
        <v>123</v>
      </c>
      <c r="J24" s="794"/>
      <c r="K24" s="189"/>
      <c r="L24" s="2308"/>
      <c r="M24" s="2303"/>
      <c r="N24" s="2303"/>
      <c r="O24" s="2303"/>
      <c r="P24" s="3820"/>
      <c r="Q24" s="2226"/>
      <c r="R24" s="1355"/>
      <c r="S24" s="1356"/>
      <c r="T24" s="1355"/>
      <c r="U24" s="1356"/>
      <c r="V24" s="1355"/>
      <c r="W24" s="1356"/>
      <c r="X24" s="2228"/>
      <c r="Y24" s="3813"/>
      <c r="Z24" s="2227"/>
      <c r="AA24" s="1358">
        <v>1</v>
      </c>
      <c r="AB24" s="1358">
        <v>1</v>
      </c>
      <c r="AC24" s="2344">
        <v>1</v>
      </c>
    </row>
    <row r="25" spans="1:29" ht="27">
      <c r="A25" s="146"/>
      <c r="B25" s="1037" t="s">
        <v>213</v>
      </c>
      <c r="C25" s="194" t="s">
        <v>230</v>
      </c>
      <c r="D25" s="781">
        <v>100</v>
      </c>
      <c r="E25" s="93"/>
      <c r="F25" s="781">
        <f>SUMIF(87:87,E26,88:88)-SUMIF(87:87,C26,88:88)+100</f>
        <v>98.5</v>
      </c>
      <c r="G25" s="194"/>
      <c r="H25" s="781">
        <f>SUMIF(87:87,G26,88:88)-SUMIF(87:87,C26,88:88)+100</f>
        <v>97</v>
      </c>
      <c r="I25" s="93"/>
      <c r="J25" s="781">
        <f>SUMIF(87:87,I26,88:88)-SUMIF(87:87,C26,88:88)+100</f>
        <v>95.5</v>
      </c>
      <c r="K25" s="960">
        <v>1.5</v>
      </c>
      <c r="L25" s="2308"/>
      <c r="M25" s="2303"/>
      <c r="N25" s="2303"/>
      <c r="O25" s="2303"/>
      <c r="P25" s="3820"/>
      <c r="Q25" s="2226" t="str">
        <f>B25</f>
        <v>毗邻道路的类型与等级</v>
      </c>
      <c r="R25" s="1355" t="s">
        <v>70</v>
      </c>
      <c r="S25" s="1356">
        <f>F25</f>
        <v>98.5</v>
      </c>
      <c r="T25" s="1355" t="s">
        <v>70</v>
      </c>
      <c r="U25" s="1356">
        <f>H25</f>
        <v>97</v>
      </c>
      <c r="V25" s="1355" t="s">
        <v>70</v>
      </c>
      <c r="W25" s="1356">
        <f>J25</f>
        <v>95.5</v>
      </c>
      <c r="X25" s="2228"/>
      <c r="Y25" s="3813"/>
      <c r="Z25" s="2227" t="str">
        <f>Q25</f>
        <v>毗邻道路的类型与等级</v>
      </c>
      <c r="AA25" s="1358">
        <f t="shared" si="3"/>
        <v>1.015228426395939</v>
      </c>
      <c r="AB25" s="1358">
        <f t="shared" si="4"/>
        <v>1.0309278350515463</v>
      </c>
      <c r="AC25" s="2344">
        <f t="shared" si="5"/>
        <v>1.0471204188481675</v>
      </c>
    </row>
    <row r="26" spans="1:29" ht="14.25">
      <c r="A26" s="146"/>
      <c r="B26" s="1038"/>
      <c r="C26" s="195" t="s">
        <v>224</v>
      </c>
      <c r="D26" s="781"/>
      <c r="E26" s="182" t="s">
        <v>226</v>
      </c>
      <c r="F26" s="781"/>
      <c r="G26" s="195" t="s">
        <v>257</v>
      </c>
      <c r="H26" s="781"/>
      <c r="I26" s="182" t="s">
        <v>265</v>
      </c>
      <c r="J26" s="781"/>
      <c r="K26" s="189"/>
      <c r="L26" s="2308"/>
      <c r="M26" s="2303"/>
      <c r="N26" s="2303"/>
      <c r="O26" s="2303"/>
      <c r="P26" s="3820"/>
      <c r="Q26" s="2226"/>
      <c r="R26" s="1355"/>
      <c r="S26" s="1356"/>
      <c r="T26" s="1355"/>
      <c r="U26" s="1356"/>
      <c r="V26" s="1355"/>
      <c r="W26" s="1356"/>
      <c r="X26" s="2228"/>
      <c r="Y26" s="3813"/>
      <c r="Z26" s="2227"/>
      <c r="AA26" s="1358">
        <v>1</v>
      </c>
      <c r="AB26" s="1358">
        <v>1</v>
      </c>
      <c r="AC26" s="2344">
        <v>1</v>
      </c>
    </row>
    <row r="27" spans="1:29" ht="15">
      <c r="A27" s="151"/>
      <c r="B27" s="1038" t="s">
        <v>1370</v>
      </c>
      <c r="C27" s="195" t="s">
        <v>190</v>
      </c>
      <c r="D27" s="781">
        <v>100</v>
      </c>
      <c r="E27" s="182" t="s">
        <v>191</v>
      </c>
      <c r="F27" s="781">
        <f>SUMIF(89:89,E27,90:90)-SUMIF(89:89,C27,90:90)+100</f>
        <v>94</v>
      </c>
      <c r="G27" s="195" t="s">
        <v>129</v>
      </c>
      <c r="H27" s="781">
        <f>SUMIF(89:89,G27,90:90)-SUMIF(89:89,C27,90:90)+100</f>
        <v>97</v>
      </c>
      <c r="I27" s="182" t="s">
        <v>190</v>
      </c>
      <c r="J27" s="781">
        <f>SUMIF(89:89,I27,90:90)-SUMIF(89:89,C27,90:90)+100</f>
        <v>100</v>
      </c>
      <c r="K27" s="958">
        <v>3</v>
      </c>
      <c r="L27" s="2308"/>
      <c r="M27" s="2303"/>
      <c r="N27" s="2303"/>
      <c r="O27" s="2303"/>
      <c r="P27" s="3820"/>
      <c r="Q27" s="2226" t="str">
        <f t="shared" ref="Q27:Q47" si="11">B27</f>
        <v>楼层</v>
      </c>
      <c r="R27" s="1355" t="s">
        <v>70</v>
      </c>
      <c r="S27" s="1356">
        <f>F27</f>
        <v>94</v>
      </c>
      <c r="T27" s="1355" t="s">
        <v>70</v>
      </c>
      <c r="U27" s="1356">
        <f>H27</f>
        <v>97</v>
      </c>
      <c r="V27" s="1355" t="s">
        <v>70</v>
      </c>
      <c r="W27" s="1356">
        <f>J27</f>
        <v>100</v>
      </c>
      <c r="X27" s="2228"/>
      <c r="Y27" s="3813"/>
      <c r="Z27" s="2227" t="str">
        <f>Q27</f>
        <v>楼层</v>
      </c>
      <c r="AA27" s="1358">
        <f t="shared" si="3"/>
        <v>1.0638297872340425</v>
      </c>
      <c r="AB27" s="1358">
        <f t="shared" si="4"/>
        <v>1.0309278350515463</v>
      </c>
      <c r="AC27" s="2344">
        <f t="shared" si="5"/>
        <v>1</v>
      </c>
    </row>
    <row r="28" spans="1:29" s="40" customFormat="1" ht="15">
      <c r="A28" s="1033"/>
      <c r="B28" s="1037" t="s">
        <v>214</v>
      </c>
      <c r="C28" s="1408" t="s">
        <v>297</v>
      </c>
      <c r="D28" s="808">
        <v>100</v>
      </c>
      <c r="E28" s="1390" t="s">
        <v>298</v>
      </c>
      <c r="F28" s="808">
        <f>SUMIF(91:91,E28,92:92)-SUMIF(91:91,C28,92:92)+100</f>
        <v>97</v>
      </c>
      <c r="G28" s="1408" t="s">
        <v>299</v>
      </c>
      <c r="H28" s="808">
        <f>SUMIF(91:91,G28,92:92)-SUMIF(91:91,C28,92:92)+100</f>
        <v>94</v>
      </c>
      <c r="I28" s="1390" t="s">
        <v>300</v>
      </c>
      <c r="J28" s="808">
        <f>SUMIF(91:91,I28,92:92)-SUMIF(91:91,C28,92:92)+100</f>
        <v>91</v>
      </c>
      <c r="K28" s="958">
        <v>3</v>
      </c>
      <c r="L28" s="2304"/>
      <c r="M28" s="2266"/>
      <c r="N28" s="2266"/>
      <c r="O28" s="2266"/>
      <c r="P28" s="3820"/>
      <c r="Q28" s="2219" t="str">
        <f t="shared" si="11"/>
        <v>朝向</v>
      </c>
      <c r="R28" s="1345" t="s">
        <v>70</v>
      </c>
      <c r="S28" s="1346">
        <f>F28</f>
        <v>97</v>
      </c>
      <c r="T28" s="1345" t="s">
        <v>70</v>
      </c>
      <c r="U28" s="1346">
        <f>H28</f>
        <v>94</v>
      </c>
      <c r="V28" s="1345" t="s">
        <v>70</v>
      </c>
      <c r="W28" s="1346">
        <f>J28</f>
        <v>91</v>
      </c>
      <c r="X28" s="293"/>
      <c r="Y28" s="3813"/>
      <c r="Z28" s="2218" t="str">
        <f>Q28</f>
        <v>朝向</v>
      </c>
      <c r="AA28" s="1358">
        <f>D28/F28</f>
        <v>1.0309278350515463</v>
      </c>
      <c r="AB28" s="1358">
        <f>D28/H28</f>
        <v>1.0638297872340425</v>
      </c>
      <c r="AC28" s="2344">
        <f>D28/J28</f>
        <v>1.098901098901099</v>
      </c>
    </row>
    <row r="29" spans="1:29" ht="14.25">
      <c r="A29" s="151"/>
      <c r="B29" s="1041">
        <v>111</v>
      </c>
      <c r="C29" s="194">
        <v>111</v>
      </c>
      <c r="D29" s="781">
        <v>100</v>
      </c>
      <c r="E29" s="1027">
        <v>111</v>
      </c>
      <c r="F29" s="781">
        <f>SUMIF(93:93,E29,94:94)-SUMIF(93:93,C29,94:94)+100</f>
        <v>100</v>
      </c>
      <c r="G29" s="1406">
        <v>111</v>
      </c>
      <c r="H29" s="781">
        <f>SUMIF(93:93,G29,94:94)-SUMIF(93:93,C29,94:94)+100</f>
        <v>100</v>
      </c>
      <c r="I29" s="1027">
        <v>111</v>
      </c>
      <c r="J29" s="781">
        <f>SUMIF(93:93,I29,94:94)-SUMIF(93:93,C29,94:94)+100</f>
        <v>100</v>
      </c>
      <c r="K29" s="188"/>
      <c r="L29" s="2308"/>
      <c r="M29" s="2303"/>
      <c r="N29" s="2303"/>
      <c r="O29" s="2303"/>
      <c r="P29" s="3820"/>
      <c r="Q29" s="2226">
        <f t="shared" si="11"/>
        <v>111</v>
      </c>
      <c r="R29" s="1355" t="s">
        <v>70</v>
      </c>
      <c r="S29" s="1356">
        <f t="shared" ref="S29:S47" si="12">F29</f>
        <v>100</v>
      </c>
      <c r="T29" s="1355" t="s">
        <v>70</v>
      </c>
      <c r="U29" s="1356">
        <f t="shared" ref="U29:U47" si="13">H29</f>
        <v>100</v>
      </c>
      <c r="V29" s="1355" t="s">
        <v>70</v>
      </c>
      <c r="W29" s="1356">
        <f t="shared" ref="W29:W47" si="14">J29</f>
        <v>100</v>
      </c>
      <c r="X29" s="2228"/>
      <c r="Y29" s="3813"/>
      <c r="Z29" s="2227">
        <f t="shared" ref="Z29:Z47" si="15">Q29</f>
        <v>111</v>
      </c>
      <c r="AA29" s="1358">
        <f t="shared" si="3"/>
        <v>1</v>
      </c>
      <c r="AB29" s="1358">
        <f t="shared" si="4"/>
        <v>1</v>
      </c>
      <c r="AC29" s="2344">
        <f t="shared" si="5"/>
        <v>1</v>
      </c>
    </row>
    <row r="30" spans="1:29" ht="14.25">
      <c r="A30" s="151"/>
      <c r="B30" s="1041">
        <v>111</v>
      </c>
      <c r="C30" s="194">
        <v>111</v>
      </c>
      <c r="D30" s="781">
        <v>100</v>
      </c>
      <c r="E30" s="1027">
        <v>111</v>
      </c>
      <c r="F30" s="781">
        <f>SUMIF(95:95,E30,96:96)-SUMIF(95:95,C30,96:96)+100</f>
        <v>100</v>
      </c>
      <c r="G30" s="1406">
        <v>111</v>
      </c>
      <c r="H30" s="781">
        <f>SUMIF(95:95,G30,96:96)-SUMIF(95:95,C30,96:96)+100</f>
        <v>100</v>
      </c>
      <c r="I30" s="1027">
        <v>111</v>
      </c>
      <c r="J30" s="781">
        <f>SUMIF(95:95,I30,96:96)-SUMIF(95:95,C30,96:96)+100</f>
        <v>100</v>
      </c>
      <c r="K30" s="188"/>
      <c r="L30" s="2308"/>
      <c r="M30" s="2303"/>
      <c r="N30" s="2303"/>
      <c r="O30" s="2303"/>
      <c r="P30" s="3820"/>
      <c r="Q30" s="2226">
        <f t="shared" si="11"/>
        <v>111</v>
      </c>
      <c r="R30" s="1355" t="s">
        <v>70</v>
      </c>
      <c r="S30" s="1356">
        <f t="shared" si="12"/>
        <v>100</v>
      </c>
      <c r="T30" s="1355" t="s">
        <v>70</v>
      </c>
      <c r="U30" s="1356">
        <f t="shared" si="13"/>
        <v>100</v>
      </c>
      <c r="V30" s="1355" t="s">
        <v>70</v>
      </c>
      <c r="W30" s="1356">
        <f t="shared" si="14"/>
        <v>100</v>
      </c>
      <c r="X30" s="2228"/>
      <c r="Y30" s="3813"/>
      <c r="Z30" s="2227">
        <f t="shared" si="15"/>
        <v>111</v>
      </c>
      <c r="AA30" s="1358">
        <f t="shared" si="3"/>
        <v>1</v>
      </c>
      <c r="AB30" s="1358">
        <f t="shared" si="4"/>
        <v>1</v>
      </c>
      <c r="AC30" s="2344">
        <f t="shared" si="5"/>
        <v>1</v>
      </c>
    </row>
    <row r="31" spans="1:29" ht="14.25">
      <c r="A31" s="151"/>
      <c r="B31" s="1041">
        <v>111</v>
      </c>
      <c r="C31" s="194">
        <v>111</v>
      </c>
      <c r="D31" s="781">
        <v>100</v>
      </c>
      <c r="E31" s="1027">
        <v>111</v>
      </c>
      <c r="F31" s="781">
        <f>SUMIF(97:97,E31,98:98)-SUMIF(97:97,C31,98:98)+100</f>
        <v>100</v>
      </c>
      <c r="G31" s="1406">
        <v>111</v>
      </c>
      <c r="H31" s="781">
        <f>SUMIF(97:97,G31,98:98)-SUMIF(97:97,C31,98:98)+100</f>
        <v>100</v>
      </c>
      <c r="I31" s="1027">
        <v>111</v>
      </c>
      <c r="J31" s="781">
        <f>SUMIF(97:97,I31,98:98)-SUMIF(97:97,C31,98:98)+100</f>
        <v>100</v>
      </c>
      <c r="K31" s="188"/>
      <c r="L31" s="2308"/>
      <c r="M31" s="2303"/>
      <c r="N31" s="2303"/>
      <c r="O31" s="2303"/>
      <c r="P31" s="3820"/>
      <c r="Q31" s="2226">
        <f t="shared" si="11"/>
        <v>111</v>
      </c>
      <c r="R31" s="1355" t="s">
        <v>70</v>
      </c>
      <c r="S31" s="1356">
        <f t="shared" si="12"/>
        <v>100</v>
      </c>
      <c r="T31" s="1355" t="s">
        <v>70</v>
      </c>
      <c r="U31" s="1356">
        <f t="shared" si="13"/>
        <v>100</v>
      </c>
      <c r="V31" s="1355" t="s">
        <v>70</v>
      </c>
      <c r="W31" s="1356">
        <f t="shared" si="14"/>
        <v>100</v>
      </c>
      <c r="X31" s="2228"/>
      <c r="Y31" s="3813"/>
      <c r="Z31" s="2227">
        <f t="shared" si="15"/>
        <v>111</v>
      </c>
      <c r="AA31" s="1358">
        <f t="shared" si="3"/>
        <v>1</v>
      </c>
      <c r="AB31" s="1358">
        <f t="shared" si="4"/>
        <v>1</v>
      </c>
      <c r="AC31" s="2344">
        <f t="shared" si="5"/>
        <v>1</v>
      </c>
    </row>
    <row r="32" spans="1:29" ht="15" thickBot="1">
      <c r="A32" s="154"/>
      <c r="B32" s="1409">
        <v>111</v>
      </c>
      <c r="C32" s="196">
        <v>111</v>
      </c>
      <c r="D32" s="784">
        <v>100</v>
      </c>
      <c r="E32" s="1407">
        <v>111</v>
      </c>
      <c r="F32" s="784">
        <f>SUMIF(99:99,E32,100:100)-SUMIF(99:99,C32,100:100)+100</f>
        <v>100</v>
      </c>
      <c r="G32" s="1406">
        <v>111</v>
      </c>
      <c r="H32" s="784">
        <f>SUMIF(99:99,G32,100:100)-SUMIF(99:99,C32,100:100)+100</f>
        <v>100</v>
      </c>
      <c r="I32" s="1027">
        <v>111</v>
      </c>
      <c r="J32" s="784">
        <f>SUMIF(99:99,I32,100:100)-SUMIF(99:99,C32,100:100)+100</f>
        <v>100</v>
      </c>
      <c r="K32" s="188"/>
      <c r="L32" s="2308"/>
      <c r="M32" s="2303"/>
      <c r="N32" s="2303"/>
      <c r="O32" s="2303"/>
      <c r="P32" s="3820"/>
      <c r="Q32" s="2226">
        <f t="shared" si="11"/>
        <v>111</v>
      </c>
      <c r="R32" s="1355" t="s">
        <v>70</v>
      </c>
      <c r="S32" s="1356">
        <f t="shared" si="12"/>
        <v>100</v>
      </c>
      <c r="T32" s="1355" t="s">
        <v>70</v>
      </c>
      <c r="U32" s="1356">
        <f t="shared" si="13"/>
        <v>100</v>
      </c>
      <c r="V32" s="1355" t="s">
        <v>70</v>
      </c>
      <c r="W32" s="1356">
        <f t="shared" si="14"/>
        <v>100</v>
      </c>
      <c r="X32" s="2228"/>
      <c r="Y32" s="3813"/>
      <c r="Z32" s="2227">
        <f t="shared" si="15"/>
        <v>111</v>
      </c>
      <c r="AA32" s="1358">
        <f t="shared" si="3"/>
        <v>1</v>
      </c>
      <c r="AB32" s="1358">
        <f t="shared" si="4"/>
        <v>1</v>
      </c>
      <c r="AC32" s="2344">
        <f t="shared" si="5"/>
        <v>1</v>
      </c>
    </row>
    <row r="33" spans="1:29" ht="15">
      <c r="A33" s="155" t="s">
        <v>1371</v>
      </c>
      <c r="B33" s="62" t="s">
        <v>1372</v>
      </c>
      <c r="C33" s="197" t="s">
        <v>231</v>
      </c>
      <c r="D33" s="813">
        <v>100</v>
      </c>
      <c r="E33" s="197" t="s">
        <v>232</v>
      </c>
      <c r="F33" s="807">
        <f>SUMIF(101:101,E33,102:102)-SUMIF(101:101,C33,102:102)+100</f>
        <v>98</v>
      </c>
      <c r="G33" s="197" t="s">
        <v>289</v>
      </c>
      <c r="H33" s="781">
        <f>SUMIF(101:101,G33,102:102)-SUMIF(101:101,C33,102:102)+100</f>
        <v>97</v>
      </c>
      <c r="I33" s="197" t="s">
        <v>290</v>
      </c>
      <c r="J33" s="813">
        <f>SUMIF(101:101,I33,102:102)-SUMIF(101:101,C33,102:102)+100</f>
        <v>96</v>
      </c>
      <c r="K33" s="958">
        <v>1</v>
      </c>
      <c r="L33" s="2308"/>
      <c r="M33" s="2303"/>
      <c r="N33" s="2303"/>
      <c r="O33" s="2303"/>
      <c r="P33" s="3814" t="s">
        <v>1373</v>
      </c>
      <c r="Q33" s="2226" t="str">
        <f t="shared" si="11"/>
        <v>建筑类型</v>
      </c>
      <c r="R33" s="1355" t="s">
        <v>70</v>
      </c>
      <c r="S33" s="1356">
        <f t="shared" si="12"/>
        <v>98</v>
      </c>
      <c r="T33" s="1355" t="s">
        <v>70</v>
      </c>
      <c r="U33" s="1356">
        <f t="shared" si="13"/>
        <v>97</v>
      </c>
      <c r="V33" s="1355" t="s">
        <v>70</v>
      </c>
      <c r="W33" s="1356">
        <f t="shared" si="14"/>
        <v>96</v>
      </c>
      <c r="X33" s="2228"/>
      <c r="Y33" s="3817" t="s">
        <v>1373</v>
      </c>
      <c r="Z33" s="2227" t="str">
        <f t="shared" si="15"/>
        <v>建筑类型</v>
      </c>
      <c r="AA33" s="1358">
        <f t="shared" si="3"/>
        <v>1.0204081632653061</v>
      </c>
      <c r="AB33" s="1358">
        <f t="shared" si="4"/>
        <v>1.0309278350515463</v>
      </c>
      <c r="AC33" s="2344">
        <f t="shared" si="5"/>
        <v>1.0416666666666667</v>
      </c>
    </row>
    <row r="34" spans="1:29" s="1043" customFormat="1" ht="14.25">
      <c r="A34" s="1047"/>
      <c r="B34" s="12" t="s">
        <v>81</v>
      </c>
      <c r="C34" s="815">
        <v>10000</v>
      </c>
      <c r="D34" s="429">
        <v>100</v>
      </c>
      <c r="E34" s="776">
        <v>150</v>
      </c>
      <c r="F34" s="771">
        <f>LOOKUP(E34,104:104,105:105)-LOOKUP(C34,104:104,105:105)+100</f>
        <v>92</v>
      </c>
      <c r="G34" s="775">
        <v>550</v>
      </c>
      <c r="H34" s="429">
        <f>LOOKUP(G34,104:104,105:105)-LOOKUP(C34,104:104,105:105)+100</f>
        <v>94</v>
      </c>
      <c r="I34" s="775">
        <v>3500</v>
      </c>
      <c r="J34" s="429">
        <f>LOOKUP(I34,104:104,105:105)-LOOKUP(C34,104:104,105:105)+100</f>
        <v>96</v>
      </c>
      <c r="K34" s="188"/>
      <c r="L34" s="2307"/>
      <c r="M34" s="2309"/>
      <c r="N34" s="2309"/>
      <c r="O34" s="2309"/>
      <c r="P34" s="3815"/>
      <c r="Q34" s="1362" t="str">
        <f t="shared" si="11"/>
        <v>项目建筑规模</v>
      </c>
      <c r="R34" s="1363" t="s">
        <v>70</v>
      </c>
      <c r="S34" s="1364">
        <f t="shared" si="12"/>
        <v>92</v>
      </c>
      <c r="T34" s="1363" t="s">
        <v>70</v>
      </c>
      <c r="U34" s="1364">
        <f t="shared" si="13"/>
        <v>94</v>
      </c>
      <c r="V34" s="1363" t="s">
        <v>70</v>
      </c>
      <c r="W34" s="1364">
        <f t="shared" si="14"/>
        <v>96</v>
      </c>
      <c r="X34" s="1365"/>
      <c r="Y34" s="3817"/>
      <c r="Z34" s="1366" t="str">
        <f t="shared" si="15"/>
        <v>项目建筑规模</v>
      </c>
      <c r="AA34" s="1358">
        <f t="shared" si="3"/>
        <v>1.0869565217391304</v>
      </c>
      <c r="AB34" s="1358">
        <f t="shared" si="4"/>
        <v>1.0638297872340425</v>
      </c>
      <c r="AC34" s="2344">
        <f t="shared" si="5"/>
        <v>1.0416666666666667</v>
      </c>
    </row>
    <row r="35" spans="1:29" ht="15">
      <c r="A35" s="161"/>
      <c r="B35" s="12" t="s">
        <v>82</v>
      </c>
      <c r="C35" s="107" t="s">
        <v>131</v>
      </c>
      <c r="D35" s="781">
        <v>100</v>
      </c>
      <c r="E35" s="107" t="s">
        <v>151</v>
      </c>
      <c r="F35" s="807">
        <f>SUMIF(106:106,E35,107:107)-SUMIF(106:106,C35,107:107)+100</f>
        <v>98</v>
      </c>
      <c r="G35" s="107" t="s">
        <v>131</v>
      </c>
      <c r="H35" s="781">
        <f>SUMIF(106:106,G35,107:107)-SUMIF(106:106,C35,107:107)+100</f>
        <v>100</v>
      </c>
      <c r="I35" s="107" t="s">
        <v>151</v>
      </c>
      <c r="J35" s="781">
        <f>SUMIF(106:106,I35,107:107)-SUMIF(106:106,C35,107:107)+100</f>
        <v>98</v>
      </c>
      <c r="K35" s="958">
        <v>2</v>
      </c>
      <c r="L35" s="2308"/>
      <c r="M35" s="2303"/>
      <c r="N35" s="2303"/>
      <c r="O35" s="2303"/>
      <c r="P35" s="3815"/>
      <c r="Q35" s="2226" t="str">
        <f t="shared" si="11"/>
        <v>建筑结构</v>
      </c>
      <c r="R35" s="1355" t="s">
        <v>70</v>
      </c>
      <c r="S35" s="1356">
        <f t="shared" si="12"/>
        <v>98</v>
      </c>
      <c r="T35" s="1355" t="s">
        <v>70</v>
      </c>
      <c r="U35" s="1356">
        <f t="shared" si="13"/>
        <v>100</v>
      </c>
      <c r="V35" s="1355" t="s">
        <v>70</v>
      </c>
      <c r="W35" s="1356">
        <f t="shared" si="14"/>
        <v>98</v>
      </c>
      <c r="X35" s="2228"/>
      <c r="Y35" s="3817"/>
      <c r="Z35" s="2227" t="str">
        <f t="shared" si="15"/>
        <v>建筑结构</v>
      </c>
      <c r="AA35" s="1358">
        <f t="shared" si="3"/>
        <v>1.0204081632653061</v>
      </c>
      <c r="AB35" s="1358">
        <f t="shared" si="4"/>
        <v>1</v>
      </c>
      <c r="AC35" s="2344">
        <f t="shared" si="5"/>
        <v>1.0204081632653061</v>
      </c>
    </row>
    <row r="36" spans="1:29" ht="15">
      <c r="A36" s="161"/>
      <c r="B36" s="12" t="s">
        <v>199</v>
      </c>
      <c r="C36" s="107" t="s">
        <v>132</v>
      </c>
      <c r="D36" s="781">
        <v>100</v>
      </c>
      <c r="E36" s="107" t="s">
        <v>137</v>
      </c>
      <c r="F36" s="807">
        <f>SUMIF(108:108,E36,109:109)-SUMIF(108:108,C36,109:109)+100</f>
        <v>101</v>
      </c>
      <c r="G36" s="107" t="s">
        <v>159</v>
      </c>
      <c r="H36" s="781">
        <f>SUMIF(108:108,G36,109:109)-SUMIF(108:108,C36,109:109)+100</f>
        <v>99</v>
      </c>
      <c r="I36" s="107" t="s">
        <v>136</v>
      </c>
      <c r="J36" s="781">
        <f>SUMIF(108:108,I36,109:109)-SUMIF(108:108,C36,109:109)+100</f>
        <v>98</v>
      </c>
      <c r="K36" s="958">
        <v>1</v>
      </c>
      <c r="L36" s="2308"/>
      <c r="M36" s="2303"/>
      <c r="N36" s="2303"/>
      <c r="O36" s="2303"/>
      <c r="P36" s="3815"/>
      <c r="Q36" s="2226" t="str">
        <f t="shared" si="11"/>
        <v>公共部分装修</v>
      </c>
      <c r="R36" s="1355" t="s">
        <v>70</v>
      </c>
      <c r="S36" s="1356">
        <f t="shared" si="12"/>
        <v>101</v>
      </c>
      <c r="T36" s="1355" t="s">
        <v>70</v>
      </c>
      <c r="U36" s="1356">
        <f t="shared" si="13"/>
        <v>99</v>
      </c>
      <c r="V36" s="1355" t="s">
        <v>70</v>
      </c>
      <c r="W36" s="1356">
        <f t="shared" si="14"/>
        <v>98</v>
      </c>
      <c r="X36" s="2228"/>
      <c r="Y36" s="3817"/>
      <c r="Z36" s="2227" t="str">
        <f t="shared" si="15"/>
        <v>公共部分装修</v>
      </c>
      <c r="AA36" s="1358">
        <f t="shared" si="3"/>
        <v>0.99009900990099009</v>
      </c>
      <c r="AB36" s="1358">
        <f t="shared" si="4"/>
        <v>1.0101010101010102</v>
      </c>
      <c r="AC36" s="2344">
        <f t="shared" si="5"/>
        <v>1.0204081632653061</v>
      </c>
    </row>
    <row r="37" spans="1:29" ht="15">
      <c r="A37" s="161"/>
      <c r="B37" s="12" t="s">
        <v>200</v>
      </c>
      <c r="C37" s="820">
        <v>0.97</v>
      </c>
      <c r="D37" s="781">
        <v>100</v>
      </c>
      <c r="E37" s="820">
        <v>0.85</v>
      </c>
      <c r="F37" s="807">
        <f>LOOKUP(E37,111:111,112:112)-LOOKUP(C37,111:111,112:112)+100</f>
        <v>98</v>
      </c>
      <c r="G37" s="820">
        <v>0.9</v>
      </c>
      <c r="H37" s="807">
        <f>LOOKUP(G37,111:111,112:112)-LOOKUP(C37,111:111,112:112)+100</f>
        <v>100</v>
      </c>
      <c r="I37" s="820">
        <v>1</v>
      </c>
      <c r="J37" s="781">
        <f>LOOKUP(I37,111:111,112:112)-LOOKUP(C37,111:111,112:112)+100</f>
        <v>100</v>
      </c>
      <c r="K37" s="958">
        <v>2</v>
      </c>
      <c r="L37" s="2308"/>
      <c r="M37" s="2303"/>
      <c r="N37" s="2303"/>
      <c r="O37" s="2303"/>
      <c r="P37" s="3815"/>
      <c r="Q37" s="2226" t="str">
        <f t="shared" si="11"/>
        <v>成新度</v>
      </c>
      <c r="R37" s="1355" t="s">
        <v>70</v>
      </c>
      <c r="S37" s="1356">
        <f t="shared" si="12"/>
        <v>98</v>
      </c>
      <c r="T37" s="1355" t="s">
        <v>70</v>
      </c>
      <c r="U37" s="1356">
        <f t="shared" si="13"/>
        <v>100</v>
      </c>
      <c r="V37" s="1355" t="s">
        <v>70</v>
      </c>
      <c r="W37" s="1356">
        <f t="shared" si="14"/>
        <v>100</v>
      </c>
      <c r="X37" s="2228"/>
      <c r="Y37" s="3817"/>
      <c r="Z37" s="2227" t="str">
        <f t="shared" si="15"/>
        <v>成新度</v>
      </c>
      <c r="AA37" s="1358">
        <f t="shared" si="3"/>
        <v>1.0204081632653061</v>
      </c>
      <c r="AB37" s="1358">
        <f t="shared" si="4"/>
        <v>1</v>
      </c>
      <c r="AC37" s="2344">
        <f t="shared" si="5"/>
        <v>1</v>
      </c>
    </row>
    <row r="38" spans="1:29" s="40" customFormat="1" ht="15">
      <c r="A38" s="1045"/>
      <c r="B38" s="12" t="s">
        <v>216</v>
      </c>
      <c r="C38" s="107" t="s">
        <v>233</v>
      </c>
      <c r="D38" s="429">
        <v>100</v>
      </c>
      <c r="E38" s="107" t="s">
        <v>234</v>
      </c>
      <c r="F38" s="807">
        <f>SUMIF(113:113,E38,114:114)-SUMIF(113:113,C38,114:114)+100</f>
        <v>96</v>
      </c>
      <c r="G38" s="107" t="s">
        <v>235</v>
      </c>
      <c r="H38" s="781">
        <f>SUMIF(113:113,G38,114:114)-SUMIF(113:113,C38,114:114)+100</f>
        <v>92</v>
      </c>
      <c r="I38" s="107" t="s">
        <v>233</v>
      </c>
      <c r="J38" s="781">
        <f>SUMIF(113:113,I38,114:114)-SUMIF(113:113,C38,114:114)+100</f>
        <v>100</v>
      </c>
      <c r="K38" s="958">
        <v>4</v>
      </c>
      <c r="L38" s="2304"/>
      <c r="M38" s="2266"/>
      <c r="N38" s="2266"/>
      <c r="O38" s="2266"/>
      <c r="P38" s="3815"/>
      <c r="Q38" s="2219" t="str">
        <f t="shared" si="11"/>
        <v>写字楼等级</v>
      </c>
      <c r="R38" s="1345" t="s">
        <v>70</v>
      </c>
      <c r="S38" s="1346">
        <f t="shared" si="12"/>
        <v>96</v>
      </c>
      <c r="T38" s="1345" t="s">
        <v>70</v>
      </c>
      <c r="U38" s="1346">
        <f t="shared" si="13"/>
        <v>92</v>
      </c>
      <c r="V38" s="1345" t="s">
        <v>70</v>
      </c>
      <c r="W38" s="1346">
        <f t="shared" si="14"/>
        <v>100</v>
      </c>
      <c r="X38" s="293"/>
      <c r="Y38" s="3817"/>
      <c r="Z38" s="2218" t="str">
        <f t="shared" si="15"/>
        <v>写字楼等级</v>
      </c>
      <c r="AA38" s="1347">
        <f t="shared" si="3"/>
        <v>1.0416666666666667</v>
      </c>
      <c r="AB38" s="1347">
        <f t="shared" si="4"/>
        <v>1.0869565217391304</v>
      </c>
      <c r="AC38" s="2343">
        <f t="shared" si="5"/>
        <v>1</v>
      </c>
    </row>
    <row r="39" spans="1:29" ht="15">
      <c r="A39" s="161"/>
      <c r="B39" s="12" t="s">
        <v>217</v>
      </c>
      <c r="C39" s="107" t="s">
        <v>133</v>
      </c>
      <c r="D39" s="781">
        <v>100</v>
      </c>
      <c r="E39" s="107" t="s">
        <v>160</v>
      </c>
      <c r="F39" s="807">
        <f>SUMIF(115:115,E39,116:116)-SUMIF(115:115,C39,116:116)+100</f>
        <v>97</v>
      </c>
      <c r="G39" s="107" t="s">
        <v>133</v>
      </c>
      <c r="H39" s="781">
        <f>SUMIF(115:115,G39,116:116)-SUMIF(115:115,C39,116:116)+100</f>
        <v>100</v>
      </c>
      <c r="I39" s="107" t="s">
        <v>160</v>
      </c>
      <c r="J39" s="781">
        <f>SUMIF(115:115,I39,116:116)-SUMIF(115:115,C39,116:116)+100</f>
        <v>97</v>
      </c>
      <c r="K39" s="958">
        <v>3</v>
      </c>
      <c r="L39" s="2308"/>
      <c r="M39" s="2303"/>
      <c r="N39" s="2303"/>
      <c r="O39" s="2303"/>
      <c r="P39" s="3815" t="s">
        <v>75</v>
      </c>
      <c r="Q39" s="2226" t="str">
        <f t="shared" si="11"/>
        <v>物业管理</v>
      </c>
      <c r="R39" s="1355" t="s">
        <v>70</v>
      </c>
      <c r="S39" s="1356">
        <f t="shared" si="12"/>
        <v>97</v>
      </c>
      <c r="T39" s="1355" t="s">
        <v>70</v>
      </c>
      <c r="U39" s="1356">
        <f t="shared" si="13"/>
        <v>100</v>
      </c>
      <c r="V39" s="1355" t="s">
        <v>70</v>
      </c>
      <c r="W39" s="1356">
        <f t="shared" si="14"/>
        <v>97</v>
      </c>
      <c r="X39" s="2228"/>
      <c r="Y39" s="3817" t="s">
        <v>75</v>
      </c>
      <c r="Z39" s="2227" t="str">
        <f t="shared" si="15"/>
        <v>物业管理</v>
      </c>
      <c r="AA39" s="1358">
        <f t="shared" si="3"/>
        <v>1.0309278350515463</v>
      </c>
      <c r="AB39" s="1358">
        <f t="shared" si="4"/>
        <v>1</v>
      </c>
      <c r="AC39" s="2344">
        <f t="shared" si="5"/>
        <v>1.0309278350515463</v>
      </c>
    </row>
    <row r="40" spans="1:29" ht="15">
      <c r="A40" s="161"/>
      <c r="B40" s="12" t="s">
        <v>3056</v>
      </c>
      <c r="C40" s="107" t="s">
        <v>56</v>
      </c>
      <c r="D40" s="781">
        <v>100</v>
      </c>
      <c r="E40" s="107" t="s">
        <v>161</v>
      </c>
      <c r="F40" s="807">
        <f>SUMIF(117:117,E40,118:118)-SUMIF(117:117,C40,118:118)+100</f>
        <v>99</v>
      </c>
      <c r="G40" s="107" t="s">
        <v>162</v>
      </c>
      <c r="H40" s="781">
        <f>SUMIF(117:117,G40,118:118)-SUMIF(117:117,C40,118:118)+100</f>
        <v>98</v>
      </c>
      <c r="I40" s="107" t="s">
        <v>258</v>
      </c>
      <c r="J40" s="781">
        <f>SUMIF(117:117,I40,118:118)-SUMIF(117:117,C40,118:118)+100</f>
        <v>97</v>
      </c>
      <c r="K40" s="958">
        <v>1</v>
      </c>
      <c r="L40" s="2308"/>
      <c r="M40" s="2303"/>
      <c r="N40" s="2303"/>
      <c r="O40" s="2303"/>
      <c r="P40" s="3815"/>
      <c r="Q40" s="2226" t="str">
        <f t="shared" si="11"/>
        <v>市政基础设施</v>
      </c>
      <c r="R40" s="1355" t="s">
        <v>70</v>
      </c>
      <c r="S40" s="1356">
        <f t="shared" si="12"/>
        <v>99</v>
      </c>
      <c r="T40" s="1355" t="s">
        <v>70</v>
      </c>
      <c r="U40" s="1356">
        <f t="shared" si="13"/>
        <v>98</v>
      </c>
      <c r="V40" s="1355" t="s">
        <v>70</v>
      </c>
      <c r="W40" s="1356">
        <f t="shared" si="14"/>
        <v>97</v>
      </c>
      <c r="X40" s="2228"/>
      <c r="Y40" s="3817"/>
      <c r="Z40" s="2227" t="str">
        <f t="shared" si="15"/>
        <v>市政基础设施</v>
      </c>
      <c r="AA40" s="1358">
        <f t="shared" si="3"/>
        <v>1.0101010101010102</v>
      </c>
      <c r="AB40" s="1358">
        <f t="shared" si="4"/>
        <v>1.0204081632653061</v>
      </c>
      <c r="AC40" s="2344">
        <f t="shared" si="5"/>
        <v>1.0309278350515463</v>
      </c>
    </row>
    <row r="41" spans="1:29" ht="15">
      <c r="A41" s="161"/>
      <c r="B41" s="12" t="s">
        <v>202</v>
      </c>
      <c r="C41" s="182" t="s">
        <v>222</v>
      </c>
      <c r="D41" s="781">
        <v>100</v>
      </c>
      <c r="E41" s="182" t="s">
        <v>222</v>
      </c>
      <c r="F41" s="807">
        <f>SUMIF(119:119,E41,120:120)-SUMIF(119:119,C41,120:120)+100</f>
        <v>100</v>
      </c>
      <c r="G41" s="182" t="s">
        <v>221</v>
      </c>
      <c r="H41" s="781">
        <f>SUMIF(119:119,G41,120:120)-SUMIF(119:119,C41,120:120)+100</f>
        <v>101.5</v>
      </c>
      <c r="I41" s="182" t="s">
        <v>222</v>
      </c>
      <c r="J41" s="781">
        <f>SUMIF(119:119,I41,120:120)-SUMIF(119:119,C41,120:120)+100</f>
        <v>100</v>
      </c>
      <c r="K41" s="958">
        <v>1.5</v>
      </c>
      <c r="L41" s="2308"/>
      <c r="M41" s="2303"/>
      <c r="N41" s="2303"/>
      <c r="O41" s="2303"/>
      <c r="P41" s="3815"/>
      <c r="Q41" s="2226" t="str">
        <f t="shared" si="11"/>
        <v>层高</v>
      </c>
      <c r="R41" s="1355" t="s">
        <v>70</v>
      </c>
      <c r="S41" s="1356">
        <f t="shared" si="12"/>
        <v>100</v>
      </c>
      <c r="T41" s="1355" t="s">
        <v>70</v>
      </c>
      <c r="U41" s="1356">
        <f t="shared" si="13"/>
        <v>101.5</v>
      </c>
      <c r="V41" s="1355" t="s">
        <v>70</v>
      </c>
      <c r="W41" s="1356">
        <f t="shared" si="14"/>
        <v>100</v>
      </c>
      <c r="X41" s="2228"/>
      <c r="Y41" s="3817"/>
      <c r="Z41" s="2227" t="str">
        <f t="shared" si="15"/>
        <v>层高</v>
      </c>
      <c r="AA41" s="1358">
        <f t="shared" si="3"/>
        <v>1</v>
      </c>
      <c r="AB41" s="1358">
        <f t="shared" si="4"/>
        <v>0.98522167487684731</v>
      </c>
      <c r="AC41" s="2344">
        <f t="shared" si="5"/>
        <v>1</v>
      </c>
    </row>
    <row r="42" spans="1:29" s="1043" customFormat="1" ht="14.25">
      <c r="A42" s="1047"/>
      <c r="B42" s="191" t="s">
        <v>1374</v>
      </c>
      <c r="C42" s="780" t="s">
        <v>294</v>
      </c>
      <c r="D42" s="781">
        <v>100</v>
      </c>
      <c r="E42" s="780" t="s">
        <v>291</v>
      </c>
      <c r="F42" s="807">
        <f>SUMIF(121:121,E42,122:122)-SUMIF(121:121,C42,122:122)+100</f>
        <v>105</v>
      </c>
      <c r="G42" s="780" t="s">
        <v>292</v>
      </c>
      <c r="H42" s="781">
        <f>SUMIF(121:121,G42,122:122)-SUMIF(121:121,C42,122:122)+100</f>
        <v>103</v>
      </c>
      <c r="I42" s="780" t="s">
        <v>293</v>
      </c>
      <c r="J42" s="781">
        <f>SUMIF(121:121,I42,122:122)-SUMIF(121:121,C42,122:122)+100</f>
        <v>98</v>
      </c>
      <c r="K42" s="188"/>
      <c r="L42" s="2307"/>
      <c r="M42" s="2309"/>
      <c r="N42" s="2309"/>
      <c r="O42" s="2309"/>
      <c r="P42" s="3815"/>
      <c r="Q42" s="1362" t="str">
        <f t="shared" si="11"/>
        <v>单套建筑面积</v>
      </c>
      <c r="R42" s="1363" t="s">
        <v>70</v>
      </c>
      <c r="S42" s="1364">
        <f t="shared" si="12"/>
        <v>105</v>
      </c>
      <c r="T42" s="1363" t="s">
        <v>70</v>
      </c>
      <c r="U42" s="1364">
        <f t="shared" si="13"/>
        <v>103</v>
      </c>
      <c r="V42" s="1363" t="s">
        <v>70</v>
      </c>
      <c r="W42" s="1364">
        <f t="shared" si="14"/>
        <v>98</v>
      </c>
      <c r="X42" s="1365"/>
      <c r="Y42" s="3817"/>
      <c r="Z42" s="1366" t="str">
        <f t="shared" si="15"/>
        <v>单套建筑面积</v>
      </c>
      <c r="AA42" s="1358">
        <f t="shared" si="3"/>
        <v>0.95238095238095233</v>
      </c>
      <c r="AB42" s="1358">
        <f t="shared" si="4"/>
        <v>0.970873786407767</v>
      </c>
      <c r="AC42" s="2344">
        <f t="shared" si="5"/>
        <v>1.0204081632653061</v>
      </c>
    </row>
    <row r="43" spans="1:29" ht="15">
      <c r="A43" s="161"/>
      <c r="B43" s="12" t="s">
        <v>1375</v>
      </c>
      <c r="C43" s="107" t="s">
        <v>137</v>
      </c>
      <c r="D43" s="781">
        <v>100</v>
      </c>
      <c r="E43" s="107" t="s">
        <v>132</v>
      </c>
      <c r="F43" s="807">
        <f>SUMIF(123:123,E43,124:124)-SUMIF(123:123,C43,124:124)+100</f>
        <v>97</v>
      </c>
      <c r="G43" s="107" t="s">
        <v>159</v>
      </c>
      <c r="H43" s="781">
        <f>SUMIF(123:123,G43,124:124)-SUMIF(123:123,C43,124:124)+100</f>
        <v>94</v>
      </c>
      <c r="I43" s="107" t="s">
        <v>136</v>
      </c>
      <c r="J43" s="781">
        <f>SUMIF(123:123,I43,124:124)-SUMIF(123:123,C43,124:124)+100</f>
        <v>91</v>
      </c>
      <c r="K43" s="958">
        <v>3</v>
      </c>
      <c r="L43" s="2308"/>
      <c r="M43" s="2303"/>
      <c r="N43" s="2303"/>
      <c r="O43" s="2303"/>
      <c r="P43" s="3815"/>
      <c r="Q43" s="2226" t="str">
        <f t="shared" si="11"/>
        <v>内部装修</v>
      </c>
      <c r="R43" s="1355" t="s">
        <v>70</v>
      </c>
      <c r="S43" s="1356">
        <f t="shared" si="12"/>
        <v>97</v>
      </c>
      <c r="T43" s="1355" t="s">
        <v>70</v>
      </c>
      <c r="U43" s="1356">
        <f t="shared" si="13"/>
        <v>94</v>
      </c>
      <c r="V43" s="1355" t="s">
        <v>70</v>
      </c>
      <c r="W43" s="1356">
        <f t="shared" si="14"/>
        <v>91</v>
      </c>
      <c r="X43" s="2228"/>
      <c r="Y43" s="3817"/>
      <c r="Z43" s="2227" t="str">
        <f t="shared" si="15"/>
        <v>内部装修</v>
      </c>
      <c r="AA43" s="1358">
        <f t="shared" si="3"/>
        <v>1.0309278350515463</v>
      </c>
      <c r="AB43" s="1358">
        <f t="shared" si="4"/>
        <v>1.0638297872340425</v>
      </c>
      <c r="AC43" s="2344">
        <f t="shared" si="5"/>
        <v>1.098901098901099</v>
      </c>
    </row>
    <row r="44" spans="1:29" ht="27">
      <c r="A44" s="161"/>
      <c r="B44" s="12" t="s">
        <v>89</v>
      </c>
      <c r="C44" s="107" t="s">
        <v>123</v>
      </c>
      <c r="D44" s="781">
        <v>100</v>
      </c>
      <c r="E44" s="109" t="s">
        <v>124</v>
      </c>
      <c r="F44" s="807">
        <f>SUMIF(125:125,E44,126:126)-SUMIF(125:125,C44,126:126)+100</f>
        <v>98</v>
      </c>
      <c r="G44" s="109" t="s">
        <v>122</v>
      </c>
      <c r="H44" s="781">
        <f>SUMIF(125:125,G44,126:126)-SUMIF(125:125,C44,126:126)+100</f>
        <v>102</v>
      </c>
      <c r="I44" s="109" t="s">
        <v>184</v>
      </c>
      <c r="J44" s="781">
        <f>SUMIF(125:125,I44,126:126)-SUMIF(125:125,C44,126:126)+100</f>
        <v>94</v>
      </c>
      <c r="K44" s="958">
        <v>2</v>
      </c>
      <c r="L44" s="2308"/>
      <c r="M44" s="2303"/>
      <c r="N44" s="2303"/>
      <c r="O44" s="2303"/>
      <c r="P44" s="3815"/>
      <c r="Q44" s="2226" t="str">
        <f t="shared" si="11"/>
        <v>内部装修维护情况</v>
      </c>
      <c r="R44" s="1355" t="s">
        <v>70</v>
      </c>
      <c r="S44" s="1356">
        <f t="shared" si="12"/>
        <v>98</v>
      </c>
      <c r="T44" s="1355" t="s">
        <v>70</v>
      </c>
      <c r="U44" s="1356">
        <f t="shared" si="13"/>
        <v>102</v>
      </c>
      <c r="V44" s="1355" t="s">
        <v>70</v>
      </c>
      <c r="W44" s="1356">
        <f t="shared" si="14"/>
        <v>94</v>
      </c>
      <c r="X44" s="2228"/>
      <c r="Y44" s="3817"/>
      <c r="Z44" s="2227" t="str">
        <f t="shared" si="15"/>
        <v>内部装修维护情况</v>
      </c>
      <c r="AA44" s="1358">
        <f t="shared" si="3"/>
        <v>1.0204081632653061</v>
      </c>
      <c r="AB44" s="1358">
        <f t="shared" si="4"/>
        <v>0.98039215686274506</v>
      </c>
      <c r="AC44" s="2344">
        <f t="shared" si="5"/>
        <v>1.0638297872340425</v>
      </c>
    </row>
    <row r="45" spans="1:29" s="40" customFormat="1" ht="14.25">
      <c r="A45" s="1045"/>
      <c r="B45" s="1360">
        <v>111</v>
      </c>
      <c r="C45" s="1361">
        <v>111</v>
      </c>
      <c r="D45" s="429">
        <v>100</v>
      </c>
      <c r="E45" s="1027">
        <v>111</v>
      </c>
      <c r="F45" s="771">
        <f>SUMIF(127:127,E45,128:128)-SUMIF(127:127,C45,128:128)+100</f>
        <v>100</v>
      </c>
      <c r="G45" s="1027">
        <v>111</v>
      </c>
      <c r="H45" s="429">
        <f>SUMIF(127:127,G45,128:128)-SUMIF(127:127,C45,128:128)+100</f>
        <v>100</v>
      </c>
      <c r="I45" s="1027">
        <v>111</v>
      </c>
      <c r="J45" s="429">
        <f>SUMIF(127:127,I45,128:128)-SUMIF(127:127,C45,128:128)+100</f>
        <v>100</v>
      </c>
      <c r="K45" s="188"/>
      <c r="L45" s="2304"/>
      <c r="M45" s="2266"/>
      <c r="N45" s="2266"/>
      <c r="O45" s="2266"/>
      <c r="P45" s="3815"/>
      <c r="Q45" s="2219">
        <f t="shared" si="11"/>
        <v>111</v>
      </c>
      <c r="R45" s="1345" t="s">
        <v>70</v>
      </c>
      <c r="S45" s="1346">
        <f t="shared" si="12"/>
        <v>100</v>
      </c>
      <c r="T45" s="1345" t="s">
        <v>70</v>
      </c>
      <c r="U45" s="1346">
        <f t="shared" si="13"/>
        <v>100</v>
      </c>
      <c r="V45" s="1345" t="s">
        <v>70</v>
      </c>
      <c r="W45" s="1346">
        <f t="shared" si="14"/>
        <v>100</v>
      </c>
      <c r="X45" s="293"/>
      <c r="Y45" s="3817"/>
      <c r="Z45" s="2218">
        <f t="shared" si="15"/>
        <v>111</v>
      </c>
      <c r="AA45" s="1347">
        <f t="shared" si="3"/>
        <v>1</v>
      </c>
      <c r="AB45" s="1347">
        <f t="shared" si="4"/>
        <v>1</v>
      </c>
      <c r="AC45" s="2343">
        <f t="shared" si="5"/>
        <v>1</v>
      </c>
    </row>
    <row r="46" spans="1:29" ht="14.25">
      <c r="A46" s="161"/>
      <c r="B46" s="1360">
        <v>111</v>
      </c>
      <c r="C46" s="93">
        <v>111</v>
      </c>
      <c r="D46" s="781">
        <v>100</v>
      </c>
      <c r="E46" s="1027">
        <v>111</v>
      </c>
      <c r="F46" s="807">
        <f>SUMIF(129:129,E46,130:130)-SUMIF(129:129,C46,130:130)+100</f>
        <v>100</v>
      </c>
      <c r="G46" s="1027">
        <v>111</v>
      </c>
      <c r="H46" s="781">
        <f>SUMIF(129:129,G46,130:130)-SUMIF(129:129,C46,130:130)+100</f>
        <v>100</v>
      </c>
      <c r="I46" s="1027">
        <v>111</v>
      </c>
      <c r="J46" s="781">
        <f>SUMIF(129:129,I46,130:130)-SUMIF(129:129,C46,130:130)+100</f>
        <v>100</v>
      </c>
      <c r="K46" s="188"/>
      <c r="L46" s="2308"/>
      <c r="M46" s="2303"/>
      <c r="N46" s="2303"/>
      <c r="O46" s="2303"/>
      <c r="P46" s="3815"/>
      <c r="Q46" s="2226">
        <f t="shared" si="11"/>
        <v>111</v>
      </c>
      <c r="R46" s="1355" t="s">
        <v>70</v>
      </c>
      <c r="S46" s="1356">
        <f t="shared" si="12"/>
        <v>100</v>
      </c>
      <c r="T46" s="1355" t="s">
        <v>70</v>
      </c>
      <c r="U46" s="1356">
        <f t="shared" si="13"/>
        <v>100</v>
      </c>
      <c r="V46" s="1355" t="s">
        <v>70</v>
      </c>
      <c r="W46" s="1356">
        <f t="shared" si="14"/>
        <v>100</v>
      </c>
      <c r="X46" s="2228"/>
      <c r="Y46" s="3817"/>
      <c r="Z46" s="2227">
        <f t="shared" si="15"/>
        <v>111</v>
      </c>
      <c r="AA46" s="1358">
        <f t="shared" si="3"/>
        <v>1</v>
      </c>
      <c r="AB46" s="1358">
        <f t="shared" si="4"/>
        <v>1</v>
      </c>
      <c r="AC46" s="2344">
        <f t="shared" si="5"/>
        <v>1</v>
      </c>
    </row>
    <row r="47" spans="1:29" ht="15" thickBot="1">
      <c r="A47" s="162"/>
      <c r="B47" s="1035">
        <v>111</v>
      </c>
      <c r="C47" s="94">
        <v>111</v>
      </c>
      <c r="D47" s="784">
        <v>100</v>
      </c>
      <c r="E47" s="1027">
        <v>111</v>
      </c>
      <c r="F47" s="785">
        <f>SUMIF(131:131,E47,132:132)-SUMIF(131:131,C47,132:132)+100</f>
        <v>100</v>
      </c>
      <c r="G47" s="1027">
        <v>111</v>
      </c>
      <c r="H47" s="784">
        <f>SUMIF(131:131,G47,132:132)-SUMIF(131:131,C47,132:132)+100</f>
        <v>100</v>
      </c>
      <c r="I47" s="1027">
        <v>111</v>
      </c>
      <c r="J47" s="784">
        <f>SUMIF(131:131,I47,132:132)-SUMIF(131:131,C47,132:132)+100</f>
        <v>100</v>
      </c>
      <c r="K47" s="188"/>
      <c r="L47" s="2308"/>
      <c r="M47" s="2303"/>
      <c r="N47" s="2303"/>
      <c r="O47" s="2303"/>
      <c r="P47" s="3816"/>
      <c r="Q47" s="2226">
        <f t="shared" si="11"/>
        <v>111</v>
      </c>
      <c r="R47" s="1355" t="s">
        <v>70</v>
      </c>
      <c r="S47" s="1356">
        <f t="shared" si="12"/>
        <v>100</v>
      </c>
      <c r="T47" s="1355" t="s">
        <v>70</v>
      </c>
      <c r="U47" s="1356">
        <f t="shared" si="13"/>
        <v>100</v>
      </c>
      <c r="V47" s="1355" t="s">
        <v>70</v>
      </c>
      <c r="W47" s="1356">
        <f t="shared" si="14"/>
        <v>100</v>
      </c>
      <c r="X47" s="2228"/>
      <c r="Y47" s="3818"/>
      <c r="Z47" s="2227">
        <f t="shared" si="15"/>
        <v>111</v>
      </c>
      <c r="AA47" s="1358">
        <f t="shared" si="3"/>
        <v>1</v>
      </c>
      <c r="AB47" s="1358">
        <f t="shared" si="4"/>
        <v>1</v>
      </c>
      <c r="AC47" s="2344">
        <f t="shared" si="5"/>
        <v>1</v>
      </c>
    </row>
    <row r="48" spans="1:29" ht="15">
      <c r="A48" s="163" t="s">
        <v>1272</v>
      </c>
      <c r="B48" s="164"/>
      <c r="C48" s="2852" t="s">
        <v>23</v>
      </c>
      <c r="D48" s="2853"/>
      <c r="E48" s="2854">
        <v>30000</v>
      </c>
      <c r="F48" s="2855"/>
      <c r="G48" s="2856">
        <v>35000</v>
      </c>
      <c r="H48" s="2857"/>
      <c r="I48" s="2854">
        <v>32000</v>
      </c>
      <c r="J48" s="831"/>
      <c r="K48" s="1396"/>
      <c r="L48" s="2310"/>
      <c r="M48" s="2303"/>
      <c r="N48" s="2303"/>
      <c r="O48" s="2303"/>
      <c r="P48" s="3792" t="str">
        <f>A48</f>
        <v>成交单价（元/平方米）</v>
      </c>
      <c r="Q48" s="3810"/>
      <c r="R48" s="3811">
        <f>E48</f>
        <v>30000</v>
      </c>
      <c r="S48" s="3811"/>
      <c r="T48" s="3811">
        <f>G48</f>
        <v>35000</v>
      </c>
      <c r="U48" s="3811"/>
      <c r="V48" s="3811">
        <f>I48</f>
        <v>32000</v>
      </c>
      <c r="W48" s="3811"/>
      <c r="X48" s="156"/>
      <c r="Y48" s="1369"/>
      <c r="Z48" s="156"/>
      <c r="AA48" s="156"/>
      <c r="AB48" s="156"/>
      <c r="AC48" s="209"/>
    </row>
    <row r="49" spans="1:29" ht="15.75" thickBot="1">
      <c r="A49" s="165" t="s">
        <v>1273</v>
      </c>
      <c r="B49" s="166"/>
      <c r="C49" s="2858">
        <f>R50</f>
        <v>57558</v>
      </c>
      <c r="D49" s="2859"/>
      <c r="E49" s="2860">
        <f>R49</f>
        <v>49615</v>
      </c>
      <c r="F49" s="2860"/>
      <c r="G49" s="2858">
        <f>T49</f>
        <v>52327</v>
      </c>
      <c r="H49" s="2859"/>
      <c r="I49" s="2860">
        <f>V49</f>
        <v>70732</v>
      </c>
      <c r="J49" s="835"/>
      <c r="K49" s="1397"/>
      <c r="L49" s="2310"/>
      <c r="M49" s="2303"/>
      <c r="N49" s="2303"/>
      <c r="O49" s="2303"/>
      <c r="P49" s="3792" t="str">
        <f>A49</f>
        <v>比较价值（元/平方米）</v>
      </c>
      <c r="Q49" s="3810"/>
      <c r="R49" s="3811">
        <f>IF(F1="售价",ROUND(PRODUCT(R48,AA7:AA47),0),ROUND(PRODUCT(R48,AA7:AA47),1))</f>
        <v>49615</v>
      </c>
      <c r="S49" s="3811"/>
      <c r="T49" s="3811">
        <f>IF(F1="售价",ROUND(PRODUCT(T48,AB7:AB47),0),ROUND(PRODUCT(T48,AB7:AB47),1))</f>
        <v>52327</v>
      </c>
      <c r="U49" s="3811"/>
      <c r="V49" s="3811">
        <f>IF(F1="售价",ROUND(PRODUCT(V48,AC7:AC47),0),ROUND(PRODUCT(V48,AC7:AC47),1))</f>
        <v>70732</v>
      </c>
      <c r="W49" s="3811"/>
      <c r="X49" s="156"/>
      <c r="Y49" s="156"/>
      <c r="Z49" s="156"/>
      <c r="AA49" s="156"/>
      <c r="AB49" s="156"/>
      <c r="AC49" s="209"/>
    </row>
    <row r="50" spans="1:29" ht="15.75" thickBot="1">
      <c r="A50" s="115" t="s">
        <v>1274</v>
      </c>
      <c r="B50" s="116"/>
      <c r="C50" s="2862">
        <f>R50</f>
        <v>57558</v>
      </c>
      <c r="D50" s="2862"/>
      <c r="E50" s="2862"/>
      <c r="F50" s="2862"/>
      <c r="G50" s="2862"/>
      <c r="H50" s="2862"/>
      <c r="I50" s="2862"/>
      <c r="J50" s="840"/>
      <c r="K50" s="1398"/>
      <c r="L50" s="2310"/>
      <c r="M50" s="2303"/>
      <c r="N50" s="2303"/>
      <c r="O50" s="2303"/>
      <c r="P50" s="3833" t="str">
        <f>A50</f>
        <v>估价对象XX用房的比较价值（楼面单价，元/平方米）</v>
      </c>
      <c r="Q50" s="3834"/>
      <c r="R50" s="3835">
        <f>IF(F1="售价",ROUND(AVERAGE(R49:V49),0),ROUND(AVERAGE(R49:V49),1))</f>
        <v>57558</v>
      </c>
      <c r="S50" s="3835"/>
      <c r="T50" s="3835"/>
      <c r="U50" s="3835"/>
      <c r="V50" s="3835"/>
      <c r="W50" s="3835"/>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3" t="s">
        <v>1236</v>
      </c>
      <c r="D53" s="844"/>
      <c r="E53" s="845">
        <f>IF(E48&lt;E49,E49/E48-1,E48/E49-1)</f>
        <v>0.65383333333333327</v>
      </c>
      <c r="F53" s="846" t="str">
        <f>IF(OR(E53&gt;=0.3,E53&lt;=-0.3),"超过30%","")</f>
        <v>超过30%</v>
      </c>
      <c r="G53" s="845">
        <f>IF(G48&lt;G49,G49/G48-1,G48/G49-1)</f>
        <v>0.49505714285714286</v>
      </c>
      <c r="H53" s="846" t="str">
        <f>IF(OR(G53&gt;=0.3,G53&lt;=-0.3),"超过30%","")</f>
        <v>超过30%</v>
      </c>
      <c r="I53" s="845">
        <f>IF(I48&lt;I49,I49/I48-1,I48/I49-1)</f>
        <v>1.210375</v>
      </c>
      <c r="J53" s="846" t="str">
        <f>IF(OR(I53&gt;=0.3,I53&lt;=-0.3),"超过30%","")</f>
        <v>超过30%</v>
      </c>
      <c r="K53" s="2312"/>
      <c r="L53" s="2313"/>
      <c r="M53" s="2311"/>
      <c r="N53" s="2311"/>
      <c r="O53" s="2311"/>
    </row>
    <row r="54" spans="1:29" ht="13.5" customHeight="1">
      <c r="A54" s="2311"/>
      <c r="B54" s="2311"/>
      <c r="C54" s="843" t="s">
        <v>1237</v>
      </c>
      <c r="D54" s="847"/>
      <c r="E54" s="845">
        <f>IF(E49&lt;G49,G49/E49-1,E49/G49-1)</f>
        <v>5.4660888844099587E-2</v>
      </c>
      <c r="F54" s="846" t="str">
        <f>IF(OR(E54&gt;=0.2,E54&lt;=-0.2),"超过20%","")</f>
        <v/>
      </c>
      <c r="G54" s="845">
        <f>IF(G49&lt;I49,I49/G49-1,G49/I49-1)</f>
        <v>0.35173046419630394</v>
      </c>
      <c r="H54" s="846" t="str">
        <f>IF(OR(G54&gt;=0.2,G54&lt;=-0.2),"超过20%","")</f>
        <v>超过20%</v>
      </c>
      <c r="I54" s="845">
        <f>IF(I49&lt;E49,E49/I49-1,I49/E49-1)</f>
        <v>0.42561725284692131</v>
      </c>
      <c r="J54" s="846" t="str">
        <f>IF(OR(I54&gt;=0.2,I54&lt;=-0.2),"超过20%","")</f>
        <v>超过20%</v>
      </c>
      <c r="K54" s="2312"/>
      <c r="L54" s="2313"/>
      <c r="M54" s="2311"/>
      <c r="N54" s="2311"/>
      <c r="O54" s="2311"/>
    </row>
    <row r="55" spans="1:29" s="119" customFormat="1" ht="13.5" customHeight="1">
      <c r="A55" s="2316"/>
      <c r="B55" s="2316"/>
      <c r="C55" s="843" t="s">
        <v>1238</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5" t="s">
        <v>1275</v>
      </c>
      <c r="B58" s="1368"/>
      <c r="C58" s="1376"/>
      <c r="D58" s="1376"/>
      <c r="E58" s="1376"/>
      <c r="F58" s="1377"/>
      <c r="G58" s="1377"/>
      <c r="H58" s="1376"/>
      <c r="I58" s="1376"/>
      <c r="J58" s="1376"/>
      <c r="K58" s="1378"/>
      <c r="L58" s="2318"/>
      <c r="M58" s="2319"/>
      <c r="N58" s="2319"/>
      <c r="O58" s="2319"/>
      <c r="P58" s="2333"/>
      <c r="Q58" s="121"/>
    </row>
    <row r="59" spans="1:29" s="854" customFormat="1" ht="15">
      <c r="A59" s="851" t="s">
        <v>3200</v>
      </c>
      <c r="B59" s="852"/>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49"/>
      <c r="B60" s="1050"/>
      <c r="C60" s="3060">
        <v>100</v>
      </c>
      <c r="D60" s="858">
        <v>99.5</v>
      </c>
      <c r="E60" s="858">
        <v>99</v>
      </c>
      <c r="F60" s="858">
        <v>98.5</v>
      </c>
      <c r="G60" s="858">
        <v>98</v>
      </c>
      <c r="H60" s="858">
        <v>97.5</v>
      </c>
      <c r="I60" s="858">
        <v>97</v>
      </c>
      <c r="J60" s="858">
        <v>96.5</v>
      </c>
      <c r="K60" s="858">
        <v>96</v>
      </c>
      <c r="L60" s="858">
        <v>95.5</v>
      </c>
      <c r="M60" s="859">
        <v>95</v>
      </c>
      <c r="N60" s="858">
        <v>94.5</v>
      </c>
      <c r="O60" s="859">
        <v>94</v>
      </c>
      <c r="P60" s="2334"/>
    </row>
    <row r="61" spans="1:29" s="40" customFormat="1" ht="15" thickBot="1">
      <c r="A61" s="1051" t="s">
        <v>1276</v>
      </c>
      <c r="B61" s="1052"/>
      <c r="C61" s="863"/>
      <c r="D61" s="864"/>
      <c r="E61" s="864"/>
      <c r="F61" s="864"/>
      <c r="G61" s="864"/>
      <c r="H61" s="864"/>
      <c r="I61" s="864"/>
      <c r="J61" s="864"/>
      <c r="K61" s="864"/>
      <c r="L61" s="864"/>
      <c r="M61" s="865"/>
      <c r="N61" s="864"/>
      <c r="O61" s="865"/>
      <c r="P61" s="2334"/>
      <c r="Q61" s="121"/>
    </row>
    <row r="62" spans="1:29" s="40" customFormat="1">
      <c r="A62" s="1053" t="s">
        <v>1277</v>
      </c>
      <c r="B62" s="1050"/>
      <c r="C62" s="1054" t="s">
        <v>1278</v>
      </c>
      <c r="D62" s="140" t="s">
        <v>1279</v>
      </c>
      <c r="E62" s="140"/>
      <c r="F62" s="140"/>
      <c r="G62" s="140"/>
      <c r="H62" s="140"/>
      <c r="I62" s="140"/>
      <c r="J62" s="140"/>
      <c r="K62" s="140"/>
      <c r="L62" s="141"/>
      <c r="M62" s="1055"/>
      <c r="N62" s="1391"/>
      <c r="O62" s="1391"/>
      <c r="P62" s="2335"/>
      <c r="Q62" s="121"/>
    </row>
    <row r="63" spans="1:29" s="40" customFormat="1" ht="15" thickBot="1">
      <c r="A63" s="1053"/>
      <c r="B63" s="1050"/>
      <c r="C63" s="857">
        <v>100</v>
      </c>
      <c r="D63" s="858">
        <v>99</v>
      </c>
      <c r="E63" s="858"/>
      <c r="F63" s="858"/>
      <c r="G63" s="858"/>
      <c r="H63" s="858"/>
      <c r="I63" s="858"/>
      <c r="J63" s="858"/>
      <c r="K63" s="858"/>
      <c r="L63" s="858"/>
      <c r="M63" s="860"/>
      <c r="N63" s="1391"/>
      <c r="O63" s="1391"/>
      <c r="P63" s="2334"/>
      <c r="Q63" s="121"/>
    </row>
    <row r="64" spans="1:29">
      <c r="A64" s="172" t="s">
        <v>1280</v>
      </c>
      <c r="B64" s="292" t="s">
        <v>1281</v>
      </c>
      <c r="C64" s="176" t="str">
        <f>C9</f>
        <v>办公</v>
      </c>
      <c r="D64" s="122" t="s">
        <v>1376</v>
      </c>
      <c r="E64" s="122"/>
      <c r="F64" s="122"/>
      <c r="G64" s="122"/>
      <c r="H64" s="122"/>
      <c r="I64" s="122"/>
      <c r="J64" s="122"/>
      <c r="K64" s="123"/>
      <c r="L64" s="124"/>
      <c r="M64" s="125"/>
      <c r="N64" s="1392"/>
      <c r="O64" s="1392"/>
      <c r="P64" s="2336"/>
      <c r="Q64" s="121"/>
    </row>
    <row r="65" spans="1:17" ht="15" thickBot="1">
      <c r="A65" s="173"/>
      <c r="B65" s="1057"/>
      <c r="C65" s="882">
        <v>100</v>
      </c>
      <c r="D65" s="882">
        <v>95</v>
      </c>
      <c r="E65" s="882"/>
      <c r="F65" s="882"/>
      <c r="G65" s="882"/>
      <c r="H65" s="882"/>
      <c r="I65" s="882"/>
      <c r="J65" s="882"/>
      <c r="K65" s="882"/>
      <c r="L65" s="882"/>
      <c r="M65" s="883"/>
      <c r="N65" s="1393"/>
      <c r="O65" s="1393"/>
      <c r="P65" s="2336"/>
      <c r="Q65" s="121"/>
    </row>
    <row r="66" spans="1:17" ht="27.75" thickTop="1">
      <c r="A66" s="173"/>
      <c r="B66" s="1058" t="s">
        <v>1283</v>
      </c>
      <c r="C66" s="885" t="s">
        <v>1239</v>
      </c>
      <c r="D66" s="885" t="s">
        <v>1240</v>
      </c>
      <c r="E66" s="885" t="s">
        <v>1241</v>
      </c>
      <c r="F66" s="885" t="s">
        <v>1242</v>
      </c>
      <c r="G66" s="885" t="s">
        <v>1243</v>
      </c>
      <c r="H66" s="885" t="s">
        <v>1244</v>
      </c>
      <c r="I66" s="885" t="s">
        <v>1245</v>
      </c>
      <c r="J66" s="885"/>
      <c r="K66" s="886"/>
      <c r="L66" s="887"/>
      <c r="M66" s="888"/>
      <c r="N66" s="1392"/>
      <c r="O66" s="1392"/>
      <c r="P66" s="2336"/>
      <c r="Q66" s="121"/>
    </row>
    <row r="67" spans="1:17" ht="15" thickBot="1">
      <c r="A67" s="173"/>
      <c r="B67" s="1059"/>
      <c r="C67" s="890" t="s">
        <v>207</v>
      </c>
      <c r="D67" s="890" t="s">
        <v>208</v>
      </c>
      <c r="E67" s="890">
        <v>100</v>
      </c>
      <c r="F67" s="890">
        <f>E67-$K10</f>
        <v>99</v>
      </c>
      <c r="G67" s="890">
        <f>F67-$K10</f>
        <v>98</v>
      </c>
      <c r="H67" s="890">
        <f>G67-$K10</f>
        <v>97</v>
      </c>
      <c r="I67" s="890">
        <f>H67-$K10</f>
        <v>96</v>
      </c>
      <c r="J67" s="890"/>
      <c r="K67" s="890"/>
      <c r="L67" s="890"/>
      <c r="M67" s="891"/>
      <c r="N67" s="1393"/>
      <c r="O67" s="1393"/>
      <c r="P67" s="2336"/>
      <c r="Q67" s="121"/>
    </row>
    <row r="68" spans="1:17" ht="15" thickTop="1">
      <c r="A68" s="173"/>
      <c r="B68" s="1060" t="s">
        <v>1284</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4" t="str">
        <f>M69&amp;"（含）"&amp;"-"&amp;P69</f>
        <v>（含）-</v>
      </c>
      <c r="N68" s="1393"/>
      <c r="O68" s="1393"/>
      <c r="P68" s="2336"/>
      <c r="Q68" s="121"/>
    </row>
    <row r="69" spans="1:17" ht="14.25">
      <c r="A69" s="173"/>
      <c r="B69" s="1061"/>
      <c r="C69" s="895">
        <v>0</v>
      </c>
      <c r="D69" s="895">
        <v>1</v>
      </c>
      <c r="E69" s="895">
        <v>2</v>
      </c>
      <c r="F69" s="895">
        <v>3</v>
      </c>
      <c r="G69" s="895">
        <v>4</v>
      </c>
      <c r="H69" s="895"/>
      <c r="I69" s="895"/>
      <c r="J69" s="895"/>
      <c r="K69" s="896"/>
      <c r="L69" s="897"/>
      <c r="M69" s="898"/>
      <c r="N69" s="1392"/>
      <c r="O69" s="1392"/>
      <c r="P69" s="2336"/>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3"/>
      <c r="O70" s="1393"/>
      <c r="P70" s="2336"/>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4"/>
      <c r="O71" s="1394"/>
      <c r="P71" s="2337"/>
      <c r="Q71" s="1067"/>
    </row>
    <row r="72" spans="1:17" s="1043" customFormat="1" ht="15" thickBot="1">
      <c r="A72" s="1062"/>
      <c r="B72" s="1059"/>
      <c r="C72" s="906">
        <v>100</v>
      </c>
      <c r="D72" s="882">
        <v>101</v>
      </c>
      <c r="E72" s="882">
        <v>102</v>
      </c>
      <c r="F72" s="882">
        <v>103</v>
      </c>
      <c r="G72" s="882"/>
      <c r="H72" s="882"/>
      <c r="I72" s="882"/>
      <c r="J72" s="882"/>
      <c r="K72" s="882"/>
      <c r="L72" s="882"/>
      <c r="M72" s="883"/>
      <c r="N72" s="1393"/>
      <c r="O72" s="1393"/>
      <c r="P72" s="2337"/>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4"/>
      <c r="O73" s="1394"/>
      <c r="P73" s="2338"/>
      <c r="Q73" s="1069"/>
    </row>
    <row r="74" spans="1:17" s="1043" customFormat="1" ht="15" thickBot="1">
      <c r="A74" s="1062"/>
      <c r="B74" s="1059"/>
      <c r="C74" s="906">
        <v>100</v>
      </c>
      <c r="D74" s="906">
        <v>101</v>
      </c>
      <c r="E74" s="906">
        <v>102</v>
      </c>
      <c r="F74" s="906">
        <v>103</v>
      </c>
      <c r="G74" s="906"/>
      <c r="H74" s="908"/>
      <c r="I74" s="908"/>
      <c r="J74" s="908"/>
      <c r="K74" s="908"/>
      <c r="L74" s="908"/>
      <c r="M74" s="909"/>
      <c r="N74" s="1394"/>
      <c r="O74" s="1394"/>
      <c r="P74" s="2337"/>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4"/>
      <c r="O75" s="1394"/>
      <c r="P75" s="2339"/>
      <c r="Q75" s="1067"/>
    </row>
    <row r="76" spans="1:17" s="1043" customFormat="1" ht="15" thickBot="1">
      <c r="A76" s="1074"/>
      <c r="B76" s="1075"/>
      <c r="C76" s="916">
        <v>100</v>
      </c>
      <c r="D76" s="916">
        <v>98</v>
      </c>
      <c r="E76" s="916">
        <v>96</v>
      </c>
      <c r="F76" s="916">
        <v>94</v>
      </c>
      <c r="G76" s="916"/>
      <c r="H76" s="917"/>
      <c r="I76" s="917"/>
      <c r="J76" s="917"/>
      <c r="K76" s="917"/>
      <c r="L76" s="917"/>
      <c r="M76" s="918"/>
      <c r="N76" s="1394"/>
      <c r="O76" s="1394"/>
      <c r="P76" s="2337"/>
      <c r="Q76" s="1067"/>
    </row>
    <row r="77" spans="1:17" ht="14.25">
      <c r="A77" s="172" t="s">
        <v>1285</v>
      </c>
      <c r="B77" s="292" t="s">
        <v>1377</v>
      </c>
      <c r="C77" s="919" t="s">
        <v>1246</v>
      </c>
      <c r="D77" s="919" t="s">
        <v>1247</v>
      </c>
      <c r="E77" s="919" t="s">
        <v>1248</v>
      </c>
      <c r="F77" s="919" t="s">
        <v>1249</v>
      </c>
      <c r="G77" s="919" t="s">
        <v>1250</v>
      </c>
      <c r="H77" s="875"/>
      <c r="I77" s="875"/>
      <c r="J77" s="875"/>
      <c r="K77" s="920"/>
      <c r="L77" s="921"/>
      <c r="M77" s="922"/>
      <c r="N77" s="1392"/>
      <c r="O77" s="1392"/>
      <c r="P77" s="2340"/>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3"/>
      <c r="O78" s="1393"/>
      <c r="P78" s="2336"/>
      <c r="Q78" s="121"/>
    </row>
    <row r="79" spans="1:17" ht="15" thickTop="1">
      <c r="A79" s="173"/>
      <c r="B79" s="1058" t="s">
        <v>1292</v>
      </c>
      <c r="C79" s="924" t="s">
        <v>1246</v>
      </c>
      <c r="D79" s="924" t="s">
        <v>1247</v>
      </c>
      <c r="E79" s="924" t="s">
        <v>1248</v>
      </c>
      <c r="F79" s="924" t="s">
        <v>1411</v>
      </c>
      <c r="G79" s="924" t="s">
        <v>1250</v>
      </c>
      <c r="H79" s="885"/>
      <c r="I79" s="885"/>
      <c r="J79" s="885"/>
      <c r="K79" s="886"/>
      <c r="L79" s="887"/>
      <c r="M79" s="888"/>
      <c r="N79" s="1392"/>
      <c r="O79" s="1392"/>
      <c r="P79" s="2336"/>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3"/>
      <c r="O80" s="1393"/>
      <c r="P80" s="2336"/>
      <c r="Q80" s="121"/>
    </row>
    <row r="81" spans="1:17" ht="15" thickTop="1">
      <c r="A81" s="173"/>
      <c r="B81" s="1058" t="s">
        <v>31</v>
      </c>
      <c r="C81" s="924" t="s">
        <v>1246</v>
      </c>
      <c r="D81" s="924" t="s">
        <v>1247</v>
      </c>
      <c r="E81" s="924" t="s">
        <v>1248</v>
      </c>
      <c r="F81" s="924" t="s">
        <v>1249</v>
      </c>
      <c r="G81" s="924" t="s">
        <v>1250</v>
      </c>
      <c r="H81" s="885"/>
      <c r="I81" s="885"/>
      <c r="J81" s="885"/>
      <c r="K81" s="886"/>
      <c r="L81" s="887"/>
      <c r="M81" s="888"/>
      <c r="N81" s="1392"/>
      <c r="O81" s="1392"/>
      <c r="P81" s="2336"/>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3"/>
      <c r="O82" s="1393"/>
      <c r="P82" s="2336"/>
      <c r="Q82" s="121"/>
    </row>
    <row r="83" spans="1:17" ht="15" thickTop="1">
      <c r="A83" s="173"/>
      <c r="B83" s="1060" t="s">
        <v>3065</v>
      </c>
      <c r="C83" s="213" t="s">
        <v>3058</v>
      </c>
      <c r="D83" s="213" t="s">
        <v>3059</v>
      </c>
      <c r="E83" s="213" t="s">
        <v>3060</v>
      </c>
      <c r="F83" s="213" t="s">
        <v>3061</v>
      </c>
      <c r="G83" s="213" t="s">
        <v>3062</v>
      </c>
      <c r="H83" s="885"/>
      <c r="I83" s="885"/>
      <c r="J83" s="885"/>
      <c r="K83" s="885"/>
      <c r="L83" s="885"/>
      <c r="M83" s="2781"/>
      <c r="N83" s="1393"/>
      <c r="O83" s="1393"/>
      <c r="P83" s="2336"/>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6"/>
      <c r="N84" s="1393"/>
      <c r="O84" s="1393"/>
      <c r="P84" s="2336"/>
      <c r="Q84" s="121"/>
    </row>
    <row r="85" spans="1:17" ht="15" thickTop="1">
      <c r="A85" s="173"/>
      <c r="B85" s="1058" t="s">
        <v>1378</v>
      </c>
      <c r="C85" s="924" t="s">
        <v>1246</v>
      </c>
      <c r="D85" s="924" t="s">
        <v>1247</v>
      </c>
      <c r="E85" s="924" t="s">
        <v>1248</v>
      </c>
      <c r="F85" s="924" t="s">
        <v>1249</v>
      </c>
      <c r="G85" s="924" t="s">
        <v>1250</v>
      </c>
      <c r="H85" s="885"/>
      <c r="I85" s="885"/>
      <c r="J85" s="885"/>
      <c r="K85" s="886"/>
      <c r="L85" s="887"/>
      <c r="M85" s="888"/>
      <c r="N85" s="1392"/>
      <c r="O85" s="1392"/>
      <c r="P85" s="2336"/>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3"/>
      <c r="O86" s="1393"/>
      <c r="P86" s="2336"/>
      <c r="Q86" s="121"/>
    </row>
    <row r="87" spans="1:17" s="40" customFormat="1" ht="27.75" thickTop="1">
      <c r="A87" s="1076"/>
      <c r="B87" s="1058" t="s">
        <v>1379</v>
      </c>
      <c r="C87" s="139" t="s">
        <v>1380</v>
      </c>
      <c r="D87" s="139" t="s">
        <v>1381</v>
      </c>
      <c r="E87" s="139" t="s">
        <v>1382</v>
      </c>
      <c r="F87" s="139" t="s">
        <v>1383</v>
      </c>
      <c r="G87" s="139" t="s">
        <v>1384</v>
      </c>
      <c r="H87" s="139"/>
      <c r="I87" s="139"/>
      <c r="J87" s="139"/>
      <c r="K87" s="139"/>
      <c r="L87" s="1387"/>
      <c r="M87" s="1388"/>
      <c r="N87" s="1391"/>
      <c r="O87" s="1391"/>
      <c r="P87" s="2336"/>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3"/>
      <c r="O88" s="1393"/>
      <c r="P88" s="2336"/>
      <c r="Q88" s="121"/>
    </row>
    <row r="89" spans="1:17" s="40" customFormat="1" ht="14.25" thickTop="1">
      <c r="A89" s="1076"/>
      <c r="B89" s="1058" t="str">
        <f>B27</f>
        <v>楼层</v>
      </c>
      <c r="C89" s="139" t="s">
        <v>1385</v>
      </c>
      <c r="D89" s="139" t="s">
        <v>1386</v>
      </c>
      <c r="E89" s="139" t="s">
        <v>1387</v>
      </c>
      <c r="F89" s="1389"/>
      <c r="G89" s="139"/>
      <c r="H89" s="139"/>
      <c r="I89" s="139"/>
      <c r="J89" s="139"/>
      <c r="K89" s="139"/>
      <c r="L89" s="139"/>
      <c r="M89" s="1388"/>
      <c r="N89" s="1391"/>
      <c r="O89" s="1391"/>
      <c r="P89" s="2336"/>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3"/>
      <c r="O90" s="1393"/>
      <c r="P90" s="2336"/>
      <c r="Q90" s="121"/>
    </row>
    <row r="91" spans="1:17" s="1043" customFormat="1" ht="14.25" thickTop="1">
      <c r="A91" s="1062"/>
      <c r="B91" s="1058" t="str">
        <f>B28</f>
        <v>朝向</v>
      </c>
      <c r="C91" s="139" t="s">
        <v>1388</v>
      </c>
      <c r="D91" s="139" t="s">
        <v>1389</v>
      </c>
      <c r="E91" s="139" t="s">
        <v>1390</v>
      </c>
      <c r="F91" s="139" t="s">
        <v>1391</v>
      </c>
      <c r="G91" s="139"/>
      <c r="H91" s="1063"/>
      <c r="I91" s="1063"/>
      <c r="J91" s="1063"/>
      <c r="K91" s="1063"/>
      <c r="L91" s="1064"/>
      <c r="M91" s="1065"/>
      <c r="N91" s="1394"/>
      <c r="O91" s="1394"/>
      <c r="P91" s="2337"/>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4"/>
      <c r="O92" s="1394"/>
      <c r="P92" s="2337"/>
      <c r="Q92" s="1067"/>
    </row>
    <row r="93" spans="1:17" ht="14.25" thickTop="1">
      <c r="A93" s="173"/>
      <c r="B93" s="1058">
        <f>B29</f>
        <v>111</v>
      </c>
      <c r="C93" s="139">
        <v>111</v>
      </c>
      <c r="D93" s="139">
        <v>222</v>
      </c>
      <c r="E93" s="139">
        <v>333</v>
      </c>
      <c r="F93" s="139">
        <v>444</v>
      </c>
      <c r="G93" s="139"/>
      <c r="H93" s="139"/>
      <c r="I93" s="139"/>
      <c r="J93" s="139"/>
      <c r="K93" s="139"/>
      <c r="L93" s="1387"/>
      <c r="M93" s="1388"/>
      <c r="N93" s="1392"/>
      <c r="O93" s="1392"/>
      <c r="P93" s="2336"/>
      <c r="Q93" s="121"/>
    </row>
    <row r="94" spans="1:17" ht="15" thickBot="1">
      <c r="A94" s="173"/>
      <c r="B94" s="1059"/>
      <c r="C94" s="906">
        <v>100</v>
      </c>
      <c r="D94" s="882">
        <v>101</v>
      </c>
      <c r="E94" s="882">
        <v>102</v>
      </c>
      <c r="F94" s="882">
        <v>103</v>
      </c>
      <c r="G94" s="882"/>
      <c r="H94" s="882"/>
      <c r="I94" s="882"/>
      <c r="J94" s="882"/>
      <c r="K94" s="882"/>
      <c r="L94" s="882"/>
      <c r="M94" s="883"/>
      <c r="N94" s="1393"/>
      <c r="O94" s="1393"/>
      <c r="P94" s="2336"/>
      <c r="Q94" s="121"/>
    </row>
    <row r="95" spans="1:17" ht="14.25" thickTop="1">
      <c r="A95" s="173"/>
      <c r="B95" s="1058">
        <f>B30</f>
        <v>111</v>
      </c>
      <c r="C95" s="139">
        <v>111</v>
      </c>
      <c r="D95" s="139">
        <v>222</v>
      </c>
      <c r="E95" s="139">
        <v>333</v>
      </c>
      <c r="F95" s="139">
        <v>444</v>
      </c>
      <c r="G95" s="131"/>
      <c r="H95" s="131"/>
      <c r="I95" s="131"/>
      <c r="J95" s="131"/>
      <c r="K95" s="132"/>
      <c r="L95" s="133"/>
      <c r="M95" s="134"/>
      <c r="N95" s="1392"/>
      <c r="O95" s="1392"/>
      <c r="P95" s="2336"/>
      <c r="Q95" s="121"/>
    </row>
    <row r="96" spans="1:17" ht="15" thickBot="1">
      <c r="A96" s="173"/>
      <c r="B96" s="1059"/>
      <c r="C96" s="906">
        <v>100</v>
      </c>
      <c r="D96" s="906">
        <v>101</v>
      </c>
      <c r="E96" s="906">
        <v>102</v>
      </c>
      <c r="F96" s="906">
        <v>103</v>
      </c>
      <c r="G96" s="882"/>
      <c r="H96" s="882"/>
      <c r="I96" s="882"/>
      <c r="J96" s="882"/>
      <c r="K96" s="882"/>
      <c r="L96" s="882"/>
      <c r="M96" s="883"/>
      <c r="N96" s="1393"/>
      <c r="O96" s="1393"/>
      <c r="P96" s="2336"/>
      <c r="Q96" s="121"/>
    </row>
    <row r="97" spans="1:17" ht="14.25" thickTop="1">
      <c r="A97" s="173"/>
      <c r="B97" s="1058">
        <f>B31</f>
        <v>111</v>
      </c>
      <c r="C97" s="139">
        <v>111</v>
      </c>
      <c r="D97" s="139">
        <v>222</v>
      </c>
      <c r="E97" s="139">
        <v>333</v>
      </c>
      <c r="F97" s="139">
        <v>444</v>
      </c>
      <c r="G97" s="131"/>
      <c r="H97" s="131"/>
      <c r="I97" s="131"/>
      <c r="J97" s="131"/>
      <c r="K97" s="132"/>
      <c r="L97" s="133"/>
      <c r="M97" s="134"/>
      <c r="N97" s="1392"/>
      <c r="O97" s="1392"/>
      <c r="P97" s="2336"/>
      <c r="Q97" s="121"/>
    </row>
    <row r="98" spans="1:17" ht="15" thickBot="1">
      <c r="A98" s="173"/>
      <c r="B98" s="1059"/>
      <c r="C98" s="906">
        <v>100</v>
      </c>
      <c r="D98" s="882">
        <v>101</v>
      </c>
      <c r="E98" s="882">
        <v>102</v>
      </c>
      <c r="F98" s="882">
        <v>103</v>
      </c>
      <c r="G98" s="882"/>
      <c r="H98" s="882"/>
      <c r="I98" s="882"/>
      <c r="J98" s="882"/>
      <c r="K98" s="882"/>
      <c r="L98" s="882"/>
      <c r="M98" s="883"/>
      <c r="N98" s="1393"/>
      <c r="O98" s="1393"/>
      <c r="P98" s="2336"/>
      <c r="Q98" s="121"/>
    </row>
    <row r="99" spans="1:17" ht="14.25" thickTop="1">
      <c r="A99" s="173"/>
      <c r="B99" s="1060">
        <f>B32</f>
        <v>111</v>
      </c>
      <c r="C99" s="140">
        <v>111</v>
      </c>
      <c r="D99" s="140">
        <v>222</v>
      </c>
      <c r="E99" s="140">
        <v>333</v>
      </c>
      <c r="F99" s="140">
        <v>444</v>
      </c>
      <c r="G99" s="135"/>
      <c r="H99" s="135"/>
      <c r="I99" s="135"/>
      <c r="J99" s="135"/>
      <c r="K99" s="136"/>
      <c r="L99" s="137"/>
      <c r="M99" s="138"/>
      <c r="N99" s="1392"/>
      <c r="O99" s="1392"/>
      <c r="P99" s="2336"/>
      <c r="Q99" s="121"/>
    </row>
    <row r="100" spans="1:17" ht="15" thickBot="1">
      <c r="A100" s="174"/>
      <c r="B100" s="1075"/>
      <c r="C100" s="916">
        <v>100</v>
      </c>
      <c r="D100" s="916">
        <v>98</v>
      </c>
      <c r="E100" s="916">
        <v>96</v>
      </c>
      <c r="F100" s="916">
        <v>94</v>
      </c>
      <c r="G100" s="937"/>
      <c r="H100" s="937"/>
      <c r="I100" s="937"/>
      <c r="J100" s="937"/>
      <c r="K100" s="937"/>
      <c r="L100" s="937"/>
      <c r="M100" s="938"/>
      <c r="N100" s="1393"/>
      <c r="O100" s="1393"/>
      <c r="P100" s="2336"/>
      <c r="Q100" s="121"/>
    </row>
    <row r="101" spans="1:17">
      <c r="A101" s="172" t="s">
        <v>1313</v>
      </c>
      <c r="B101" s="292" t="s">
        <v>1392</v>
      </c>
      <c r="C101" s="122" t="s">
        <v>1393</v>
      </c>
      <c r="D101" s="122" t="s">
        <v>1394</v>
      </c>
      <c r="E101" s="122" t="s">
        <v>1395</v>
      </c>
      <c r="F101" s="122" t="s">
        <v>1396</v>
      </c>
      <c r="G101" s="122" t="s">
        <v>1397</v>
      </c>
      <c r="H101" s="122" t="s">
        <v>1398</v>
      </c>
      <c r="I101" s="122"/>
      <c r="J101" s="122"/>
      <c r="K101" s="123"/>
      <c r="L101" s="124"/>
      <c r="M101" s="125"/>
      <c r="N101" s="1392"/>
      <c r="O101" s="1392"/>
      <c r="P101" s="2336"/>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3"/>
      <c r="O102" s="1393"/>
      <c r="P102" s="2336"/>
      <c r="Q102" s="121"/>
    </row>
    <row r="103" spans="1:17" ht="29.25" thickTop="1">
      <c r="A103" s="173"/>
      <c r="B103" s="1058" t="s">
        <v>1318</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1"/>
      <c r="O103" s="1391"/>
      <c r="P103" s="2336"/>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4"/>
      <c r="O104" s="1394"/>
      <c r="P104" s="2337"/>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3"/>
      <c r="O105" s="1393"/>
      <c r="P105" s="2337"/>
      <c r="Q105" s="1067"/>
    </row>
    <row r="106" spans="1:17" ht="14.25" thickTop="1">
      <c r="A106" s="175"/>
      <c r="B106" s="1058" t="s">
        <v>1319</v>
      </c>
      <c r="C106" s="139" t="s">
        <v>1320</v>
      </c>
      <c r="D106" s="139" t="s">
        <v>1321</v>
      </c>
      <c r="E106" s="131" t="s">
        <v>1322</v>
      </c>
      <c r="F106" s="131"/>
      <c r="G106" s="131"/>
      <c r="H106" s="131"/>
      <c r="I106" s="131"/>
      <c r="J106" s="131"/>
      <c r="K106" s="132"/>
      <c r="L106" s="133"/>
      <c r="M106" s="134"/>
      <c r="N106" s="1392"/>
      <c r="O106" s="1392"/>
      <c r="P106" s="2336"/>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3"/>
      <c r="O107" s="1393"/>
      <c r="P107" s="2336"/>
      <c r="Q107" s="121"/>
    </row>
    <row r="108" spans="1:17" ht="14.25" thickTop="1">
      <c r="A108" s="175"/>
      <c r="B108" s="1058" t="s">
        <v>1323</v>
      </c>
      <c r="C108" s="139" t="s">
        <v>1324</v>
      </c>
      <c r="D108" s="139" t="s">
        <v>1325</v>
      </c>
      <c r="E108" s="139" t="s">
        <v>1326</v>
      </c>
      <c r="F108" s="131" t="s">
        <v>1327</v>
      </c>
      <c r="G108" s="131"/>
      <c r="H108" s="131"/>
      <c r="I108" s="131"/>
      <c r="J108" s="131"/>
      <c r="K108" s="132"/>
      <c r="L108" s="133"/>
      <c r="M108" s="134"/>
      <c r="N108" s="1392"/>
      <c r="O108" s="1392"/>
      <c r="P108" s="2336"/>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3"/>
      <c r="O109" s="1393"/>
      <c r="P109" s="2336"/>
      <c r="Q109" s="121"/>
    </row>
    <row r="110" spans="1:17" ht="15" thickTop="1">
      <c r="A110" s="175"/>
      <c r="B110" s="1058" t="s">
        <v>1328</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2"/>
      <c r="O110" s="1392"/>
      <c r="P110" s="2336"/>
      <c r="Q110" s="121"/>
    </row>
    <row r="111" spans="1:17" ht="14.25">
      <c r="A111" s="175"/>
      <c r="B111" s="1060"/>
      <c r="C111" s="949">
        <v>0.5</v>
      </c>
      <c r="D111" s="949">
        <v>0.6</v>
      </c>
      <c r="E111" s="949">
        <v>0.7</v>
      </c>
      <c r="F111" s="949">
        <v>0.8</v>
      </c>
      <c r="G111" s="949">
        <v>0.9</v>
      </c>
      <c r="H111" s="949">
        <v>1.0001</v>
      </c>
      <c r="I111" s="183"/>
      <c r="J111" s="183"/>
      <c r="K111" s="184"/>
      <c r="L111" s="185"/>
      <c r="M111" s="186"/>
      <c r="N111" s="1392"/>
      <c r="O111" s="1392"/>
      <c r="P111" s="2336"/>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3"/>
      <c r="O112" s="1393"/>
      <c r="P112" s="2336"/>
      <c r="Q112" s="121"/>
    </row>
    <row r="113" spans="1:17" s="1043" customFormat="1" ht="14.25" thickTop="1">
      <c r="A113" s="1077"/>
      <c r="B113" s="1058" t="s">
        <v>1399</v>
      </c>
      <c r="C113" s="139" t="s">
        <v>1400</v>
      </c>
      <c r="D113" s="139" t="s">
        <v>1401</v>
      </c>
      <c r="E113" s="139" t="s">
        <v>1402</v>
      </c>
      <c r="F113" s="139"/>
      <c r="G113" s="139"/>
      <c r="H113" s="131"/>
      <c r="I113" s="131"/>
      <c r="J113" s="131"/>
      <c r="K113" s="132"/>
      <c r="L113" s="133"/>
      <c r="M113" s="134"/>
      <c r="N113" s="1394"/>
      <c r="O113" s="1394"/>
      <c r="P113" s="2337"/>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4"/>
      <c r="O114" s="1394"/>
      <c r="P114" s="2337"/>
      <c r="Q114" s="1067"/>
    </row>
    <row r="115" spans="1:17" ht="14.25" thickTop="1">
      <c r="A115" s="175"/>
      <c r="B115" s="1058" t="s">
        <v>1403</v>
      </c>
      <c r="C115" s="139" t="s">
        <v>1404</v>
      </c>
      <c r="D115" s="139" t="s">
        <v>1405</v>
      </c>
      <c r="E115" s="131"/>
      <c r="F115" s="131"/>
      <c r="G115" s="131"/>
      <c r="H115" s="131"/>
      <c r="I115" s="131"/>
      <c r="J115" s="131"/>
      <c r="K115" s="132"/>
      <c r="L115" s="133"/>
      <c r="M115" s="134"/>
      <c r="N115" s="1392"/>
      <c r="O115" s="1392"/>
      <c r="P115" s="2336"/>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3"/>
      <c r="O116" s="1393"/>
      <c r="P116" s="2336"/>
      <c r="Q116" s="121"/>
    </row>
    <row r="117" spans="1:17" ht="14.25" thickTop="1">
      <c r="A117" s="175"/>
      <c r="B117" s="1058" t="s">
        <v>3040</v>
      </c>
      <c r="C117" s="139" t="s">
        <v>1329</v>
      </c>
      <c r="D117" s="139" t="s">
        <v>1330</v>
      </c>
      <c r="E117" s="139" t="s">
        <v>1331</v>
      </c>
      <c r="F117" s="139" t="s">
        <v>1332</v>
      </c>
      <c r="G117" s="139" t="s">
        <v>1333</v>
      </c>
      <c r="H117" s="131"/>
      <c r="I117" s="131"/>
      <c r="J117" s="131"/>
      <c r="K117" s="132"/>
      <c r="L117" s="133"/>
      <c r="M117" s="134"/>
      <c r="N117" s="1392"/>
      <c r="O117" s="1392"/>
      <c r="P117" s="2336"/>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3"/>
      <c r="O118" s="1393"/>
      <c r="P118" s="2336"/>
      <c r="Q118" s="121"/>
    </row>
    <row r="119" spans="1:17" ht="14.25" thickTop="1">
      <c r="A119" s="175"/>
      <c r="B119" s="211" t="s">
        <v>1337</v>
      </c>
      <c r="C119" s="131" t="s">
        <v>1406</v>
      </c>
      <c r="D119" s="131" t="s">
        <v>1407</v>
      </c>
      <c r="E119" s="131"/>
      <c r="F119" s="131"/>
      <c r="G119" s="131"/>
      <c r="H119" s="131"/>
      <c r="I119" s="131"/>
      <c r="J119" s="131"/>
      <c r="K119" s="131"/>
      <c r="L119" s="198"/>
      <c r="M119" s="199"/>
      <c r="N119" s="1393"/>
      <c r="O119" s="1393"/>
      <c r="P119" s="2341"/>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3"/>
      <c r="O120" s="1393"/>
      <c r="P120" s="2336"/>
      <c r="Q120" s="121"/>
    </row>
    <row r="121" spans="1:17" s="1043" customFormat="1" ht="15" thickTop="1">
      <c r="A121" s="1077"/>
      <c r="B121" s="1058" t="s">
        <v>1340</v>
      </c>
      <c r="C121" s="900" t="s">
        <v>295</v>
      </c>
      <c r="D121" s="900" t="s">
        <v>291</v>
      </c>
      <c r="E121" s="900" t="s">
        <v>292</v>
      </c>
      <c r="F121" s="929" t="s">
        <v>296</v>
      </c>
      <c r="G121" s="901"/>
      <c r="H121" s="901"/>
      <c r="I121" s="901"/>
      <c r="J121" s="901"/>
      <c r="K121" s="901"/>
      <c r="L121" s="902"/>
      <c r="M121" s="903"/>
      <c r="N121" s="1394"/>
      <c r="O121" s="1394"/>
      <c r="P121" s="2337"/>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4"/>
      <c r="O122" s="1394"/>
      <c r="P122" s="2337"/>
      <c r="Q122" s="1067"/>
    </row>
    <row r="123" spans="1:17" ht="14.25" thickTop="1">
      <c r="A123" s="175"/>
      <c r="B123" s="1058" t="s">
        <v>1345</v>
      </c>
      <c r="C123" s="139" t="s">
        <v>1324</v>
      </c>
      <c r="D123" s="139" t="s">
        <v>1325</v>
      </c>
      <c r="E123" s="139" t="s">
        <v>1326</v>
      </c>
      <c r="F123" s="131" t="s">
        <v>1327</v>
      </c>
      <c r="G123" s="131"/>
      <c r="H123" s="131"/>
      <c r="I123" s="131"/>
      <c r="J123" s="131"/>
      <c r="K123" s="132"/>
      <c r="L123" s="133"/>
      <c r="M123" s="134"/>
      <c r="N123" s="1392"/>
      <c r="O123" s="1392"/>
      <c r="P123" s="2336"/>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3"/>
      <c r="O124" s="1393"/>
      <c r="P124" s="2336"/>
      <c r="Q124" s="121"/>
    </row>
    <row r="125" spans="1:17" ht="27.75" thickTop="1">
      <c r="A125" s="175"/>
      <c r="B125" s="1058" t="s">
        <v>1346</v>
      </c>
      <c r="C125" s="924" t="s">
        <v>1246</v>
      </c>
      <c r="D125" s="924" t="s">
        <v>1247</v>
      </c>
      <c r="E125" s="924" t="s">
        <v>1248</v>
      </c>
      <c r="F125" s="924" t="s">
        <v>1249</v>
      </c>
      <c r="G125" s="924" t="s">
        <v>1250</v>
      </c>
      <c r="H125" s="885"/>
      <c r="I125" s="885"/>
      <c r="J125" s="885"/>
      <c r="K125" s="886"/>
      <c r="L125" s="887"/>
      <c r="M125" s="888"/>
      <c r="N125" s="1392"/>
      <c r="O125" s="1392"/>
      <c r="P125" s="2337"/>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3"/>
      <c r="O126" s="1393"/>
      <c r="P126" s="2336"/>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4"/>
      <c r="O127" s="1394"/>
      <c r="P127" s="2337"/>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4"/>
      <c r="O128" s="1394"/>
      <c r="P128" s="2337"/>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2"/>
      <c r="O129" s="1392"/>
      <c r="P129" s="2336"/>
      <c r="Q129" s="121"/>
    </row>
    <row r="130" spans="1:17" ht="15" thickBot="1">
      <c r="A130" s="173"/>
      <c r="B130" s="1059"/>
      <c r="C130" s="906">
        <v>100</v>
      </c>
      <c r="D130" s="906">
        <v>101</v>
      </c>
      <c r="E130" s="906">
        <v>102</v>
      </c>
      <c r="F130" s="906">
        <v>103</v>
      </c>
      <c r="G130" s="882"/>
      <c r="H130" s="882"/>
      <c r="I130" s="882"/>
      <c r="J130" s="882"/>
      <c r="K130" s="882"/>
      <c r="L130" s="882"/>
      <c r="M130" s="883"/>
      <c r="N130" s="1393"/>
      <c r="O130" s="1393"/>
      <c r="P130" s="2336"/>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2"/>
      <c r="O131" s="1392"/>
      <c r="P131" s="2336"/>
      <c r="Q131" s="121"/>
    </row>
    <row r="132" spans="1:17" ht="15" thickBot="1">
      <c r="A132" s="174"/>
      <c r="B132" s="1075"/>
      <c r="C132" s="916">
        <v>100</v>
      </c>
      <c r="D132" s="916">
        <v>98</v>
      </c>
      <c r="E132" s="916">
        <v>96</v>
      </c>
      <c r="F132" s="916">
        <v>94</v>
      </c>
      <c r="G132" s="937"/>
      <c r="H132" s="937"/>
      <c r="I132" s="937"/>
      <c r="J132" s="937"/>
      <c r="K132" s="937"/>
      <c r="L132" s="937"/>
      <c r="M132" s="938"/>
      <c r="N132" s="1393"/>
      <c r="O132" s="1393"/>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1412</v>
      </c>
      <c r="B1" s="3140" t="s">
        <v>1413</v>
      </c>
      <c r="C1" s="3134" t="s">
        <v>1414</v>
      </c>
      <c r="D1" s="3125"/>
      <c r="E1" s="3130"/>
      <c r="F1" s="3127" t="s">
        <v>3099</v>
      </c>
      <c r="G1" s="3129" t="s">
        <v>1415</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1416</v>
      </c>
      <c r="B2" s="2863">
        <f ca="1">IF(C2="——",ROUND(C43*D3/10000,0),ROUND(C43*D3/10000,0)-D2)</f>
        <v>2826163</v>
      </c>
      <c r="C2" s="3119" t="s">
        <v>3101</v>
      </c>
      <c r="D2" s="2349">
        <f ca="1">SUMIF(INDIRECT("'"&amp;F2&amp;"'"&amp;"!A:A"),"承租人权益价值",INDIRECT("'"&amp;F2&amp;"'"&amp;"!c:c"))</f>
        <v>-72028</v>
      </c>
      <c r="E2" s="3120" t="s">
        <v>1094</v>
      </c>
      <c r="F2" s="3121" t="s">
        <v>2832</v>
      </c>
      <c r="G2" s="2325"/>
      <c r="H2" s="2325"/>
      <c r="I2" s="2325"/>
      <c r="J2" s="2325"/>
      <c r="K2" s="2325"/>
      <c r="L2" s="2326"/>
      <c r="M2" s="2327"/>
      <c r="N2" s="2327"/>
      <c r="O2" s="2327"/>
      <c r="P2" s="1337"/>
      <c r="Q2" s="1337"/>
      <c r="R2" s="1337"/>
      <c r="S2" s="1337"/>
      <c r="T2" s="1337"/>
      <c r="U2" s="1337"/>
      <c r="V2" s="1337"/>
      <c r="W2" s="1337"/>
      <c r="X2" s="1337"/>
      <c r="Y2" s="1337"/>
      <c r="Z2" s="1337"/>
      <c r="AA2" s="1337"/>
      <c r="AB2" s="1337"/>
      <c r="AC2" s="1395"/>
    </row>
    <row r="3" spans="1:29" s="90" customFormat="1" ht="28.5" customHeight="1" thickBot="1">
      <c r="A3" s="87" t="s">
        <v>1417</v>
      </c>
      <c r="B3" s="955">
        <f ca="1">IF(C2="——",C43,ROUND(B2*10000/D3,0))</f>
        <v>57114</v>
      </c>
      <c r="C3" s="142" t="s">
        <v>1418</v>
      </c>
      <c r="D3" s="745">
        <f>IF(D1="",'数据-汇总表'!E3,SUMIF('数据-汇总表'!$C19:$C33,D1,'数据-汇总表'!$E19:$E33))</f>
        <v>494831.87</v>
      </c>
      <c r="E3" s="2325"/>
      <c r="F3" s="2324"/>
      <c r="G3" s="2325"/>
      <c r="H3" s="2325"/>
      <c r="I3" s="2325"/>
      <c r="J3" s="2325"/>
      <c r="K3" s="2328"/>
      <c r="L3" s="2326"/>
      <c r="M3" s="2327"/>
      <c r="N3" s="2327"/>
      <c r="O3" s="2327"/>
      <c r="P3" s="1337"/>
      <c r="Q3" s="1337"/>
      <c r="R3" s="1337"/>
      <c r="S3" s="1337"/>
      <c r="T3" s="1337"/>
      <c r="U3" s="1337"/>
      <c r="V3" s="1337"/>
      <c r="W3" s="1337"/>
      <c r="X3" s="1337"/>
      <c r="Y3" s="1337"/>
      <c r="Z3" s="1337"/>
      <c r="AA3" s="1337"/>
      <c r="AB3" s="1413"/>
      <c r="AC3" s="1395"/>
    </row>
    <row r="4" spans="1:29">
      <c r="A4" s="143" t="s">
        <v>1419</v>
      </c>
      <c r="B4" s="144"/>
      <c r="C4" s="3793" t="s">
        <v>1420</v>
      </c>
      <c r="D4" s="3794"/>
      <c r="E4" s="3795" t="s">
        <v>1421</v>
      </c>
      <c r="F4" s="3796"/>
      <c r="G4" s="3793" t="s">
        <v>1422</v>
      </c>
      <c r="H4" s="3794"/>
      <c r="I4" s="3793" t="s">
        <v>1423</v>
      </c>
      <c r="J4" s="3794"/>
      <c r="K4" s="187" t="s">
        <v>1424</v>
      </c>
      <c r="L4" s="2302"/>
      <c r="M4" s="2303"/>
      <c r="N4" s="2303"/>
      <c r="O4" s="2303"/>
      <c r="P4" s="3797" t="s">
        <v>1419</v>
      </c>
      <c r="Q4" s="3798"/>
      <c r="R4" s="3780" t="s">
        <v>1421</v>
      </c>
      <c r="S4" s="3781"/>
      <c r="T4" s="3780" t="s">
        <v>1422</v>
      </c>
      <c r="U4" s="3781"/>
      <c r="V4" s="3805" t="s">
        <v>1423</v>
      </c>
      <c r="W4" s="3805"/>
      <c r="X4" s="1343"/>
      <c r="Y4" s="3780" t="s">
        <v>1419</v>
      </c>
      <c r="Z4" s="3781"/>
      <c r="AA4" s="3775" t="s">
        <v>1421</v>
      </c>
      <c r="AB4" s="3776" t="s">
        <v>1422</v>
      </c>
      <c r="AC4" s="3775" t="s">
        <v>1423</v>
      </c>
    </row>
    <row r="5" spans="1:29">
      <c r="A5" s="146"/>
      <c r="B5" s="147"/>
      <c r="C5" s="3786" t="s">
        <v>1425</v>
      </c>
      <c r="D5" s="3787"/>
      <c r="E5" s="3784" t="s">
        <v>1426</v>
      </c>
      <c r="F5" s="3785"/>
      <c r="G5" s="3786" t="s">
        <v>1427</v>
      </c>
      <c r="H5" s="3787"/>
      <c r="I5" s="3786" t="s">
        <v>1428</v>
      </c>
      <c r="J5" s="3787"/>
      <c r="K5" s="187"/>
      <c r="L5" s="2302"/>
      <c r="M5" s="2303"/>
      <c r="N5" s="2303"/>
      <c r="O5" s="2303"/>
      <c r="P5" s="3799"/>
      <c r="Q5" s="3800"/>
      <c r="R5" s="3782"/>
      <c r="S5" s="3783"/>
      <c r="T5" s="3782"/>
      <c r="U5" s="3783"/>
      <c r="V5" s="3805"/>
      <c r="W5" s="3805"/>
      <c r="X5" s="1343"/>
      <c r="Y5" s="3782"/>
      <c r="Z5" s="3783"/>
      <c r="AA5" s="3776"/>
      <c r="AB5" s="3776"/>
      <c r="AC5" s="3776"/>
    </row>
    <row r="6" spans="1:29" ht="14.25" thickBot="1">
      <c r="A6" s="148"/>
      <c r="B6" s="149"/>
      <c r="C6" s="3788" t="s">
        <v>1429</v>
      </c>
      <c r="D6" s="3789"/>
      <c r="E6" s="3790" t="s">
        <v>1429</v>
      </c>
      <c r="F6" s="3791"/>
      <c r="G6" s="3788" t="s">
        <v>1429</v>
      </c>
      <c r="H6" s="3789"/>
      <c r="I6" s="3788" t="s">
        <v>1429</v>
      </c>
      <c r="J6" s="3789"/>
      <c r="K6" s="187" t="s">
        <v>1430</v>
      </c>
      <c r="L6" s="2302"/>
      <c r="M6" s="2303"/>
      <c r="N6" s="2303"/>
      <c r="O6" s="2303"/>
      <c r="P6" s="3801"/>
      <c r="Q6" s="3802"/>
      <c r="R6" s="3782"/>
      <c r="S6" s="3783"/>
      <c r="T6" s="3803"/>
      <c r="U6" s="3804"/>
      <c r="V6" s="3805"/>
      <c r="W6" s="3805"/>
      <c r="X6" s="1343"/>
      <c r="Y6" s="3803"/>
      <c r="Z6" s="3804"/>
      <c r="AA6" s="3777"/>
      <c r="AB6" s="3777"/>
      <c r="AC6" s="3777"/>
    </row>
    <row r="7" spans="1:29" s="40" customFormat="1" ht="15" thickBot="1">
      <c r="A7" s="1017" t="s">
        <v>1431</v>
      </c>
      <c r="B7" s="1018"/>
      <c r="C7" s="756">
        <f>'数据-取费表'!B2</f>
        <v>42906</v>
      </c>
      <c r="D7" s="757">
        <v>100</v>
      </c>
      <c r="E7" s="1020">
        <v>42736</v>
      </c>
      <c r="F7" s="759">
        <f>SUMIF(52:52,YEAR(E7)&amp;"-"&amp;MONTH(E7),53:53)</f>
        <v>97.5</v>
      </c>
      <c r="G7" s="1020">
        <v>42736</v>
      </c>
      <c r="H7" s="757">
        <f>SUMIF(52:52,YEAR(G7)&amp;"-"&amp;MONTH(G7),53:53)</f>
        <v>97.5</v>
      </c>
      <c r="I7" s="1020">
        <v>42736</v>
      </c>
      <c r="J7" s="757">
        <f>SUMIF(52:52,YEAR(I7)&amp;"-"&amp;MONTH(I7),53:53)</f>
        <v>97.5</v>
      </c>
      <c r="K7" s="1022"/>
      <c r="L7" s="2304"/>
      <c r="M7" s="2266"/>
      <c r="N7" s="2266"/>
      <c r="O7" s="2266"/>
      <c r="P7" s="3778" t="s">
        <v>1431</v>
      </c>
      <c r="Q7" s="3806"/>
      <c r="R7" s="1345" t="s">
        <v>70</v>
      </c>
      <c r="S7" s="1346">
        <f t="shared" ref="S7:S15" si="0">F7</f>
        <v>97.5</v>
      </c>
      <c r="T7" s="1345" t="s">
        <v>70</v>
      </c>
      <c r="U7" s="1346">
        <f t="shared" ref="U7:U15" si="1">H7</f>
        <v>97.5</v>
      </c>
      <c r="V7" s="1345" t="s">
        <v>70</v>
      </c>
      <c r="W7" s="1346">
        <f t="shared" ref="W7:W15" si="2">J7</f>
        <v>97.5</v>
      </c>
      <c r="X7" s="293"/>
      <c r="Y7" s="3778" t="s">
        <v>1431</v>
      </c>
      <c r="Z7" s="3779"/>
      <c r="AA7" s="1347">
        <f>D7/F7</f>
        <v>1.0256410256410255</v>
      </c>
      <c r="AB7" s="1347">
        <f>D7/H7</f>
        <v>1.0256410256410255</v>
      </c>
      <c r="AC7" s="1347">
        <f>D7/J7</f>
        <v>1.0256410256410255</v>
      </c>
    </row>
    <row r="8" spans="1:29" s="40" customFormat="1" ht="15" thickBot="1">
      <c r="A8" s="1017" t="s">
        <v>1432</v>
      </c>
      <c r="B8" s="1018"/>
      <c r="C8" s="1023" t="s">
        <v>1433</v>
      </c>
      <c r="D8" s="757">
        <v>100</v>
      </c>
      <c r="E8" s="1023" t="s">
        <v>1433</v>
      </c>
      <c r="F8" s="759">
        <f>SUMIF(55:55,E8,56:56)-SUMIF(55:55,C8,56:56)+100</f>
        <v>100</v>
      </c>
      <c r="G8" s="1023" t="s">
        <v>259</v>
      </c>
      <c r="H8" s="757">
        <f>SUMIF(55:55,G8,56:56)-SUMIF(55:55,C8,56:56)+100</f>
        <v>98</v>
      </c>
      <c r="I8" s="1023" t="s">
        <v>1251</v>
      </c>
      <c r="J8" s="757">
        <f>SUMIF(55:55,I8,56:56)-SUMIF(55:55,C8,56:56)+100</f>
        <v>100</v>
      </c>
      <c r="K8" s="1022"/>
      <c r="L8" s="2304"/>
      <c r="M8" s="2266"/>
      <c r="N8" s="2266"/>
      <c r="O8" s="2266"/>
      <c r="P8" s="3778" t="s">
        <v>1252</v>
      </c>
      <c r="Q8" s="3779"/>
      <c r="R8" s="1345" t="s">
        <v>70</v>
      </c>
      <c r="S8" s="1346">
        <f t="shared" si="0"/>
        <v>100</v>
      </c>
      <c r="T8" s="1345" t="s">
        <v>70</v>
      </c>
      <c r="U8" s="1346">
        <f t="shared" si="1"/>
        <v>98</v>
      </c>
      <c r="V8" s="1345" t="s">
        <v>70</v>
      </c>
      <c r="W8" s="1346">
        <f t="shared" si="2"/>
        <v>100</v>
      </c>
      <c r="X8" s="293"/>
      <c r="Y8" s="3778" t="s">
        <v>1252</v>
      </c>
      <c r="Z8" s="3779"/>
      <c r="AA8" s="1347">
        <f t="shared" ref="AA8:AA40" si="3">D8/F8</f>
        <v>1</v>
      </c>
      <c r="AB8" s="1347">
        <f t="shared" ref="AB8:AB40" si="4">D8/H8</f>
        <v>1.0204081632653061</v>
      </c>
      <c r="AC8" s="1347">
        <f t="shared" ref="AC8:AC40" si="5">D8/J8</f>
        <v>1</v>
      </c>
    </row>
    <row r="9" spans="1:29" s="40" customFormat="1" ht="14.25">
      <c r="A9" s="1024" t="s">
        <v>1253</v>
      </c>
      <c r="B9" s="62" t="s">
        <v>1254</v>
      </c>
      <c r="C9" s="1349" t="s">
        <v>1434</v>
      </c>
      <c r="D9" s="428">
        <v>100</v>
      </c>
      <c r="E9" s="1351" t="s">
        <v>40</v>
      </c>
      <c r="F9" s="428">
        <f>SUMIF(57:57,E9,58:58)-SUMIF(57:57,C9,58:58)+100</f>
        <v>100</v>
      </c>
      <c r="G9" s="1350" t="s">
        <v>40</v>
      </c>
      <c r="H9" s="428">
        <f>SUMIF(57:57,G9,58:58)-SUMIF(57:57,C9,58:58)+100</f>
        <v>100</v>
      </c>
      <c r="I9" s="1350" t="s">
        <v>301</v>
      </c>
      <c r="J9" s="428">
        <f>SUMIF(57:57,I9,58:58)-SUMIF(57:57,C9,58:58)+100</f>
        <v>105</v>
      </c>
      <c r="K9" s="1022"/>
      <c r="L9" s="2304"/>
      <c r="M9" s="2266"/>
      <c r="N9" s="2266"/>
      <c r="O9" s="2345"/>
      <c r="P9" s="3810" t="s">
        <v>72</v>
      </c>
      <c r="Q9" s="7" t="str">
        <f t="shared" ref="Q9:Q15" si="6">B9</f>
        <v>用途</v>
      </c>
      <c r="R9" s="1345" t="s">
        <v>70</v>
      </c>
      <c r="S9" s="1346">
        <f t="shared" si="0"/>
        <v>100</v>
      </c>
      <c r="T9" s="1345" t="s">
        <v>70</v>
      </c>
      <c r="U9" s="1346">
        <f t="shared" si="1"/>
        <v>100</v>
      </c>
      <c r="V9" s="1345" t="s">
        <v>70</v>
      </c>
      <c r="W9" s="1346">
        <f t="shared" si="2"/>
        <v>105</v>
      </c>
      <c r="X9" s="293"/>
      <c r="Y9" s="3610" t="s">
        <v>72</v>
      </c>
      <c r="Z9" s="294" t="str">
        <f t="shared" ref="Z9:Z15" si="7">Q9</f>
        <v>用途</v>
      </c>
      <c r="AA9" s="1347">
        <f t="shared" si="3"/>
        <v>1</v>
      </c>
      <c r="AB9" s="1347">
        <f t="shared" si="4"/>
        <v>1</v>
      </c>
      <c r="AC9" s="1347">
        <f t="shared" si="5"/>
        <v>0.95238095238095233</v>
      </c>
    </row>
    <row r="10" spans="1:29" s="92" customFormat="1" ht="27">
      <c r="A10" s="150"/>
      <c r="B10" s="12" t="s">
        <v>125</v>
      </c>
      <c r="C10" s="1352" t="s">
        <v>283</v>
      </c>
      <c r="D10" s="429">
        <v>100</v>
      </c>
      <c r="E10" s="1352" t="s">
        <v>284</v>
      </c>
      <c r="F10" s="429">
        <f>SUMIF(59:59,E10,60:60)-SUMIF(59:59,C10,60:60)+100</f>
        <v>98</v>
      </c>
      <c r="G10" s="1353" t="s">
        <v>285</v>
      </c>
      <c r="H10" s="429">
        <f>SUMIF(59:59,G10,60:60)-SUMIF(59:59,C10,60:60)+100</f>
        <v>96</v>
      </c>
      <c r="I10" s="1352" t="s">
        <v>286</v>
      </c>
      <c r="J10" s="429">
        <f>SUMIF(59:59,I10,60:60)-SUMIF(59:59,C10,60:60)+100</f>
        <v>94</v>
      </c>
      <c r="K10" s="958">
        <v>2</v>
      </c>
      <c r="L10" s="2305"/>
      <c r="M10" s="2306"/>
      <c r="N10" s="2306"/>
      <c r="O10" s="2346"/>
      <c r="P10" s="3810"/>
      <c r="Q10" s="7" t="str">
        <f t="shared" si="6"/>
        <v>土地使用年限（年）</v>
      </c>
      <c r="R10" s="1345" t="s">
        <v>70</v>
      </c>
      <c r="S10" s="1346">
        <f t="shared" si="0"/>
        <v>98</v>
      </c>
      <c r="T10" s="1345" t="s">
        <v>70</v>
      </c>
      <c r="U10" s="1346">
        <f t="shared" si="1"/>
        <v>96</v>
      </c>
      <c r="V10" s="1345" t="s">
        <v>70</v>
      </c>
      <c r="W10" s="1346">
        <f t="shared" si="2"/>
        <v>94</v>
      </c>
      <c r="X10" s="293"/>
      <c r="Y10" s="3610"/>
      <c r="Z10" s="294" t="str">
        <f t="shared" si="7"/>
        <v>土地使用年限（年）</v>
      </c>
      <c r="AA10" s="1347">
        <f t="shared" si="3"/>
        <v>1.0204081632653061</v>
      </c>
      <c r="AB10" s="1347">
        <f t="shared" si="4"/>
        <v>1.0416666666666667</v>
      </c>
      <c r="AC10" s="1347">
        <f t="shared" si="5"/>
        <v>1.0638297872340425</v>
      </c>
    </row>
    <row r="11" spans="1:29" ht="15">
      <c r="A11" s="151"/>
      <c r="B11" s="12" t="s">
        <v>98</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8">
        <v>3</v>
      </c>
      <c r="L11" s="2307"/>
      <c r="M11" s="2303"/>
      <c r="N11" s="2303"/>
      <c r="O11" s="2347"/>
      <c r="P11" s="3810"/>
      <c r="Q11" s="7" t="str">
        <f t="shared" si="6"/>
        <v>容积率</v>
      </c>
      <c r="R11" s="1345" t="s">
        <v>70</v>
      </c>
      <c r="S11" s="1346">
        <f t="shared" si="0"/>
        <v>97</v>
      </c>
      <c r="T11" s="1345" t="s">
        <v>70</v>
      </c>
      <c r="U11" s="1346">
        <f t="shared" si="1"/>
        <v>94</v>
      </c>
      <c r="V11" s="1345" t="s">
        <v>70</v>
      </c>
      <c r="W11" s="1346">
        <f t="shared" si="2"/>
        <v>91</v>
      </c>
      <c r="X11" s="293"/>
      <c r="Y11" s="3610"/>
      <c r="Z11" s="294" t="str">
        <f t="shared" si="7"/>
        <v>容积率</v>
      </c>
      <c r="AA11" s="1347">
        <f t="shared" si="3"/>
        <v>1.0309278350515463</v>
      </c>
      <c r="AB11" s="1347">
        <f t="shared" si="4"/>
        <v>1.0638297872340425</v>
      </c>
      <c r="AC11" s="1347">
        <f t="shared" si="5"/>
        <v>1.098901098901099</v>
      </c>
    </row>
    <row r="12" spans="1:29" s="40" customFormat="1" ht="14.25">
      <c r="A12" s="1033"/>
      <c r="B12" s="1034">
        <v>111</v>
      </c>
      <c r="C12" s="1027">
        <v>111</v>
      </c>
      <c r="D12" s="779">
        <v>100</v>
      </c>
      <c r="E12" s="93">
        <v>111</v>
      </c>
      <c r="F12" s="429">
        <f>SUMIF(64:64,E12,65:65)-SUMIF(64:64,C12,65:65)+100</f>
        <v>100</v>
      </c>
      <c r="G12" s="1414">
        <v>111</v>
      </c>
      <c r="H12" s="429">
        <f>SUMIF(64:64,G12,65:65)-SUMIF(64:64,C12,65:65)+100</f>
        <v>100</v>
      </c>
      <c r="I12" s="1361">
        <v>111</v>
      </c>
      <c r="J12" s="429">
        <f>SUMIF(64:64,I12,65:65)-SUMIF(64:64,C12,65:65)+100</f>
        <v>100</v>
      </c>
      <c r="K12" s="188"/>
      <c r="L12" s="2304"/>
      <c r="M12" s="2266"/>
      <c r="N12" s="2266"/>
      <c r="O12" s="2345"/>
      <c r="P12" s="3810"/>
      <c r="Q12" s="7">
        <f t="shared" si="6"/>
        <v>111</v>
      </c>
      <c r="R12" s="1345" t="s">
        <v>70</v>
      </c>
      <c r="S12" s="1346">
        <f t="shared" si="0"/>
        <v>100</v>
      </c>
      <c r="T12" s="1345" t="s">
        <v>70</v>
      </c>
      <c r="U12" s="1346">
        <f t="shared" si="1"/>
        <v>100</v>
      </c>
      <c r="V12" s="1345" t="s">
        <v>70</v>
      </c>
      <c r="W12" s="1346">
        <f t="shared" si="2"/>
        <v>100</v>
      </c>
      <c r="X12" s="293"/>
      <c r="Y12" s="3610"/>
      <c r="Z12" s="294">
        <f t="shared" si="7"/>
        <v>111</v>
      </c>
      <c r="AA12" s="1347">
        <f>D12/F12</f>
        <v>1</v>
      </c>
      <c r="AB12" s="1347">
        <f>D12/H12</f>
        <v>1</v>
      </c>
      <c r="AC12" s="1347">
        <f>D12/J12</f>
        <v>1</v>
      </c>
    </row>
    <row r="13" spans="1:29" ht="14.25">
      <c r="A13" s="151"/>
      <c r="B13" s="1034">
        <v>111</v>
      </c>
      <c r="C13" s="93">
        <v>111</v>
      </c>
      <c r="D13" s="781">
        <v>100</v>
      </c>
      <c r="E13" s="93">
        <v>111</v>
      </c>
      <c r="F13" s="429">
        <f>SUMIF(66:66,E13,67:67)-SUMIF(66:66,C13,67:67)+100</f>
        <v>100</v>
      </c>
      <c r="G13" s="1414">
        <v>111</v>
      </c>
      <c r="H13" s="781">
        <f>SUMIF(66:66,G13,67:67)-SUMIF(66:66,C13,67:67)+100</f>
        <v>100</v>
      </c>
      <c r="I13" s="1361">
        <v>111</v>
      </c>
      <c r="J13" s="781">
        <f>SUMIF(66:66,I13,67:67)-SUMIF(66:66,C13,67:67)+100</f>
        <v>100</v>
      </c>
      <c r="K13" s="188"/>
      <c r="L13" s="2308"/>
      <c r="M13" s="2303"/>
      <c r="N13" s="2303"/>
      <c r="O13" s="2347"/>
      <c r="P13" s="3810"/>
      <c r="Q13" s="7">
        <f t="shared" si="6"/>
        <v>111</v>
      </c>
      <c r="R13" s="1345" t="s">
        <v>70</v>
      </c>
      <c r="S13" s="1346">
        <f t="shared" si="0"/>
        <v>100</v>
      </c>
      <c r="T13" s="1345" t="s">
        <v>70</v>
      </c>
      <c r="U13" s="1346">
        <f t="shared" si="1"/>
        <v>100</v>
      </c>
      <c r="V13" s="1345" t="s">
        <v>70</v>
      </c>
      <c r="W13" s="1346">
        <f t="shared" si="2"/>
        <v>100</v>
      </c>
      <c r="X13" s="293"/>
      <c r="Y13" s="3610"/>
      <c r="Z13" s="294">
        <f t="shared" si="7"/>
        <v>111</v>
      </c>
      <c r="AA13" s="1347">
        <f t="shared" si="3"/>
        <v>1</v>
      </c>
      <c r="AB13" s="1347">
        <f t="shared" si="4"/>
        <v>1</v>
      </c>
      <c r="AC13" s="1347">
        <f t="shared" si="5"/>
        <v>1</v>
      </c>
    </row>
    <row r="14" spans="1:29" ht="15" thickBot="1">
      <c r="A14" s="154"/>
      <c r="B14" s="1035">
        <v>111</v>
      </c>
      <c r="C14" s="94">
        <v>111</v>
      </c>
      <c r="D14" s="784">
        <v>100</v>
      </c>
      <c r="E14" s="94">
        <v>111</v>
      </c>
      <c r="F14" s="784">
        <f>SUMIF(68:68,E14,69:69)-SUMIF(68:68,C14,69:69)+100</f>
        <v>100</v>
      </c>
      <c r="G14" s="1414">
        <v>111</v>
      </c>
      <c r="H14" s="784">
        <f>SUMIF(68:68,G14,69:69)-SUMIF(68:68,C14,69:69)+100</f>
        <v>100</v>
      </c>
      <c r="I14" s="1361">
        <v>111</v>
      </c>
      <c r="J14" s="784">
        <f>SUMIF(68:68,I14,69:69)-SUMIF(68:68,C14,69:69)+100</f>
        <v>100</v>
      </c>
      <c r="K14" s="188"/>
      <c r="L14" s="2308"/>
      <c r="M14" s="2303"/>
      <c r="N14" s="2303"/>
      <c r="O14" s="2347"/>
      <c r="P14" s="3810"/>
      <c r="Q14" s="7">
        <f t="shared" si="6"/>
        <v>111</v>
      </c>
      <c r="R14" s="1345" t="s">
        <v>70</v>
      </c>
      <c r="S14" s="1346">
        <f t="shared" si="0"/>
        <v>100</v>
      </c>
      <c r="T14" s="1345" t="s">
        <v>70</v>
      </c>
      <c r="U14" s="1346">
        <f t="shared" si="1"/>
        <v>100</v>
      </c>
      <c r="V14" s="1345" t="s">
        <v>70</v>
      </c>
      <c r="W14" s="1346">
        <f t="shared" si="2"/>
        <v>100</v>
      </c>
      <c r="X14" s="293"/>
      <c r="Y14" s="3610"/>
      <c r="Z14" s="294">
        <f t="shared" si="7"/>
        <v>111</v>
      </c>
      <c r="AA14" s="1347">
        <f t="shared" si="3"/>
        <v>1</v>
      </c>
      <c r="AB14" s="1347">
        <f t="shared" si="4"/>
        <v>1</v>
      </c>
      <c r="AC14" s="1347">
        <f t="shared" si="5"/>
        <v>1</v>
      </c>
    </row>
    <row r="15" spans="1:29" ht="81">
      <c r="A15" s="155" t="s">
        <v>74</v>
      </c>
      <c r="B15" s="58" t="s">
        <v>244</v>
      </c>
      <c r="C15" s="212" t="str">
        <f>估价对象房地状况!G3</f>
        <v>估价对象位于北京经济技术开发区，园区建设成熟，产业集聚程度较好</v>
      </c>
      <c r="D15" s="787">
        <v>100</v>
      </c>
      <c r="E15" s="95"/>
      <c r="F15" s="789">
        <f>SUMIF(70:70,E16,71:71)-SUMIF(70:70,C16,71:71)+100</f>
        <v>100</v>
      </c>
      <c r="G15" s="96"/>
      <c r="H15" s="787">
        <f>SUMIF(70:70,G16,71:71)-SUMIF(70:70,C16,71:71)+100</f>
        <v>100</v>
      </c>
      <c r="I15" s="95"/>
      <c r="J15" s="787">
        <f>SUMIF(70:70,I16,71:71)-SUMIF(70:70,C16,71:71)+100</f>
        <v>100</v>
      </c>
      <c r="K15" s="960">
        <v>2</v>
      </c>
      <c r="L15" s="2308"/>
      <c r="M15" s="2303"/>
      <c r="N15" s="2303"/>
      <c r="O15" s="2347"/>
      <c r="P15" s="3812" t="s">
        <v>74</v>
      </c>
      <c r="Q15" s="1354" t="str">
        <f t="shared" si="6"/>
        <v>产业集聚程度</v>
      </c>
      <c r="R15" s="1355" t="s">
        <v>70</v>
      </c>
      <c r="S15" s="1356">
        <f t="shared" si="0"/>
        <v>100</v>
      </c>
      <c r="T15" s="1355" t="s">
        <v>70</v>
      </c>
      <c r="U15" s="1356">
        <f t="shared" si="1"/>
        <v>100</v>
      </c>
      <c r="V15" s="1355" t="s">
        <v>70</v>
      </c>
      <c r="W15" s="1356">
        <f t="shared" si="2"/>
        <v>100</v>
      </c>
      <c r="X15" s="1343"/>
      <c r="Y15" s="3812" t="s">
        <v>74</v>
      </c>
      <c r="Z15" s="1357" t="str">
        <f t="shared" si="7"/>
        <v>产业集聚程度</v>
      </c>
      <c r="AA15" s="1358">
        <f t="shared" si="3"/>
        <v>1</v>
      </c>
      <c r="AB15" s="1358">
        <f t="shared" si="4"/>
        <v>1</v>
      </c>
      <c r="AC15" s="1358">
        <f t="shared" si="5"/>
        <v>1</v>
      </c>
    </row>
    <row r="16" spans="1:29" ht="14.25">
      <c r="A16" s="151"/>
      <c r="B16" s="156"/>
      <c r="C16" s="97" t="s">
        <v>123</v>
      </c>
      <c r="D16" s="794"/>
      <c r="E16" s="97" t="s">
        <v>2798</v>
      </c>
      <c r="F16" s="795"/>
      <c r="G16" s="97" t="s">
        <v>123</v>
      </c>
      <c r="H16" s="796"/>
      <c r="I16" s="97" t="s">
        <v>123</v>
      </c>
      <c r="J16" s="794"/>
      <c r="K16" s="189"/>
      <c r="L16" s="2308"/>
      <c r="M16" s="2303"/>
      <c r="N16" s="2303"/>
      <c r="O16" s="2347"/>
      <c r="P16" s="3813"/>
      <c r="Q16" s="1354"/>
      <c r="R16" s="1355"/>
      <c r="S16" s="1356"/>
      <c r="T16" s="1355"/>
      <c r="U16" s="1356"/>
      <c r="V16" s="1355"/>
      <c r="W16" s="1356"/>
      <c r="X16" s="1343"/>
      <c r="Y16" s="3813"/>
      <c r="Z16" s="1357"/>
      <c r="AA16" s="1358">
        <v>1</v>
      </c>
      <c r="AB16" s="1358">
        <v>1</v>
      </c>
      <c r="AC16" s="1358">
        <v>1</v>
      </c>
    </row>
    <row r="17" spans="1:29" ht="94.5">
      <c r="A17" s="151"/>
      <c r="B17" s="1359" t="s">
        <v>77</v>
      </c>
      <c r="C17" s="158" t="str">
        <f>估价对象房地状况!G4</f>
        <v>估价对象周边道路状况、公共交通通达情况、停车便捷程度，综合评价交通便捷度较好</v>
      </c>
      <c r="D17" s="796">
        <v>100</v>
      </c>
      <c r="E17" s="100"/>
      <c r="F17" s="799">
        <f>SUMIF(72:72,E18,73:73)-SUMIF(72:72,C18,73:73)+100</f>
        <v>97</v>
      </c>
      <c r="G17" s="101"/>
      <c r="H17" s="801">
        <f>SUMIF(72:72,G18,73:73)-SUMIF(72:72,C18,73:73)+100</f>
        <v>106</v>
      </c>
      <c r="I17" s="100"/>
      <c r="J17" s="801">
        <f>SUMIF(72:72,I18,73:73)-SUMIF(72:72,C18,73:73)+100</f>
        <v>97</v>
      </c>
      <c r="K17" s="960">
        <v>3</v>
      </c>
      <c r="L17" s="2308"/>
      <c r="M17" s="2303"/>
      <c r="N17" s="2303"/>
      <c r="O17" s="2347"/>
      <c r="P17" s="3813"/>
      <c r="Q17" s="1354" t="str">
        <f>B17</f>
        <v>交通便捷度</v>
      </c>
      <c r="R17" s="1355" t="s">
        <v>70</v>
      </c>
      <c r="S17" s="1356">
        <f>F17</f>
        <v>97</v>
      </c>
      <c r="T17" s="1355" t="s">
        <v>70</v>
      </c>
      <c r="U17" s="1356">
        <f>H17</f>
        <v>106</v>
      </c>
      <c r="V17" s="1355" t="s">
        <v>70</v>
      </c>
      <c r="W17" s="1356">
        <f>J17</f>
        <v>97</v>
      </c>
      <c r="X17" s="1343"/>
      <c r="Y17" s="3813"/>
      <c r="Z17" s="1357" t="str">
        <f>Q17</f>
        <v>交通便捷度</v>
      </c>
      <c r="AA17" s="1358">
        <f t="shared" si="3"/>
        <v>1.0309278350515463</v>
      </c>
      <c r="AB17" s="1358">
        <f t="shared" si="4"/>
        <v>0.94339622641509435</v>
      </c>
      <c r="AC17" s="1358">
        <f t="shared" si="5"/>
        <v>1.0309278350515463</v>
      </c>
    </row>
    <row r="18" spans="1:29" ht="14.25">
      <c r="A18" s="151"/>
      <c r="B18" s="1044"/>
      <c r="C18" s="102" t="s">
        <v>2799</v>
      </c>
      <c r="D18" s="796"/>
      <c r="E18" s="103" t="s">
        <v>153</v>
      </c>
      <c r="F18" s="799"/>
      <c r="G18" s="104" t="s">
        <v>122</v>
      </c>
      <c r="H18" s="794"/>
      <c r="I18" s="103" t="s">
        <v>153</v>
      </c>
      <c r="J18" s="794"/>
      <c r="K18" s="189"/>
      <c r="L18" s="2308"/>
      <c r="M18" s="2303"/>
      <c r="N18" s="2303"/>
      <c r="O18" s="2347"/>
      <c r="P18" s="3813"/>
      <c r="Q18" s="1354"/>
      <c r="R18" s="1355"/>
      <c r="S18" s="1356"/>
      <c r="T18" s="1355"/>
      <c r="U18" s="1356"/>
      <c r="V18" s="1355"/>
      <c r="W18" s="1356"/>
      <c r="X18" s="1343"/>
      <c r="Y18" s="3813"/>
      <c r="Z18" s="1357"/>
      <c r="AA18" s="1358">
        <v>1</v>
      </c>
      <c r="AB18" s="1358">
        <v>1</v>
      </c>
      <c r="AC18" s="1358">
        <v>1</v>
      </c>
    </row>
    <row r="19" spans="1:29" ht="40.5">
      <c r="A19" s="151"/>
      <c r="B19" s="1359" t="s">
        <v>3063</v>
      </c>
      <c r="C19" s="158" t="str">
        <f>估价对象房地状况!G5</f>
        <v>估价对象所在区域公共配套设施齐备情况</v>
      </c>
      <c r="D19" s="801">
        <v>100</v>
      </c>
      <c r="E19" s="105"/>
      <c r="F19" s="804">
        <f>SUMIF(74:74,E20,75:75)-SUMIF(74:74,C20,75:75)+100</f>
        <v>101</v>
      </c>
      <c r="G19" s="106"/>
      <c r="H19" s="796">
        <f>SUMIF(74:74,G20,75:75)-SUMIF(74:74,C20,75:75)+100</f>
        <v>103</v>
      </c>
      <c r="I19" s="105"/>
      <c r="J19" s="796">
        <f>SUMIF(74:74,I20,75:75)-SUMIF(74:74,C20,75:75)+100</f>
        <v>100</v>
      </c>
      <c r="K19" s="960">
        <v>1</v>
      </c>
      <c r="L19" s="2308"/>
      <c r="M19" s="2303"/>
      <c r="N19" s="2303"/>
      <c r="O19" s="2347"/>
      <c r="P19" s="3813"/>
      <c r="Q19" s="1354" t="str">
        <f>B19</f>
        <v>公共配套设施</v>
      </c>
      <c r="R19" s="1355" t="s">
        <v>70</v>
      </c>
      <c r="S19" s="1356">
        <f>F19</f>
        <v>101</v>
      </c>
      <c r="T19" s="1355" t="s">
        <v>70</v>
      </c>
      <c r="U19" s="1356">
        <f>H19</f>
        <v>103</v>
      </c>
      <c r="V19" s="1355" t="s">
        <v>70</v>
      </c>
      <c r="W19" s="1356">
        <f>J19</f>
        <v>100</v>
      </c>
      <c r="X19" s="1343"/>
      <c r="Y19" s="3813"/>
      <c r="Z19" s="1357" t="str">
        <f>Q19</f>
        <v>公共配套设施</v>
      </c>
      <c r="AA19" s="1358">
        <f t="shared" si="3"/>
        <v>0.99009900990099009</v>
      </c>
      <c r="AB19" s="1358">
        <f t="shared" si="4"/>
        <v>0.970873786407767</v>
      </c>
      <c r="AC19" s="1358">
        <f t="shared" si="5"/>
        <v>1</v>
      </c>
    </row>
    <row r="20" spans="1:29" ht="14.25">
      <c r="A20" s="151"/>
      <c r="B20" s="1044"/>
      <c r="C20" s="97" t="s">
        <v>153</v>
      </c>
      <c r="D20" s="794"/>
      <c r="E20" s="98" t="s">
        <v>124</v>
      </c>
      <c r="F20" s="795"/>
      <c r="G20" s="99" t="s">
        <v>122</v>
      </c>
      <c r="H20" s="794"/>
      <c r="I20" s="98" t="s">
        <v>153</v>
      </c>
      <c r="J20" s="794"/>
      <c r="K20" s="189"/>
      <c r="L20" s="2308"/>
      <c r="M20" s="2303"/>
      <c r="N20" s="2303"/>
      <c r="O20" s="2347"/>
      <c r="P20" s="3813"/>
      <c r="Q20" s="1354"/>
      <c r="R20" s="1355"/>
      <c r="S20" s="1356"/>
      <c r="T20" s="1355"/>
      <c r="U20" s="1356"/>
      <c r="V20" s="1355"/>
      <c r="W20" s="1356"/>
      <c r="X20" s="1343"/>
      <c r="Y20" s="3813"/>
      <c r="Z20" s="1357"/>
      <c r="AA20" s="1358">
        <v>1</v>
      </c>
      <c r="AB20" s="1358">
        <v>1</v>
      </c>
      <c r="AC20" s="1358">
        <v>1</v>
      </c>
    </row>
    <row r="21" spans="1:29" ht="40.5">
      <c r="A21" s="151"/>
      <c r="B21" s="1415" t="s">
        <v>3066</v>
      </c>
      <c r="C21" s="158" t="str">
        <f>估价对象房地状况!G6</f>
        <v>估价对象所在区域基础设施水平</v>
      </c>
      <c r="D21" s="796">
        <v>100</v>
      </c>
      <c r="E21" s="105"/>
      <c r="F21" s="804">
        <f>SUMIF(76:76,E22,77:77)-SUMIF(76:76,C22,77:77)+100</f>
        <v>98</v>
      </c>
      <c r="G21" s="106"/>
      <c r="H21" s="796">
        <f>SUMIF(76:76,G22,77:77)-SUMIF(76:76,C22,77:77)+100</f>
        <v>96</v>
      </c>
      <c r="I21" s="105"/>
      <c r="J21" s="796">
        <f>SUMIF(76:76,I22,77:77)-SUMIF(76:76,C22,77:77)+100</f>
        <v>94</v>
      </c>
      <c r="K21" s="960">
        <v>2</v>
      </c>
      <c r="L21" s="2308"/>
      <c r="M21" s="2303"/>
      <c r="N21" s="2303"/>
      <c r="O21" s="2347"/>
      <c r="P21" s="3813"/>
      <c r="Q21" s="2762" t="str">
        <f>B21</f>
        <v>基础设施水平</v>
      </c>
      <c r="R21" s="1355" t="s">
        <v>70</v>
      </c>
      <c r="S21" s="1356">
        <f>F21</f>
        <v>98</v>
      </c>
      <c r="T21" s="1355" t="s">
        <v>70</v>
      </c>
      <c r="U21" s="1356">
        <f>H21</f>
        <v>96</v>
      </c>
      <c r="V21" s="1355" t="s">
        <v>70</v>
      </c>
      <c r="W21" s="1356">
        <f>J21</f>
        <v>94</v>
      </c>
      <c r="X21" s="2764"/>
      <c r="Y21" s="3813"/>
      <c r="Z21" s="2763" t="str">
        <f>Q21</f>
        <v>基础设施水平</v>
      </c>
      <c r="AA21" s="1358">
        <f t="shared" ref="AA21" si="8">D21/F21</f>
        <v>1.0204081632653061</v>
      </c>
      <c r="AB21" s="1358">
        <f t="shared" ref="AB21" si="9">D21/H21</f>
        <v>1.0416666666666667</v>
      </c>
      <c r="AC21" s="1358">
        <f t="shared" ref="AC21" si="10">D21/J21</f>
        <v>1.0638297872340425</v>
      </c>
    </row>
    <row r="22" spans="1:29" ht="14.25">
      <c r="A22" s="151"/>
      <c r="B22" s="1415"/>
      <c r="C22" s="102" t="s">
        <v>56</v>
      </c>
      <c r="D22" s="794"/>
      <c r="E22" s="97" t="s">
        <v>161</v>
      </c>
      <c r="F22" s="795"/>
      <c r="G22" s="97" t="s">
        <v>162</v>
      </c>
      <c r="H22" s="794"/>
      <c r="I22" s="97" t="s">
        <v>258</v>
      </c>
      <c r="J22" s="794"/>
      <c r="K22" s="2782"/>
      <c r="L22" s="2308"/>
      <c r="M22" s="2303"/>
      <c r="N22" s="2303"/>
      <c r="O22" s="2347"/>
      <c r="P22" s="3813"/>
      <c r="Q22" s="2762"/>
      <c r="R22" s="1355"/>
      <c r="S22" s="1356"/>
      <c r="T22" s="1355"/>
      <c r="U22" s="1356"/>
      <c r="V22" s="1355"/>
      <c r="W22" s="1356"/>
      <c r="X22" s="2764"/>
      <c r="Y22" s="3813"/>
      <c r="Z22" s="2763"/>
      <c r="AA22" s="1358">
        <v>1</v>
      </c>
      <c r="AB22" s="1358">
        <v>1</v>
      </c>
      <c r="AC22" s="1358">
        <v>1</v>
      </c>
    </row>
    <row r="23" spans="1:29" ht="81">
      <c r="A23" s="151"/>
      <c r="B23" s="1359" t="s">
        <v>212</v>
      </c>
      <c r="C23" s="158" t="str">
        <f>估价对象房地状况!G7</f>
        <v>该园区内无污染型企业，绿化较好，卫生条件良好，整体环境状况较好</v>
      </c>
      <c r="D23" s="796">
        <v>100</v>
      </c>
      <c r="E23" s="100"/>
      <c r="F23" s="799">
        <f>SUMIF(78:78,E24,79:79)-SUMIF(78:78,C24,79:79)+100</f>
        <v>96</v>
      </c>
      <c r="G23" s="101"/>
      <c r="H23" s="796">
        <f>SUMIF(78:78,G24,79:79)-SUMIF(78:78,C24,79:79)+100</f>
        <v>98</v>
      </c>
      <c r="I23" s="100"/>
      <c r="J23" s="796">
        <f>SUMIF(78:78,I24,79:79)-SUMIF(78:78,C24,79:79)+100</f>
        <v>94</v>
      </c>
      <c r="K23" s="960">
        <v>2</v>
      </c>
      <c r="L23" s="2308"/>
      <c r="M23" s="2303"/>
      <c r="N23" s="2303"/>
      <c r="O23" s="2347"/>
      <c r="P23" s="3813"/>
      <c r="Q23" s="1354" t="str">
        <f>B23</f>
        <v>环境质量</v>
      </c>
      <c r="R23" s="1355" t="s">
        <v>70</v>
      </c>
      <c r="S23" s="1356">
        <f>F23</f>
        <v>96</v>
      </c>
      <c r="T23" s="1355" t="s">
        <v>70</v>
      </c>
      <c r="U23" s="1356">
        <f>H23</f>
        <v>98</v>
      </c>
      <c r="V23" s="1355" t="s">
        <v>70</v>
      </c>
      <c r="W23" s="1356">
        <f>J23</f>
        <v>94</v>
      </c>
      <c r="X23" s="1343"/>
      <c r="Y23" s="3813"/>
      <c r="Z23" s="1357" t="str">
        <f>Q23</f>
        <v>环境质量</v>
      </c>
      <c r="AA23" s="1358">
        <f t="shared" si="3"/>
        <v>1.0416666666666667</v>
      </c>
      <c r="AB23" s="1358">
        <f t="shared" si="4"/>
        <v>1.0204081632653061</v>
      </c>
      <c r="AC23" s="1358">
        <f t="shared" si="5"/>
        <v>1.0638297872340425</v>
      </c>
    </row>
    <row r="24" spans="1:29" ht="14.25">
      <c r="A24" s="151"/>
      <c r="B24" s="1415"/>
      <c r="C24" s="97" t="s">
        <v>122</v>
      </c>
      <c r="D24" s="794"/>
      <c r="E24" s="98" t="s">
        <v>124</v>
      </c>
      <c r="F24" s="795"/>
      <c r="G24" s="99" t="s">
        <v>123</v>
      </c>
      <c r="H24" s="794"/>
      <c r="I24" s="98" t="s">
        <v>153</v>
      </c>
      <c r="J24" s="794"/>
      <c r="K24" s="189"/>
      <c r="L24" s="2308"/>
      <c r="M24" s="2303"/>
      <c r="N24" s="2303"/>
      <c r="O24" s="2347"/>
      <c r="P24" s="3813"/>
      <c r="Q24" s="1354"/>
      <c r="R24" s="1355"/>
      <c r="S24" s="1356"/>
      <c r="T24" s="1355"/>
      <c r="U24" s="1356"/>
      <c r="V24" s="1355"/>
      <c r="W24" s="1356"/>
      <c r="X24" s="1343"/>
      <c r="Y24" s="3813"/>
      <c r="Z24" s="1357"/>
      <c r="AA24" s="1358">
        <v>1</v>
      </c>
      <c r="AB24" s="1358">
        <v>1</v>
      </c>
      <c r="AC24" s="1358">
        <v>1</v>
      </c>
    </row>
    <row r="25" spans="1:29" ht="14.25">
      <c r="A25" s="146"/>
      <c r="B25" s="1360">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8"/>
      <c r="M25" s="2303"/>
      <c r="N25" s="2303"/>
      <c r="O25" s="2347"/>
      <c r="P25" s="3813"/>
      <c r="Q25" s="1354">
        <f>B25</f>
        <v>111</v>
      </c>
      <c r="R25" s="1355" t="s">
        <v>70</v>
      </c>
      <c r="S25" s="1356">
        <f>F25</f>
        <v>100</v>
      </c>
      <c r="T25" s="1355" t="s">
        <v>70</v>
      </c>
      <c r="U25" s="1356">
        <f>H25</f>
        <v>100</v>
      </c>
      <c r="V25" s="1355" t="s">
        <v>70</v>
      </c>
      <c r="W25" s="1356">
        <f>J25</f>
        <v>100</v>
      </c>
      <c r="X25" s="1343"/>
      <c r="Y25" s="3813"/>
      <c r="Z25" s="1357">
        <f>Q25</f>
        <v>111</v>
      </c>
      <c r="AA25" s="1358">
        <f t="shared" si="3"/>
        <v>1</v>
      </c>
      <c r="AB25" s="1358">
        <f t="shared" si="4"/>
        <v>1</v>
      </c>
      <c r="AC25" s="1358">
        <f t="shared" si="5"/>
        <v>1</v>
      </c>
    </row>
    <row r="26" spans="1:29" ht="14.25">
      <c r="A26" s="151"/>
      <c r="B26" s="1360">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8"/>
      <c r="M26" s="2303"/>
      <c r="N26" s="2303"/>
      <c r="O26" s="2347"/>
      <c r="P26" s="3813"/>
      <c r="Q26" s="1354">
        <f t="shared" ref="Q26:Q40" si="11">B26</f>
        <v>111</v>
      </c>
      <c r="R26" s="1355" t="s">
        <v>70</v>
      </c>
      <c r="S26" s="1356">
        <f>F26</f>
        <v>100</v>
      </c>
      <c r="T26" s="1355" t="s">
        <v>70</v>
      </c>
      <c r="U26" s="1356">
        <f>H26</f>
        <v>100</v>
      </c>
      <c r="V26" s="1355" t="s">
        <v>70</v>
      </c>
      <c r="W26" s="1356">
        <f>J26</f>
        <v>100</v>
      </c>
      <c r="X26" s="1343"/>
      <c r="Y26" s="3813"/>
      <c r="Z26" s="1357">
        <f>Q26</f>
        <v>111</v>
      </c>
      <c r="AA26" s="1358">
        <f t="shared" si="3"/>
        <v>1</v>
      </c>
      <c r="AB26" s="1358">
        <f t="shared" si="4"/>
        <v>1</v>
      </c>
      <c r="AC26" s="1358">
        <f t="shared" si="5"/>
        <v>1</v>
      </c>
    </row>
    <row r="27" spans="1:29" s="40" customFormat="1" ht="14.25">
      <c r="A27" s="1033"/>
      <c r="B27" s="1360">
        <v>111</v>
      </c>
      <c r="C27" s="93">
        <v>111</v>
      </c>
      <c r="D27" s="808">
        <v>100</v>
      </c>
      <c r="E27" s="93">
        <v>111</v>
      </c>
      <c r="F27" s="810">
        <f>SUMIF(84:84,E27,85:85)-SUMIF(84:84,C27,85:85)+100</f>
        <v>100</v>
      </c>
      <c r="G27" s="93">
        <v>111</v>
      </c>
      <c r="H27" s="808">
        <f>SUMIF(84:84,G27,85:85)-SUMIF(84:84,C27,85:85)+100</f>
        <v>100</v>
      </c>
      <c r="I27" s="93">
        <v>111</v>
      </c>
      <c r="J27" s="808">
        <f>SUMIF(84:84,I27,85:85)-SUMIF(84:84,C27,85:85)+100</f>
        <v>100</v>
      </c>
      <c r="K27" s="188"/>
      <c r="L27" s="2304"/>
      <c r="M27" s="2266"/>
      <c r="N27" s="2266"/>
      <c r="O27" s="2345"/>
      <c r="P27" s="3813"/>
      <c r="Q27" s="7">
        <f t="shared" si="11"/>
        <v>111</v>
      </c>
      <c r="R27" s="1345" t="s">
        <v>70</v>
      </c>
      <c r="S27" s="1346">
        <f>F27</f>
        <v>100</v>
      </c>
      <c r="T27" s="1345" t="s">
        <v>70</v>
      </c>
      <c r="U27" s="1346">
        <f>H27</f>
        <v>100</v>
      </c>
      <c r="V27" s="1345" t="s">
        <v>70</v>
      </c>
      <c r="W27" s="1346">
        <f>J27</f>
        <v>100</v>
      </c>
      <c r="X27" s="293"/>
      <c r="Y27" s="3813"/>
      <c r="Z27" s="294">
        <f>Q27</f>
        <v>111</v>
      </c>
      <c r="AA27" s="1358">
        <f>D27/F27</f>
        <v>1</v>
      </c>
      <c r="AB27" s="1358">
        <f>D27/H27</f>
        <v>1</v>
      </c>
      <c r="AC27" s="1358">
        <f>D27/J27</f>
        <v>1</v>
      </c>
    </row>
    <row r="28" spans="1:29" ht="15" thickBot="1">
      <c r="A28" s="154"/>
      <c r="B28" s="1360">
        <v>111</v>
      </c>
      <c r="C28" s="94">
        <v>111</v>
      </c>
      <c r="D28" s="784">
        <v>100</v>
      </c>
      <c r="E28" s="93">
        <v>111</v>
      </c>
      <c r="F28" s="785">
        <f>SUMIF(86:86,E28,87:87)-SUMIF(86:86,C28,87:87)+100</f>
        <v>100</v>
      </c>
      <c r="G28" s="1361">
        <v>111</v>
      </c>
      <c r="H28" s="784">
        <f>SUMIF(86:86,G28,87:87)-SUMIF(86:86,C28,87:87)+100</f>
        <v>100</v>
      </c>
      <c r="I28" s="1361">
        <v>111</v>
      </c>
      <c r="J28" s="784">
        <f>SUMIF(86:86,I28,87:87)-SUMIF(86:86,C28,87:87)+100</f>
        <v>100</v>
      </c>
      <c r="K28" s="188"/>
      <c r="L28" s="2308"/>
      <c r="M28" s="2303"/>
      <c r="N28" s="2303"/>
      <c r="O28" s="2347"/>
      <c r="P28" s="3813"/>
      <c r="Q28" s="1354">
        <f t="shared" si="11"/>
        <v>111</v>
      </c>
      <c r="R28" s="1355" t="s">
        <v>70</v>
      </c>
      <c r="S28" s="1356">
        <f t="shared" ref="S28:S40" si="12">F28</f>
        <v>100</v>
      </c>
      <c r="T28" s="1355" t="s">
        <v>70</v>
      </c>
      <c r="U28" s="1356">
        <f t="shared" ref="U28:U40" si="13">H28</f>
        <v>100</v>
      </c>
      <c r="V28" s="1355" t="s">
        <v>70</v>
      </c>
      <c r="W28" s="1356">
        <f t="shared" ref="W28:W40" si="14">J28</f>
        <v>100</v>
      </c>
      <c r="X28" s="1343"/>
      <c r="Y28" s="3813"/>
      <c r="Z28" s="1357">
        <f t="shared" ref="Z28:Z40" si="15">Q28</f>
        <v>111</v>
      </c>
      <c r="AA28" s="1358">
        <f t="shared" si="3"/>
        <v>1</v>
      </c>
      <c r="AB28" s="1358">
        <f t="shared" si="4"/>
        <v>1</v>
      </c>
      <c r="AC28" s="1358">
        <f t="shared" si="5"/>
        <v>1</v>
      </c>
    </row>
    <row r="29" spans="1:29" ht="15">
      <c r="A29" s="160" t="s">
        <v>75</v>
      </c>
      <c r="B29" s="62" t="s">
        <v>215</v>
      </c>
      <c r="C29" s="197" t="s">
        <v>243</v>
      </c>
      <c r="D29" s="813">
        <v>100</v>
      </c>
      <c r="E29" s="197" t="s">
        <v>303</v>
      </c>
      <c r="F29" s="807">
        <f>SUMIF(88:88,E29,89:89)-SUMIF(88:88,C29,89:89)+100</f>
        <v>97</v>
      </c>
      <c r="G29" s="197" t="s">
        <v>243</v>
      </c>
      <c r="H29" s="781">
        <f>SUMIF(88:88,G29,89:89)-SUMIF(88:88,C29,89:89)+100</f>
        <v>100</v>
      </c>
      <c r="I29" s="197" t="s">
        <v>303</v>
      </c>
      <c r="J29" s="813">
        <f>SUMIF(88:88,I29,89:89)-SUMIF(88:88,C29,89:89)+100</f>
        <v>97</v>
      </c>
      <c r="K29" s="958">
        <v>3</v>
      </c>
      <c r="L29" s="2308"/>
      <c r="M29" s="2303"/>
      <c r="N29" s="2303"/>
      <c r="O29" s="2347"/>
      <c r="P29" s="3836" t="s">
        <v>1435</v>
      </c>
      <c r="Q29" s="1354" t="str">
        <f t="shared" si="11"/>
        <v>建筑类型</v>
      </c>
      <c r="R29" s="1355" t="s">
        <v>70</v>
      </c>
      <c r="S29" s="1356">
        <f t="shared" si="12"/>
        <v>97</v>
      </c>
      <c r="T29" s="1355" t="s">
        <v>70</v>
      </c>
      <c r="U29" s="1356">
        <f t="shared" si="13"/>
        <v>100</v>
      </c>
      <c r="V29" s="1355" t="s">
        <v>70</v>
      </c>
      <c r="W29" s="1356">
        <f t="shared" si="14"/>
        <v>97</v>
      </c>
      <c r="X29" s="1343"/>
      <c r="Y29" s="3817" t="s">
        <v>1435</v>
      </c>
      <c r="Z29" s="1357" t="str">
        <f t="shared" si="15"/>
        <v>建筑类型</v>
      </c>
      <c r="AA29" s="1358">
        <f t="shared" si="3"/>
        <v>1.0309278350515463</v>
      </c>
      <c r="AB29" s="1358">
        <f t="shared" si="4"/>
        <v>1</v>
      </c>
      <c r="AC29" s="1358">
        <f t="shared" si="5"/>
        <v>1.0309278350515463</v>
      </c>
    </row>
    <row r="30" spans="1:29" s="1043" customFormat="1" ht="14.25">
      <c r="A30" s="1047"/>
      <c r="B30" s="12" t="s">
        <v>81</v>
      </c>
      <c r="C30" s="815">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7"/>
      <c r="M30" s="2309"/>
      <c r="N30" s="2309"/>
      <c r="O30" s="2348"/>
      <c r="P30" s="3817"/>
      <c r="Q30" s="1362" t="str">
        <f t="shared" si="11"/>
        <v>项目建筑规模</v>
      </c>
      <c r="R30" s="1363" t="s">
        <v>70</v>
      </c>
      <c r="S30" s="1364">
        <f t="shared" si="12"/>
        <v>92</v>
      </c>
      <c r="T30" s="1363" t="s">
        <v>70</v>
      </c>
      <c r="U30" s="1364">
        <f t="shared" si="13"/>
        <v>94</v>
      </c>
      <c r="V30" s="1363" t="s">
        <v>70</v>
      </c>
      <c r="W30" s="1364">
        <f t="shared" si="14"/>
        <v>96</v>
      </c>
      <c r="X30" s="1365"/>
      <c r="Y30" s="3817"/>
      <c r="Z30" s="1366" t="str">
        <f t="shared" si="15"/>
        <v>项目建筑规模</v>
      </c>
      <c r="AA30" s="1358">
        <f t="shared" si="3"/>
        <v>1.0869565217391304</v>
      </c>
      <c r="AB30" s="1358">
        <f t="shared" si="4"/>
        <v>1.0638297872340425</v>
      </c>
      <c r="AC30" s="1358">
        <f t="shared" si="5"/>
        <v>1.0416666666666667</v>
      </c>
    </row>
    <row r="31" spans="1:29" ht="15">
      <c r="A31" s="161"/>
      <c r="B31" s="12" t="s">
        <v>82</v>
      </c>
      <c r="C31" s="107" t="s">
        <v>149</v>
      </c>
      <c r="D31" s="781">
        <v>100</v>
      </c>
      <c r="E31" s="107" t="s">
        <v>131</v>
      </c>
      <c r="F31" s="807">
        <f>SUMIF(93:93,E31,94:94)-SUMIF(93:93,C31,94:94)+100</f>
        <v>97</v>
      </c>
      <c r="G31" s="107" t="s">
        <v>151</v>
      </c>
      <c r="H31" s="781">
        <f>SUMIF(93:93,G31,94:94)-SUMIF(93:93,C31,94:94)+100</f>
        <v>94</v>
      </c>
      <c r="I31" s="107" t="s">
        <v>149</v>
      </c>
      <c r="J31" s="781">
        <f>SUMIF(93:93,I31,94:94)-SUMIF(93:93,C31,94:94)+100</f>
        <v>100</v>
      </c>
      <c r="K31" s="958">
        <v>3</v>
      </c>
      <c r="L31" s="2308"/>
      <c r="M31" s="2303"/>
      <c r="N31" s="2303"/>
      <c r="O31" s="2347"/>
      <c r="P31" s="3817"/>
      <c r="Q31" s="1354" t="str">
        <f t="shared" si="11"/>
        <v>建筑结构</v>
      </c>
      <c r="R31" s="1355" t="s">
        <v>70</v>
      </c>
      <c r="S31" s="1356">
        <f t="shared" si="12"/>
        <v>97</v>
      </c>
      <c r="T31" s="1355" t="s">
        <v>70</v>
      </c>
      <c r="U31" s="1356">
        <f t="shared" si="13"/>
        <v>94</v>
      </c>
      <c r="V31" s="1355" t="s">
        <v>70</v>
      </c>
      <c r="W31" s="1356">
        <f t="shared" si="14"/>
        <v>100</v>
      </c>
      <c r="X31" s="1343"/>
      <c r="Y31" s="3817"/>
      <c r="Z31" s="1357" t="str">
        <f t="shared" si="15"/>
        <v>建筑结构</v>
      </c>
      <c r="AA31" s="1358">
        <f t="shared" si="3"/>
        <v>1.0309278350515463</v>
      </c>
      <c r="AB31" s="1358">
        <f t="shared" si="4"/>
        <v>1.0638297872340425</v>
      </c>
      <c r="AC31" s="1358">
        <f t="shared" si="5"/>
        <v>1</v>
      </c>
    </row>
    <row r="32" spans="1:29" ht="15">
      <c r="A32" s="161"/>
      <c r="B32" s="12" t="s">
        <v>1265</v>
      </c>
      <c r="C32" s="107" t="s">
        <v>132</v>
      </c>
      <c r="D32" s="781">
        <v>100</v>
      </c>
      <c r="E32" s="107" t="s">
        <v>136</v>
      </c>
      <c r="F32" s="807">
        <f>SUMIF(95:95,E32,96:96)-SUMIF(95:95,C32,96:96)+100</f>
        <v>94</v>
      </c>
      <c r="G32" s="107" t="s">
        <v>159</v>
      </c>
      <c r="H32" s="781">
        <f>SUMIF(95:95,G32,96:96)-SUMIF(95:95,C32,96:96)+100</f>
        <v>97</v>
      </c>
      <c r="I32" s="107" t="s">
        <v>137</v>
      </c>
      <c r="J32" s="781">
        <f>SUMIF(95:95,I32,96:96)-SUMIF(95:95,C32,96:96)+100</f>
        <v>103</v>
      </c>
      <c r="K32" s="958">
        <v>3</v>
      </c>
      <c r="L32" s="2308"/>
      <c r="M32" s="2303"/>
      <c r="N32" s="2303"/>
      <c r="O32" s="2347"/>
      <c r="P32" s="3817"/>
      <c r="Q32" s="1354" t="str">
        <f t="shared" si="11"/>
        <v>公共部分装修</v>
      </c>
      <c r="R32" s="1355" t="s">
        <v>70</v>
      </c>
      <c r="S32" s="1356">
        <f t="shared" si="12"/>
        <v>94</v>
      </c>
      <c r="T32" s="1355" t="s">
        <v>70</v>
      </c>
      <c r="U32" s="1356">
        <f t="shared" si="13"/>
        <v>97</v>
      </c>
      <c r="V32" s="1355" t="s">
        <v>70</v>
      </c>
      <c r="W32" s="1356">
        <f t="shared" si="14"/>
        <v>103</v>
      </c>
      <c r="X32" s="1343"/>
      <c r="Y32" s="3817"/>
      <c r="Z32" s="1357" t="str">
        <f t="shared" si="15"/>
        <v>公共部分装修</v>
      </c>
      <c r="AA32" s="1358">
        <f t="shared" si="3"/>
        <v>1.0638297872340425</v>
      </c>
      <c r="AB32" s="1358">
        <f t="shared" si="4"/>
        <v>1.0309278350515463</v>
      </c>
      <c r="AC32" s="1358">
        <f t="shared" si="5"/>
        <v>0.970873786407767</v>
      </c>
    </row>
    <row r="33" spans="1:29" ht="15">
      <c r="A33" s="161"/>
      <c r="B33" s="12" t="s">
        <v>1266</v>
      </c>
      <c r="C33" s="815">
        <v>0.97</v>
      </c>
      <c r="D33" s="781">
        <v>100</v>
      </c>
      <c r="E33" s="820">
        <v>0.85</v>
      </c>
      <c r="F33" s="807">
        <f>LOOKUP(E33,98:98,99:99)-LOOKUP(C33,98:98,99:99)+100</f>
        <v>98</v>
      </c>
      <c r="G33" s="820">
        <v>0.91</v>
      </c>
      <c r="H33" s="807">
        <f>LOOKUP(G33,98:98,99:99)-LOOKUP(C33,98:98,99:99)+100</f>
        <v>100</v>
      </c>
      <c r="I33" s="820">
        <v>0.7</v>
      </c>
      <c r="J33" s="781">
        <f>LOOKUP(I33,98:98,99:99)-LOOKUP(C33,98:98,99:99)+100</f>
        <v>96</v>
      </c>
      <c r="K33" s="958">
        <v>2</v>
      </c>
      <c r="L33" s="2308"/>
      <c r="M33" s="2303"/>
      <c r="N33" s="2303"/>
      <c r="O33" s="2347"/>
      <c r="P33" s="3817"/>
      <c r="Q33" s="1354" t="str">
        <f t="shared" si="11"/>
        <v>成新度</v>
      </c>
      <c r="R33" s="1355" t="s">
        <v>70</v>
      </c>
      <c r="S33" s="1356">
        <f t="shared" si="12"/>
        <v>98</v>
      </c>
      <c r="T33" s="1355" t="s">
        <v>70</v>
      </c>
      <c r="U33" s="1356">
        <f t="shared" si="13"/>
        <v>100</v>
      </c>
      <c r="V33" s="1355" t="s">
        <v>70</v>
      </c>
      <c r="W33" s="1356">
        <f t="shared" si="14"/>
        <v>96</v>
      </c>
      <c r="X33" s="1343"/>
      <c r="Y33" s="3817"/>
      <c r="Z33" s="1357" t="str">
        <f t="shared" si="15"/>
        <v>成新度</v>
      </c>
      <c r="AA33" s="1358">
        <f t="shared" si="3"/>
        <v>1.0204081632653061</v>
      </c>
      <c r="AB33" s="1358">
        <f t="shared" si="4"/>
        <v>1</v>
      </c>
      <c r="AC33" s="1358">
        <f t="shared" si="5"/>
        <v>1.0416666666666667</v>
      </c>
    </row>
    <row r="34" spans="1:29" s="40" customFormat="1" ht="15">
      <c r="A34" s="1045"/>
      <c r="B34" s="12" t="s">
        <v>1436</v>
      </c>
      <c r="C34" s="107" t="s">
        <v>133</v>
      </c>
      <c r="D34" s="429">
        <v>100</v>
      </c>
      <c r="E34" s="107" t="s">
        <v>160</v>
      </c>
      <c r="F34" s="807">
        <f>SUMIF(100:100,E34,101:101)-SUMIF(100:100,C34,101:101)+100</f>
        <v>97</v>
      </c>
      <c r="G34" s="107" t="s">
        <v>133</v>
      </c>
      <c r="H34" s="781">
        <f>SUMIF(100:100,G34,101:101)-SUMIF(100:100,C34,101:101)+100</f>
        <v>100</v>
      </c>
      <c r="I34" s="107" t="s">
        <v>160</v>
      </c>
      <c r="J34" s="781">
        <f>SUMIF(100:100,I34,101:101)-SUMIF(100:100,C34,101:101)+100</f>
        <v>97</v>
      </c>
      <c r="K34" s="958">
        <v>3</v>
      </c>
      <c r="L34" s="2304"/>
      <c r="M34" s="2266"/>
      <c r="N34" s="2266"/>
      <c r="O34" s="2345"/>
      <c r="P34" s="3817"/>
      <c r="Q34" s="7" t="str">
        <f t="shared" si="11"/>
        <v>物业管理</v>
      </c>
      <c r="R34" s="1345" t="s">
        <v>70</v>
      </c>
      <c r="S34" s="1346">
        <f t="shared" si="12"/>
        <v>97</v>
      </c>
      <c r="T34" s="1345" t="s">
        <v>70</v>
      </c>
      <c r="U34" s="1346">
        <f t="shared" si="13"/>
        <v>100</v>
      </c>
      <c r="V34" s="1345" t="s">
        <v>70</v>
      </c>
      <c r="W34" s="1346">
        <f t="shared" si="14"/>
        <v>97</v>
      </c>
      <c r="X34" s="293"/>
      <c r="Y34" s="3817"/>
      <c r="Z34" s="294" t="str">
        <f t="shared" si="15"/>
        <v>物业管理</v>
      </c>
      <c r="AA34" s="1347">
        <f t="shared" si="3"/>
        <v>1.0309278350515463</v>
      </c>
      <c r="AB34" s="1347">
        <f t="shared" si="4"/>
        <v>1</v>
      </c>
      <c r="AC34" s="1347">
        <f t="shared" si="5"/>
        <v>1.0309278350515463</v>
      </c>
    </row>
    <row r="35" spans="1:29" ht="15">
      <c r="A35" s="161"/>
      <c r="B35" s="12" t="s">
        <v>3056</v>
      </c>
      <c r="C35" s="107" t="s">
        <v>161</v>
      </c>
      <c r="D35" s="781">
        <v>100</v>
      </c>
      <c r="E35" s="107" t="s">
        <v>162</v>
      </c>
      <c r="F35" s="807">
        <f>SUMIF(102:102,E35,103:103)-SUMIF(102:102,C35,103:103)+100</f>
        <v>98</v>
      </c>
      <c r="G35" s="107" t="s">
        <v>258</v>
      </c>
      <c r="H35" s="781">
        <f>SUMIF(102:102,G35,103:103)-SUMIF(102:102,C35,103:103)+100</f>
        <v>96</v>
      </c>
      <c r="I35" s="107" t="s">
        <v>56</v>
      </c>
      <c r="J35" s="781">
        <f>SUMIF(102:102,I35,103:103)-SUMIF(102:102,C35,103:103)+100</f>
        <v>102</v>
      </c>
      <c r="K35" s="958">
        <v>2</v>
      </c>
      <c r="L35" s="2308"/>
      <c r="M35" s="2303"/>
      <c r="N35" s="2303"/>
      <c r="O35" s="2347"/>
      <c r="P35" s="3817" t="s">
        <v>75</v>
      </c>
      <c r="Q35" s="1354" t="str">
        <f t="shared" si="11"/>
        <v>市政基础设施</v>
      </c>
      <c r="R35" s="1355" t="s">
        <v>70</v>
      </c>
      <c r="S35" s="1356">
        <f t="shared" si="12"/>
        <v>98</v>
      </c>
      <c r="T35" s="1355" t="s">
        <v>70</v>
      </c>
      <c r="U35" s="1356">
        <f t="shared" si="13"/>
        <v>96</v>
      </c>
      <c r="V35" s="1355" t="s">
        <v>70</v>
      </c>
      <c r="W35" s="1356">
        <f t="shared" si="14"/>
        <v>102</v>
      </c>
      <c r="X35" s="1343"/>
      <c r="Y35" s="3817" t="s">
        <v>75</v>
      </c>
      <c r="Z35" s="1357" t="str">
        <f t="shared" si="15"/>
        <v>市政基础设施</v>
      </c>
      <c r="AA35" s="1358">
        <f t="shared" si="3"/>
        <v>1.0204081632653061</v>
      </c>
      <c r="AB35" s="1358">
        <f t="shared" si="4"/>
        <v>1.0416666666666667</v>
      </c>
      <c r="AC35" s="1358">
        <f t="shared" si="5"/>
        <v>0.98039215686274506</v>
      </c>
    </row>
    <row r="36" spans="1:29" ht="15">
      <c r="A36" s="161"/>
      <c r="B36" s="12" t="s">
        <v>203</v>
      </c>
      <c r="C36" s="107" t="s">
        <v>132</v>
      </c>
      <c r="D36" s="781">
        <v>100</v>
      </c>
      <c r="E36" s="107" t="s">
        <v>137</v>
      </c>
      <c r="F36" s="807">
        <f>SUMIF(104:104,E36,105:105)-SUMIF(104:104,C36,105:105)+100</f>
        <v>101</v>
      </c>
      <c r="G36" s="107" t="s">
        <v>304</v>
      </c>
      <c r="H36" s="781">
        <f>SUMIF(104:104,G36,105:105)-SUMIF(104:104,C36,105:105)+100</f>
        <v>99</v>
      </c>
      <c r="I36" s="107" t="s">
        <v>136</v>
      </c>
      <c r="J36" s="781">
        <f>SUMIF(104:104,I36,105:105)-SUMIF(104:104,C36,105:105)+100</f>
        <v>98</v>
      </c>
      <c r="K36" s="958">
        <v>1</v>
      </c>
      <c r="L36" s="2308"/>
      <c r="M36" s="2303"/>
      <c r="N36" s="2303"/>
      <c r="O36" s="2347"/>
      <c r="P36" s="3817"/>
      <c r="Q36" s="1354" t="str">
        <f t="shared" si="11"/>
        <v>内部装修</v>
      </c>
      <c r="R36" s="1355" t="s">
        <v>70</v>
      </c>
      <c r="S36" s="1356">
        <f t="shared" si="12"/>
        <v>101</v>
      </c>
      <c r="T36" s="1355" t="s">
        <v>70</v>
      </c>
      <c r="U36" s="1356">
        <f t="shared" si="13"/>
        <v>99</v>
      </c>
      <c r="V36" s="1355" t="s">
        <v>70</v>
      </c>
      <c r="W36" s="1356">
        <f t="shared" si="14"/>
        <v>98</v>
      </c>
      <c r="X36" s="1343"/>
      <c r="Y36" s="3817"/>
      <c r="Z36" s="1357" t="str">
        <f t="shared" si="15"/>
        <v>内部装修</v>
      </c>
      <c r="AA36" s="1358">
        <f t="shared" si="3"/>
        <v>0.99009900990099009</v>
      </c>
      <c r="AB36" s="1358">
        <f t="shared" si="4"/>
        <v>1.0101010101010102</v>
      </c>
      <c r="AC36" s="1358">
        <f t="shared" si="5"/>
        <v>1.0204081632653061</v>
      </c>
    </row>
    <row r="37" spans="1:29" ht="15">
      <c r="A37" s="161"/>
      <c r="B37" s="12" t="s">
        <v>1437</v>
      </c>
      <c r="C37" s="182" t="s">
        <v>122</v>
      </c>
      <c r="D37" s="781">
        <v>100</v>
      </c>
      <c r="E37" s="182" t="s">
        <v>123</v>
      </c>
      <c r="F37" s="807">
        <f>SUMIF(106:106,E37,107:107)-SUMIF(106:106,C37,107:107)+100</f>
        <v>98.5</v>
      </c>
      <c r="G37" s="182" t="s">
        <v>124</v>
      </c>
      <c r="H37" s="781">
        <f>SUMIF(106:106,G37,107:107)-SUMIF(106:106,C37,107:107)+100</f>
        <v>97</v>
      </c>
      <c r="I37" s="182" t="s">
        <v>153</v>
      </c>
      <c r="J37" s="781">
        <f>SUMIF(106:106,I37,107:107)-SUMIF(106:106,C37,107:107)+100</f>
        <v>95.5</v>
      </c>
      <c r="K37" s="958">
        <v>1.5</v>
      </c>
      <c r="L37" s="2308"/>
      <c r="M37" s="2303"/>
      <c r="N37" s="2303"/>
      <c r="O37" s="2347"/>
      <c r="P37" s="3817"/>
      <c r="Q37" s="1354" t="str">
        <f t="shared" si="11"/>
        <v>内部装修状况</v>
      </c>
      <c r="R37" s="1355" t="s">
        <v>70</v>
      </c>
      <c r="S37" s="1356">
        <f t="shared" si="12"/>
        <v>98.5</v>
      </c>
      <c r="T37" s="1355" t="s">
        <v>70</v>
      </c>
      <c r="U37" s="1356">
        <f t="shared" si="13"/>
        <v>97</v>
      </c>
      <c r="V37" s="1355" t="s">
        <v>70</v>
      </c>
      <c r="W37" s="1356">
        <f t="shared" si="14"/>
        <v>95.5</v>
      </c>
      <c r="X37" s="1343"/>
      <c r="Y37" s="3817"/>
      <c r="Z37" s="1357" t="str">
        <f t="shared" si="15"/>
        <v>内部装修状况</v>
      </c>
      <c r="AA37" s="1358">
        <f t="shared" si="3"/>
        <v>1.015228426395939</v>
      </c>
      <c r="AB37" s="1358">
        <f t="shared" si="4"/>
        <v>1.0309278350515463</v>
      </c>
      <c r="AC37" s="1358">
        <f t="shared" si="5"/>
        <v>1.0471204188481675</v>
      </c>
    </row>
    <row r="38" spans="1:29" s="1043" customFormat="1" ht="14.25">
      <c r="A38" s="1047"/>
      <c r="B38" s="1360">
        <v>111</v>
      </c>
      <c r="C38" s="1361">
        <v>111</v>
      </c>
      <c r="D38" s="781">
        <v>100</v>
      </c>
      <c r="E38" s="93">
        <v>222</v>
      </c>
      <c r="F38" s="807">
        <f>SUMIF(108:108,E38,109:109)-SUMIF(108:108,C38,109:109)+100</f>
        <v>95</v>
      </c>
      <c r="G38" s="1361">
        <v>333</v>
      </c>
      <c r="H38" s="781">
        <f>SUMIF(108:108,G38,109:109)-SUMIF(108:108,C38,109:109)+100</f>
        <v>90</v>
      </c>
      <c r="I38" s="1361">
        <v>111</v>
      </c>
      <c r="J38" s="781">
        <f>SUMIF(108:108,I38,109:1038)-SUMIF(108:108,C38,109:109)+100</f>
        <v>100</v>
      </c>
      <c r="K38" s="188"/>
      <c r="L38" s="2307"/>
      <c r="M38" s="2309"/>
      <c r="N38" s="2309"/>
      <c r="O38" s="2348"/>
      <c r="P38" s="3817"/>
      <c r="Q38" s="1362">
        <f t="shared" si="11"/>
        <v>111</v>
      </c>
      <c r="R38" s="1363" t="s">
        <v>70</v>
      </c>
      <c r="S38" s="1364">
        <f t="shared" si="12"/>
        <v>95</v>
      </c>
      <c r="T38" s="1363" t="s">
        <v>70</v>
      </c>
      <c r="U38" s="1364">
        <f t="shared" si="13"/>
        <v>90</v>
      </c>
      <c r="V38" s="1363" t="s">
        <v>70</v>
      </c>
      <c r="W38" s="1364">
        <f t="shared" si="14"/>
        <v>100</v>
      </c>
      <c r="X38" s="1365"/>
      <c r="Y38" s="3817"/>
      <c r="Z38" s="1366">
        <f t="shared" si="15"/>
        <v>111</v>
      </c>
      <c r="AA38" s="1358">
        <f t="shared" si="3"/>
        <v>1.0526315789473684</v>
      </c>
      <c r="AB38" s="1358">
        <f t="shared" si="4"/>
        <v>1.1111111111111112</v>
      </c>
      <c r="AC38" s="1358">
        <f t="shared" si="5"/>
        <v>1</v>
      </c>
    </row>
    <row r="39" spans="1:29" ht="14.25">
      <c r="A39" s="161"/>
      <c r="B39" s="1360">
        <v>111</v>
      </c>
      <c r="C39" s="1361">
        <v>111</v>
      </c>
      <c r="D39" s="781">
        <v>100</v>
      </c>
      <c r="E39" s="93">
        <v>222</v>
      </c>
      <c r="F39" s="807">
        <f>SUMIF(110:110,E39,111:111)-SUMIF(110:110,C39,111:111)+100</f>
        <v>95</v>
      </c>
      <c r="G39" s="1361">
        <v>333</v>
      </c>
      <c r="H39" s="781">
        <f>SUMIF(110:110,G39,111:111)-SUMIF(110:110,C39,111:111)+100</f>
        <v>90</v>
      </c>
      <c r="I39" s="1361">
        <v>111</v>
      </c>
      <c r="J39" s="781">
        <f>SUMIF(110:110,I39,111:111)-SUMIF(110:110,C39,111:111)+100</f>
        <v>100</v>
      </c>
      <c r="K39" s="188"/>
      <c r="L39" s="2308"/>
      <c r="M39" s="2303"/>
      <c r="N39" s="2303"/>
      <c r="O39" s="2347"/>
      <c r="P39" s="3817"/>
      <c r="Q39" s="1354">
        <f t="shared" si="11"/>
        <v>111</v>
      </c>
      <c r="R39" s="1355" t="s">
        <v>70</v>
      </c>
      <c r="S39" s="1356">
        <f t="shared" si="12"/>
        <v>95</v>
      </c>
      <c r="T39" s="1355" t="s">
        <v>70</v>
      </c>
      <c r="U39" s="1356">
        <f t="shared" si="13"/>
        <v>90</v>
      </c>
      <c r="V39" s="1355" t="s">
        <v>70</v>
      </c>
      <c r="W39" s="1356">
        <f t="shared" si="14"/>
        <v>100</v>
      </c>
      <c r="X39" s="1343"/>
      <c r="Y39" s="3817"/>
      <c r="Z39" s="1357">
        <f t="shared" si="15"/>
        <v>111</v>
      </c>
      <c r="AA39" s="1358">
        <f t="shared" si="3"/>
        <v>1.0526315789473684</v>
      </c>
      <c r="AB39" s="1358">
        <f t="shared" si="4"/>
        <v>1.1111111111111112</v>
      </c>
      <c r="AC39" s="1358">
        <f t="shared" si="5"/>
        <v>1</v>
      </c>
    </row>
    <row r="40" spans="1:29" ht="15" thickBot="1">
      <c r="A40" s="162"/>
      <c r="B40" s="1035">
        <v>111</v>
      </c>
      <c r="C40" s="94">
        <v>111</v>
      </c>
      <c r="D40" s="784">
        <v>100</v>
      </c>
      <c r="E40" s="93">
        <v>222</v>
      </c>
      <c r="F40" s="785">
        <f>SUMIF(112:112,E40,113:113)-SUMIF(112:112,C40,113:113)+100</f>
        <v>98</v>
      </c>
      <c r="G40" s="1361">
        <v>333</v>
      </c>
      <c r="H40" s="784">
        <f>SUMIF(112:112,G40,113:113)-SUMIF(112:112,C40,113:113)+100</f>
        <v>96</v>
      </c>
      <c r="I40" s="1361">
        <v>111</v>
      </c>
      <c r="J40" s="784">
        <f>SUMIF(112:112,I40,113:113)-SUMIF(112:112,C40,113:113)+100</f>
        <v>100</v>
      </c>
      <c r="K40" s="188"/>
      <c r="L40" s="2308"/>
      <c r="M40" s="2303"/>
      <c r="N40" s="2303"/>
      <c r="O40" s="2347"/>
      <c r="P40" s="3818"/>
      <c r="Q40" s="1354">
        <f t="shared" si="11"/>
        <v>111</v>
      </c>
      <c r="R40" s="1355" t="s">
        <v>70</v>
      </c>
      <c r="S40" s="1356">
        <f t="shared" si="12"/>
        <v>98</v>
      </c>
      <c r="T40" s="1355" t="s">
        <v>70</v>
      </c>
      <c r="U40" s="1356">
        <f t="shared" si="13"/>
        <v>96</v>
      </c>
      <c r="V40" s="1355" t="s">
        <v>70</v>
      </c>
      <c r="W40" s="1356">
        <f t="shared" si="14"/>
        <v>100</v>
      </c>
      <c r="X40" s="1343"/>
      <c r="Y40" s="3818"/>
      <c r="Z40" s="1357">
        <f t="shared" si="15"/>
        <v>111</v>
      </c>
      <c r="AA40" s="1358">
        <f t="shared" si="3"/>
        <v>1.0204081632653061</v>
      </c>
      <c r="AB40" s="1358">
        <f t="shared" si="4"/>
        <v>1.0416666666666667</v>
      </c>
      <c r="AC40" s="1358">
        <f t="shared" si="5"/>
        <v>1</v>
      </c>
    </row>
    <row r="41" spans="1:29" ht="15">
      <c r="A41" s="163" t="s">
        <v>118</v>
      </c>
      <c r="B41" s="164"/>
      <c r="C41" s="2852" t="s">
        <v>23</v>
      </c>
      <c r="D41" s="2853"/>
      <c r="E41" s="2854">
        <v>30000</v>
      </c>
      <c r="F41" s="2855"/>
      <c r="G41" s="2856">
        <v>35000</v>
      </c>
      <c r="H41" s="2857"/>
      <c r="I41" s="2854">
        <v>32000</v>
      </c>
      <c r="J41" s="2857"/>
      <c r="K41" s="1396"/>
      <c r="L41" s="2310"/>
      <c r="M41" s="2311"/>
      <c r="N41" s="2303"/>
      <c r="O41" s="2311"/>
      <c r="P41" s="3810" t="str">
        <f>A41</f>
        <v>成交单价（元/平方米）</v>
      </c>
      <c r="Q41" s="3810"/>
      <c r="R41" s="3811">
        <f>E41</f>
        <v>30000</v>
      </c>
      <c r="S41" s="3811"/>
      <c r="T41" s="3811">
        <f>G41</f>
        <v>35000</v>
      </c>
      <c r="U41" s="3811"/>
      <c r="V41" s="3811">
        <f>I41</f>
        <v>32000</v>
      </c>
      <c r="W41" s="3811"/>
      <c r="X41" s="1368"/>
      <c r="Y41" s="1369"/>
      <c r="Z41" s="1368"/>
      <c r="AA41" s="1368"/>
      <c r="AB41" s="1368"/>
      <c r="AC41" s="1368"/>
    </row>
    <row r="42" spans="1:29" ht="15.75" thickBot="1">
      <c r="A42" s="165" t="s">
        <v>116</v>
      </c>
      <c r="B42" s="166"/>
      <c r="C42" s="2858">
        <f>R43</f>
        <v>55658</v>
      </c>
      <c r="D42" s="2859"/>
      <c r="E42" s="2860">
        <f>R42</f>
        <v>52652</v>
      </c>
      <c r="F42" s="2860"/>
      <c r="G42" s="2858">
        <f>T42</f>
        <v>64319</v>
      </c>
      <c r="H42" s="2859"/>
      <c r="I42" s="2860">
        <f>V42</f>
        <v>50004</v>
      </c>
      <c r="J42" s="2859"/>
      <c r="K42" s="1397"/>
      <c r="L42" s="2310"/>
      <c r="M42" s="2311"/>
      <c r="N42" s="2303"/>
      <c r="O42" s="2311"/>
      <c r="P42" s="3810" t="str">
        <f>A42</f>
        <v>比较价值（元/平方米）</v>
      </c>
      <c r="Q42" s="3810"/>
      <c r="R42" s="3811">
        <f>IF(F1="售价",ROUND(PRODUCT(R41,AA7:AA40),0),ROUND(PRODUCT(R41,AA7:AA40),1))</f>
        <v>52652</v>
      </c>
      <c r="S42" s="3811"/>
      <c r="T42" s="3811">
        <f>IF(F1="售价",ROUND(PRODUCT(T41,AB7:AB40),0),ROUND(PRODUCT(T41,AB7:AB40),1))</f>
        <v>64319</v>
      </c>
      <c r="U42" s="3811"/>
      <c r="V42" s="3811">
        <f>IF(F1="售价",ROUND(PRODUCT(V41,AC7:AC40),0),ROUND(PRODUCT(V41,AC7:AC40),1))</f>
        <v>50004</v>
      </c>
      <c r="W42" s="3811"/>
      <c r="X42" s="1368"/>
      <c r="Y42" s="1368"/>
      <c r="Z42" s="1368"/>
      <c r="AA42" s="1368"/>
      <c r="AB42" s="1368"/>
      <c r="AC42" s="1368"/>
    </row>
    <row r="43" spans="1:29" ht="15.75" thickBot="1">
      <c r="A43" s="115" t="s">
        <v>115</v>
      </c>
      <c r="B43" s="116"/>
      <c r="C43" s="2862">
        <f>R43</f>
        <v>55658</v>
      </c>
      <c r="D43" s="2862"/>
      <c r="E43" s="2862"/>
      <c r="F43" s="2862"/>
      <c r="G43" s="2862"/>
      <c r="H43" s="2862"/>
      <c r="I43" s="2862"/>
      <c r="J43" s="2862"/>
      <c r="K43" s="1398"/>
      <c r="L43" s="2310"/>
      <c r="M43" s="2311"/>
      <c r="N43" s="2311"/>
      <c r="O43" s="2311"/>
      <c r="P43" s="3807" t="str">
        <f>A43</f>
        <v>估价对象XX用房的比较价值（楼面单价，元/平方米）</v>
      </c>
      <c r="Q43" s="3808"/>
      <c r="R43" s="3809">
        <f>IF(F1="售价",ROUND(AVERAGE(R42:V42),0),ROUND(AVERAGE(R42:V42),1))</f>
        <v>55658</v>
      </c>
      <c r="S43" s="3809"/>
      <c r="T43" s="3809"/>
      <c r="U43" s="3809"/>
      <c r="V43" s="3809"/>
      <c r="W43" s="3809"/>
      <c r="X43" s="1368"/>
      <c r="Y43" s="1368"/>
      <c r="Z43" s="1368"/>
      <c r="AA43" s="1368"/>
      <c r="AB43" s="1368"/>
      <c r="AC43" s="1368"/>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1233</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1234</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1235</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5" t="s">
        <v>189</v>
      </c>
      <c r="B51" s="1368"/>
      <c r="C51" s="1376"/>
      <c r="D51" s="1376"/>
      <c r="E51" s="1376"/>
      <c r="F51" s="1377"/>
      <c r="G51" s="1377"/>
      <c r="H51" s="1376"/>
      <c r="I51" s="1376"/>
      <c r="J51" s="1376"/>
      <c r="K51" s="2317"/>
      <c r="L51" s="2318"/>
      <c r="M51" s="2319"/>
      <c r="N51" s="2319"/>
      <c r="O51" s="2319"/>
      <c r="P51" s="120"/>
      <c r="Q51" s="121"/>
    </row>
    <row r="52" spans="1:17" s="854" customFormat="1" ht="15">
      <c r="A52" s="851" t="s">
        <v>3200</v>
      </c>
      <c r="B52" s="852"/>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3"/>
    </row>
    <row r="53" spans="1:17" s="40" customFormat="1" ht="14.25">
      <c r="A53" s="1049"/>
      <c r="B53" s="1050"/>
      <c r="C53" s="3060">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173</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166</v>
      </c>
      <c r="D55" s="140" t="s">
        <v>188</v>
      </c>
      <c r="E55" s="140"/>
      <c r="F55" s="140"/>
      <c r="G55" s="140"/>
      <c r="H55" s="140"/>
      <c r="I55" s="140"/>
      <c r="J55" s="140"/>
      <c r="K55" s="140"/>
      <c r="L55" s="141"/>
      <c r="M55" s="1055"/>
      <c r="N55" s="1391"/>
      <c r="O55" s="1391"/>
      <c r="P55" s="1056"/>
      <c r="Q55" s="121"/>
    </row>
    <row r="56" spans="1:17" s="40" customFormat="1" ht="15" thickBot="1">
      <c r="A56" s="1053"/>
      <c r="B56" s="1050"/>
      <c r="C56" s="985">
        <v>100</v>
      </c>
      <c r="D56" s="858">
        <v>98</v>
      </c>
      <c r="E56" s="858"/>
      <c r="F56" s="858"/>
      <c r="G56" s="858"/>
      <c r="H56" s="858"/>
      <c r="I56" s="858"/>
      <c r="J56" s="858"/>
      <c r="K56" s="858"/>
      <c r="L56" s="858"/>
      <c r="M56" s="860"/>
      <c r="N56" s="1391"/>
      <c r="O56" s="1391"/>
      <c r="P56" s="121"/>
      <c r="Q56" s="121"/>
    </row>
    <row r="57" spans="1:17">
      <c r="A57" s="172" t="s">
        <v>72</v>
      </c>
      <c r="B57" s="292" t="s">
        <v>73</v>
      </c>
      <c r="C57" s="176" t="str">
        <f>C9</f>
        <v>工业</v>
      </c>
      <c r="D57" s="122" t="s">
        <v>302</v>
      </c>
      <c r="E57" s="122"/>
      <c r="F57" s="122"/>
      <c r="G57" s="122"/>
      <c r="H57" s="122"/>
      <c r="I57" s="122"/>
      <c r="J57" s="122"/>
      <c r="K57" s="123"/>
      <c r="L57" s="124"/>
      <c r="M57" s="125"/>
      <c r="N57" s="1392"/>
      <c r="O57" s="1392"/>
      <c r="P57" s="1"/>
      <c r="Q57" s="121"/>
    </row>
    <row r="58" spans="1:17" ht="15" thickBot="1">
      <c r="A58" s="173"/>
      <c r="B58" s="1057"/>
      <c r="C58" s="882">
        <v>100</v>
      </c>
      <c r="D58" s="882">
        <v>105</v>
      </c>
      <c r="E58" s="882"/>
      <c r="F58" s="882"/>
      <c r="G58" s="882"/>
      <c r="H58" s="882"/>
      <c r="I58" s="882"/>
      <c r="J58" s="882"/>
      <c r="K58" s="882"/>
      <c r="L58" s="882"/>
      <c r="M58" s="883"/>
      <c r="N58" s="1393"/>
      <c r="O58" s="1393"/>
      <c r="P58" s="1"/>
      <c r="Q58" s="121"/>
    </row>
    <row r="59" spans="1:17" ht="27.75" thickTop="1">
      <c r="A59" s="173"/>
      <c r="B59" s="1058" t="s">
        <v>125</v>
      </c>
      <c r="C59" s="885" t="s">
        <v>1239</v>
      </c>
      <c r="D59" s="885" t="s">
        <v>1240</v>
      </c>
      <c r="E59" s="885" t="s">
        <v>1241</v>
      </c>
      <c r="F59" s="885" t="s">
        <v>1242</v>
      </c>
      <c r="G59" s="885" t="s">
        <v>1243</v>
      </c>
      <c r="H59" s="885" t="s">
        <v>1244</v>
      </c>
      <c r="I59" s="885" t="s">
        <v>1245</v>
      </c>
      <c r="J59" s="885"/>
      <c r="K59" s="886"/>
      <c r="L59" s="887"/>
      <c r="M59" s="888"/>
      <c r="N59" s="1392"/>
      <c r="O59" s="1392"/>
      <c r="P59" s="1"/>
      <c r="Q59" s="121"/>
    </row>
    <row r="60" spans="1:17" ht="15" thickBot="1">
      <c r="A60" s="173"/>
      <c r="B60" s="1059"/>
      <c r="C60" s="890" t="s">
        <v>207</v>
      </c>
      <c r="D60" s="890" t="s">
        <v>208</v>
      </c>
      <c r="E60" s="890">
        <v>100</v>
      </c>
      <c r="F60" s="890">
        <f>E60-$K10</f>
        <v>98</v>
      </c>
      <c r="G60" s="890">
        <f>F60-$K10</f>
        <v>96</v>
      </c>
      <c r="H60" s="890">
        <f>G60-$K10</f>
        <v>94</v>
      </c>
      <c r="I60" s="890">
        <f>H60-$K10</f>
        <v>92</v>
      </c>
      <c r="J60" s="890"/>
      <c r="K60" s="890"/>
      <c r="L60" s="890"/>
      <c r="M60" s="891"/>
      <c r="N60" s="1393"/>
      <c r="O60" s="1393"/>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4" t="str">
        <f>M62&amp;"（含）"&amp;"-"&amp;P62</f>
        <v>（含）-</v>
      </c>
      <c r="N61" s="1393"/>
      <c r="O61" s="1393"/>
      <c r="P61" s="1"/>
      <c r="Q61" s="121"/>
    </row>
    <row r="62" spans="1:17" ht="14.25">
      <c r="A62" s="173"/>
      <c r="B62" s="1061"/>
      <c r="C62" s="895">
        <v>0</v>
      </c>
      <c r="D62" s="895">
        <v>1</v>
      </c>
      <c r="E62" s="895">
        <v>2</v>
      </c>
      <c r="F62" s="895">
        <v>3</v>
      </c>
      <c r="G62" s="895">
        <v>4</v>
      </c>
      <c r="H62" s="895"/>
      <c r="I62" s="895"/>
      <c r="J62" s="895"/>
      <c r="K62" s="896"/>
      <c r="L62" s="897"/>
      <c r="M62" s="898"/>
      <c r="N62" s="1392"/>
      <c r="O62" s="1392"/>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3"/>
      <c r="O63" s="1393"/>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4"/>
      <c r="O64" s="1394"/>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3"/>
      <c r="O65" s="1393"/>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4"/>
      <c r="O66" s="1394"/>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4"/>
      <c r="O67" s="1394"/>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4"/>
      <c r="O68" s="1394"/>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4"/>
      <c r="O69" s="1394"/>
      <c r="P69" s="1066"/>
      <c r="Q69" s="1067"/>
    </row>
    <row r="70" spans="1:17" ht="14.25">
      <c r="A70" s="172" t="s">
        <v>74</v>
      </c>
      <c r="B70" s="292" t="s">
        <v>266</v>
      </c>
      <c r="C70" s="919" t="s">
        <v>1246</v>
      </c>
      <c r="D70" s="919" t="s">
        <v>1247</v>
      </c>
      <c r="E70" s="919" t="s">
        <v>1248</v>
      </c>
      <c r="F70" s="919" t="s">
        <v>1249</v>
      </c>
      <c r="G70" s="919" t="s">
        <v>1250</v>
      </c>
      <c r="H70" s="875"/>
      <c r="I70" s="875"/>
      <c r="J70" s="875"/>
      <c r="K70" s="920"/>
      <c r="L70" s="921"/>
      <c r="M70" s="922"/>
      <c r="N70" s="1392"/>
      <c r="O70" s="1392"/>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3"/>
      <c r="O71" s="1393"/>
      <c r="P71" s="1"/>
      <c r="Q71" s="121"/>
    </row>
    <row r="72" spans="1:17" ht="15" thickTop="1">
      <c r="A72" s="173"/>
      <c r="B72" s="1058" t="s">
        <v>97</v>
      </c>
      <c r="C72" s="924" t="s">
        <v>1246</v>
      </c>
      <c r="D72" s="924" t="s">
        <v>1247</v>
      </c>
      <c r="E72" s="924" t="s">
        <v>1248</v>
      </c>
      <c r="F72" s="924" t="s">
        <v>1249</v>
      </c>
      <c r="G72" s="924" t="s">
        <v>1250</v>
      </c>
      <c r="H72" s="885"/>
      <c r="I72" s="885"/>
      <c r="J72" s="885"/>
      <c r="K72" s="886"/>
      <c r="L72" s="887"/>
      <c r="M72" s="888"/>
      <c r="N72" s="1392"/>
      <c r="O72" s="1392"/>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3"/>
      <c r="O73" s="1393"/>
      <c r="P73" s="1"/>
      <c r="Q73" s="121"/>
    </row>
    <row r="74" spans="1:17" ht="15" thickTop="1">
      <c r="A74" s="173"/>
      <c r="B74" s="1058" t="s">
        <v>3038</v>
      </c>
      <c r="C74" s="924" t="s">
        <v>1246</v>
      </c>
      <c r="D74" s="924" t="s">
        <v>1247</v>
      </c>
      <c r="E74" s="924" t="s">
        <v>1248</v>
      </c>
      <c r="F74" s="924" t="s">
        <v>1249</v>
      </c>
      <c r="G74" s="924" t="s">
        <v>1250</v>
      </c>
      <c r="H74" s="885"/>
      <c r="I74" s="885"/>
      <c r="J74" s="885"/>
      <c r="K74" s="886"/>
      <c r="L74" s="887"/>
      <c r="M74" s="888"/>
      <c r="N74" s="1392"/>
      <c r="O74" s="1392"/>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3"/>
      <c r="O75" s="1393"/>
      <c r="P75" s="1"/>
      <c r="Q75" s="121"/>
    </row>
    <row r="76" spans="1:17" ht="15" thickTop="1">
      <c r="A76" s="173"/>
      <c r="B76" s="1060" t="s">
        <v>3066</v>
      </c>
      <c r="C76" s="213" t="s">
        <v>3058</v>
      </c>
      <c r="D76" s="213" t="s">
        <v>3059</v>
      </c>
      <c r="E76" s="213" t="s">
        <v>3060</v>
      </c>
      <c r="F76" s="213" t="s">
        <v>3061</v>
      </c>
      <c r="G76" s="213" t="s">
        <v>3062</v>
      </c>
      <c r="H76" s="885"/>
      <c r="I76" s="885"/>
      <c r="J76" s="885"/>
      <c r="K76" s="885"/>
      <c r="L76" s="885"/>
      <c r="M76" s="2781"/>
      <c r="N76" s="1393"/>
      <c r="O76" s="1393"/>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6"/>
      <c r="N77" s="1393"/>
      <c r="O77" s="1393"/>
      <c r="P77" s="1"/>
      <c r="Q77" s="121"/>
    </row>
    <row r="78" spans="1:17" ht="15" thickTop="1">
      <c r="A78" s="173"/>
      <c r="B78" s="1058" t="s">
        <v>218</v>
      </c>
      <c r="C78" s="924" t="s">
        <v>1246</v>
      </c>
      <c r="D78" s="924" t="s">
        <v>1247</v>
      </c>
      <c r="E78" s="924" t="s">
        <v>1248</v>
      </c>
      <c r="F78" s="924" t="s">
        <v>1249</v>
      </c>
      <c r="G78" s="924" t="s">
        <v>1250</v>
      </c>
      <c r="H78" s="885"/>
      <c r="I78" s="885"/>
      <c r="J78" s="885"/>
      <c r="K78" s="886"/>
      <c r="L78" s="887"/>
      <c r="M78" s="888"/>
      <c r="N78" s="1392"/>
      <c r="O78" s="1392"/>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3"/>
      <c r="O79" s="1393"/>
      <c r="P79" s="1"/>
      <c r="Q79" s="121"/>
    </row>
    <row r="80" spans="1:17" s="40" customFormat="1" ht="14.25" thickTop="1">
      <c r="A80" s="1076"/>
      <c r="B80" s="1058">
        <f>B25</f>
        <v>111</v>
      </c>
      <c r="C80" s="139">
        <v>111</v>
      </c>
      <c r="D80" s="139">
        <v>222</v>
      </c>
      <c r="E80" s="139">
        <v>333</v>
      </c>
      <c r="F80" s="139">
        <v>444</v>
      </c>
      <c r="G80" s="139"/>
      <c r="H80" s="139"/>
      <c r="I80" s="139"/>
      <c r="J80" s="139"/>
      <c r="K80" s="139"/>
      <c r="L80" s="1387"/>
      <c r="M80" s="1388"/>
      <c r="N80" s="1391"/>
      <c r="O80" s="1391"/>
      <c r="P80" s="1"/>
      <c r="Q80" s="121"/>
    </row>
    <row r="81" spans="1:17" s="40" customFormat="1" ht="15" thickBot="1">
      <c r="A81" s="1076"/>
      <c r="B81" s="1059"/>
      <c r="C81" s="906">
        <v>100</v>
      </c>
      <c r="D81" s="882">
        <v>95</v>
      </c>
      <c r="E81" s="882">
        <v>90</v>
      </c>
      <c r="F81" s="882">
        <v>85</v>
      </c>
      <c r="G81" s="882"/>
      <c r="H81" s="882"/>
      <c r="I81" s="882"/>
      <c r="J81" s="882"/>
      <c r="K81" s="882"/>
      <c r="L81" s="882"/>
      <c r="M81" s="883"/>
      <c r="N81" s="1393"/>
      <c r="O81" s="1393"/>
      <c r="P81" s="1"/>
      <c r="Q81" s="121"/>
    </row>
    <row r="82" spans="1:17" s="40" customFormat="1" ht="14.25" thickTop="1">
      <c r="A82" s="1076"/>
      <c r="B82" s="1058">
        <f>B26</f>
        <v>111</v>
      </c>
      <c r="C82" s="139">
        <v>111</v>
      </c>
      <c r="D82" s="139">
        <v>222</v>
      </c>
      <c r="E82" s="139">
        <v>333</v>
      </c>
      <c r="F82" s="139">
        <v>444</v>
      </c>
      <c r="G82" s="139"/>
      <c r="H82" s="139"/>
      <c r="I82" s="139"/>
      <c r="J82" s="139"/>
      <c r="K82" s="139"/>
      <c r="L82" s="1387"/>
      <c r="M82" s="1388"/>
      <c r="N82" s="1391"/>
      <c r="O82" s="1391"/>
      <c r="P82" s="1"/>
      <c r="Q82" s="121"/>
    </row>
    <row r="83" spans="1:17" s="40" customFormat="1" ht="15" thickBot="1">
      <c r="A83" s="1076"/>
      <c r="B83" s="1059"/>
      <c r="C83" s="906">
        <v>100</v>
      </c>
      <c r="D83" s="882">
        <v>95</v>
      </c>
      <c r="E83" s="882">
        <v>90</v>
      </c>
      <c r="F83" s="882">
        <v>85</v>
      </c>
      <c r="G83" s="882"/>
      <c r="H83" s="882"/>
      <c r="I83" s="882"/>
      <c r="J83" s="882"/>
      <c r="K83" s="882"/>
      <c r="L83" s="882"/>
      <c r="M83" s="883"/>
      <c r="N83" s="1393"/>
      <c r="O83" s="1393"/>
      <c r="P83" s="1"/>
      <c r="Q83" s="121"/>
    </row>
    <row r="84" spans="1:17" s="1043" customFormat="1" ht="14.25" thickTop="1">
      <c r="A84" s="1062"/>
      <c r="B84" s="1058">
        <f>B27</f>
        <v>111</v>
      </c>
      <c r="C84" s="139">
        <v>111</v>
      </c>
      <c r="D84" s="139">
        <v>222</v>
      </c>
      <c r="E84" s="139">
        <v>333</v>
      </c>
      <c r="F84" s="139">
        <v>444</v>
      </c>
      <c r="G84" s="139"/>
      <c r="H84" s="139"/>
      <c r="I84" s="139"/>
      <c r="J84" s="139"/>
      <c r="K84" s="139"/>
      <c r="L84" s="1387"/>
      <c r="M84" s="1388"/>
      <c r="N84" s="1394"/>
      <c r="O84" s="1394"/>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4"/>
      <c r="O85" s="1394"/>
      <c r="P85" s="1066"/>
      <c r="Q85" s="1067"/>
    </row>
    <row r="86" spans="1:17" ht="14.25" thickTop="1">
      <c r="A86" s="173"/>
      <c r="B86" s="1060">
        <f>B28</f>
        <v>111</v>
      </c>
      <c r="C86" s="140">
        <v>111</v>
      </c>
      <c r="D86" s="140">
        <v>222</v>
      </c>
      <c r="E86" s="140">
        <v>333</v>
      </c>
      <c r="F86" s="140">
        <v>444</v>
      </c>
      <c r="G86" s="135"/>
      <c r="H86" s="135"/>
      <c r="I86" s="135"/>
      <c r="J86" s="135"/>
      <c r="K86" s="136"/>
      <c r="L86" s="137"/>
      <c r="M86" s="138"/>
      <c r="N86" s="1392"/>
      <c r="O86" s="1392"/>
      <c r="P86" s="1"/>
      <c r="Q86" s="121"/>
    </row>
    <row r="87" spans="1:17" ht="15" thickBot="1">
      <c r="A87" s="174"/>
      <c r="B87" s="1075"/>
      <c r="C87" s="916">
        <v>100</v>
      </c>
      <c r="D87" s="916">
        <v>98</v>
      </c>
      <c r="E87" s="916">
        <v>96</v>
      </c>
      <c r="F87" s="916">
        <v>94</v>
      </c>
      <c r="G87" s="937"/>
      <c r="H87" s="937"/>
      <c r="I87" s="937"/>
      <c r="J87" s="937"/>
      <c r="K87" s="937"/>
      <c r="L87" s="937"/>
      <c r="M87" s="938"/>
      <c r="N87" s="1393"/>
      <c r="O87" s="1393"/>
      <c r="P87" s="1"/>
      <c r="Q87" s="121"/>
    </row>
    <row r="88" spans="1:17">
      <c r="A88" s="172" t="s">
        <v>75</v>
      </c>
      <c r="B88" s="292" t="s">
        <v>183</v>
      </c>
      <c r="C88" s="122" t="s">
        <v>246</v>
      </c>
      <c r="D88" s="122" t="s">
        <v>247</v>
      </c>
      <c r="E88" s="122"/>
      <c r="F88" s="122"/>
      <c r="G88" s="122"/>
      <c r="H88" s="122"/>
      <c r="I88" s="122"/>
      <c r="J88" s="122"/>
      <c r="K88" s="123"/>
      <c r="L88" s="124"/>
      <c r="M88" s="125"/>
      <c r="N88" s="1392"/>
      <c r="O88" s="1392"/>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3"/>
      <c r="O89" s="1393"/>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1"/>
      <c r="O90" s="1391"/>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4"/>
      <c r="O91" s="1394"/>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3"/>
      <c r="O92" s="1393"/>
      <c r="P92" s="1066"/>
      <c r="Q92" s="1067"/>
    </row>
    <row r="93" spans="1:17" ht="14.25" thickTop="1">
      <c r="A93" s="175"/>
      <c r="B93" s="1058" t="s">
        <v>100</v>
      </c>
      <c r="C93" s="139" t="s">
        <v>150</v>
      </c>
      <c r="D93" s="139" t="s">
        <v>126</v>
      </c>
      <c r="E93" s="131" t="s">
        <v>152</v>
      </c>
      <c r="F93" s="131"/>
      <c r="G93" s="131"/>
      <c r="H93" s="131"/>
      <c r="I93" s="131"/>
      <c r="J93" s="131"/>
      <c r="K93" s="132"/>
      <c r="L93" s="133"/>
      <c r="M93" s="134"/>
      <c r="N93" s="1392"/>
      <c r="O93" s="1392"/>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3"/>
      <c r="O94" s="1393"/>
      <c r="P94" s="1"/>
      <c r="Q94" s="121"/>
    </row>
    <row r="95" spans="1:17" ht="14.25" thickTop="1">
      <c r="A95" s="175"/>
      <c r="B95" s="1058" t="s">
        <v>185</v>
      </c>
      <c r="C95" s="139" t="s">
        <v>157</v>
      </c>
      <c r="D95" s="139" t="s">
        <v>158</v>
      </c>
      <c r="E95" s="139" t="s">
        <v>107</v>
      </c>
      <c r="F95" s="131" t="s">
        <v>156</v>
      </c>
      <c r="G95" s="131"/>
      <c r="H95" s="131"/>
      <c r="I95" s="131"/>
      <c r="J95" s="131"/>
      <c r="K95" s="132"/>
      <c r="L95" s="133"/>
      <c r="M95" s="134"/>
      <c r="N95" s="1392"/>
      <c r="O95" s="1392"/>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3"/>
      <c r="O96" s="1393"/>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2"/>
      <c r="O97" s="1392"/>
      <c r="P97" s="1"/>
      <c r="Q97" s="121"/>
    </row>
    <row r="98" spans="1:17" ht="14.25">
      <c r="A98" s="175"/>
      <c r="B98" s="1060"/>
      <c r="C98" s="949">
        <v>0.5</v>
      </c>
      <c r="D98" s="949">
        <v>0.6</v>
      </c>
      <c r="E98" s="949">
        <v>0.7</v>
      </c>
      <c r="F98" s="949">
        <v>0.8</v>
      </c>
      <c r="G98" s="949">
        <v>0.9</v>
      </c>
      <c r="H98" s="949">
        <v>1.0001</v>
      </c>
      <c r="I98" s="183"/>
      <c r="J98" s="183"/>
      <c r="K98" s="184"/>
      <c r="L98" s="185"/>
      <c r="M98" s="186"/>
      <c r="N98" s="1392"/>
      <c r="O98" s="1392"/>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3"/>
      <c r="O99" s="1393"/>
      <c r="P99" s="1"/>
      <c r="Q99" s="121"/>
    </row>
    <row r="100" spans="1:17" s="1043" customFormat="1" ht="14.25" thickTop="1">
      <c r="A100" s="1077"/>
      <c r="B100" s="1058" t="s">
        <v>186</v>
      </c>
      <c r="C100" s="139" t="s">
        <v>114</v>
      </c>
      <c r="D100" s="139" t="s">
        <v>113</v>
      </c>
      <c r="E100" s="139"/>
      <c r="F100" s="139"/>
      <c r="G100" s="139"/>
      <c r="H100" s="131"/>
      <c r="I100" s="131"/>
      <c r="J100" s="131"/>
      <c r="K100" s="132"/>
      <c r="L100" s="133"/>
      <c r="M100" s="134"/>
      <c r="N100" s="1394"/>
      <c r="O100" s="1394"/>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4"/>
      <c r="O101" s="1394"/>
      <c r="P101" s="1066"/>
      <c r="Q101" s="1067"/>
    </row>
    <row r="102" spans="1:17" ht="14.25" thickTop="1">
      <c r="A102" s="175"/>
      <c r="B102" s="1058" t="s">
        <v>3040</v>
      </c>
      <c r="C102" s="139" t="s">
        <v>112</v>
      </c>
      <c r="D102" s="139" t="s">
        <v>111</v>
      </c>
      <c r="E102" s="139" t="s">
        <v>110</v>
      </c>
      <c r="F102" s="139" t="s">
        <v>109</v>
      </c>
      <c r="G102" s="139" t="s">
        <v>108</v>
      </c>
      <c r="H102" s="131"/>
      <c r="I102" s="131"/>
      <c r="J102" s="131"/>
      <c r="K102" s="132"/>
      <c r="L102" s="133"/>
      <c r="M102" s="134"/>
      <c r="N102" s="1392"/>
      <c r="O102" s="1392"/>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3"/>
      <c r="O103" s="1393"/>
      <c r="P103" s="1"/>
      <c r="Q103" s="121"/>
    </row>
    <row r="104" spans="1:17" ht="14.25" thickTop="1">
      <c r="A104" s="175"/>
      <c r="B104" s="1058" t="s">
        <v>187</v>
      </c>
      <c r="C104" s="139" t="s">
        <v>157</v>
      </c>
      <c r="D104" s="139" t="s">
        <v>158</v>
      </c>
      <c r="E104" s="139" t="s">
        <v>236</v>
      </c>
      <c r="F104" s="139" t="s">
        <v>248</v>
      </c>
      <c r="G104" s="139"/>
      <c r="H104" s="131"/>
      <c r="I104" s="131"/>
      <c r="J104" s="131"/>
      <c r="K104" s="132"/>
      <c r="L104" s="133"/>
      <c r="M104" s="134"/>
      <c r="N104" s="1392"/>
      <c r="O104" s="1392"/>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3"/>
      <c r="O105" s="1393"/>
      <c r="P105" s="1"/>
      <c r="Q105" s="121"/>
    </row>
    <row r="106" spans="1:17" ht="27.75" thickTop="1">
      <c r="A106" s="175"/>
      <c r="B106" s="211" t="s">
        <v>245</v>
      </c>
      <c r="C106" s="924" t="s">
        <v>1246</v>
      </c>
      <c r="D106" s="924" t="s">
        <v>1247</v>
      </c>
      <c r="E106" s="924" t="s">
        <v>1248</v>
      </c>
      <c r="F106" s="924" t="s">
        <v>1249</v>
      </c>
      <c r="G106" s="924" t="s">
        <v>1250</v>
      </c>
      <c r="H106" s="885"/>
      <c r="I106" s="885"/>
      <c r="J106" s="885"/>
      <c r="K106" s="886"/>
      <c r="L106" s="887"/>
      <c r="M106" s="888"/>
      <c r="N106" s="1393"/>
      <c r="O106" s="1393"/>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3"/>
      <c r="O107" s="1393"/>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4"/>
      <c r="O108" s="1394"/>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4"/>
      <c r="O109" s="1394"/>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2"/>
      <c r="O110" s="1392"/>
      <c r="P110" s="1"/>
      <c r="Q110" s="121"/>
    </row>
    <row r="111" spans="1:17" ht="15" thickBot="1">
      <c r="A111" s="173"/>
      <c r="B111" s="1059"/>
      <c r="C111" s="906">
        <v>100</v>
      </c>
      <c r="D111" s="882">
        <v>95</v>
      </c>
      <c r="E111" s="882">
        <v>90</v>
      </c>
      <c r="F111" s="882">
        <v>85</v>
      </c>
      <c r="G111" s="906"/>
      <c r="H111" s="908"/>
      <c r="I111" s="908"/>
      <c r="J111" s="908"/>
      <c r="K111" s="908"/>
      <c r="L111" s="908"/>
      <c r="M111" s="909"/>
      <c r="N111" s="1393"/>
      <c r="O111" s="1393"/>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2"/>
      <c r="O112" s="1392"/>
      <c r="P112" s="1"/>
      <c r="Q112" s="121"/>
    </row>
    <row r="113" spans="1:17" ht="15" thickBot="1">
      <c r="A113" s="174"/>
      <c r="B113" s="1075"/>
      <c r="C113" s="916">
        <v>100</v>
      </c>
      <c r="D113" s="916">
        <v>98</v>
      </c>
      <c r="E113" s="916">
        <v>96</v>
      </c>
      <c r="F113" s="916">
        <v>94</v>
      </c>
      <c r="G113" s="937"/>
      <c r="H113" s="937"/>
      <c r="I113" s="937"/>
      <c r="J113" s="937"/>
      <c r="K113" s="937"/>
      <c r="L113" s="937"/>
      <c r="M113" s="938"/>
      <c r="N113" s="1393"/>
      <c r="O113" s="1393"/>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1" t="s">
        <v>2367</v>
      </c>
    </row>
    <row r="2" spans="1:1">
      <c r="A2" s="1952"/>
    </row>
    <row r="3" spans="1:1" ht="18.75">
      <c r="A3" s="2905" t="str">
        <f>项目基本情况!B5&amp;"："</f>
        <v>中信国安会议展览有限公司：</v>
      </c>
    </row>
    <row r="4" spans="1:1" ht="37.5">
      <c r="A4" s="1953" t="str">
        <f>"受贵公司委托，我公司对"&amp;项目基本情况!S1&amp;"进行了预评估。"</f>
        <v>受贵公司委托，我公司对香河香河开发区第一城城内房地产抵押价值进行了预评估。</v>
      </c>
    </row>
    <row r="5" spans="1:1" ht="18.75">
      <c r="A5" s="1954" t="s">
        <v>2368</v>
      </c>
    </row>
    <row r="6" spans="1:1" ht="18.75">
      <c r="A6" s="3073" t="s">
        <v>3278</v>
      </c>
    </row>
    <row r="7" spans="1:1" ht="56.25">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估价对象为香河香河开发区第一城城内房地产，为BB公司所有。根据《国有土地使用证》[]，估价对象（分摊）出让国有建设用地使用权面积为619634平方米，建筑面积为494831.87平方米。</v>
      </c>
    </row>
    <row r="8" spans="1:1" ht="56.25">
      <c r="A8" s="1997" t="s">
        <v>3271</v>
      </c>
    </row>
    <row r="9" spans="1:1" ht="18.75">
      <c r="A9" s="3073" t="s">
        <v>3279</v>
      </c>
    </row>
    <row r="10" spans="1:1" ht="75">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香河香河开发区第一城城内房地产,为BB公司开发建设的商业项目，该项目尚在开发建设中。根据《国有土地使用证》[]，估价对象（分摊）出让国有建设用地使用权面积为619634平方米，规划建筑面积为494831.87平方米。</v>
      </c>
    </row>
    <row r="11" spans="1:1" ht="75">
      <c r="A11" s="1997" t="s">
        <v>3314</v>
      </c>
    </row>
    <row r="12" spans="1:1" ht="18.75">
      <c r="A12" s="1954" t="s">
        <v>2369</v>
      </c>
    </row>
    <row r="13" spans="1:1" ht="38.25" customHeight="1">
      <c r="A13" s="1955"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6" t="s">
        <v>2370</v>
      </c>
    </row>
    <row r="15" spans="1:1" ht="18.75">
      <c r="A15" s="1957" t="str">
        <f>TEXT(项目基本情况!D3,"yyyy年m月d日;;")&amp;IF(项目基本情况!D3=项目基本情况!B3,"评估专业人员实地查勘之日","")</f>
        <v>2017年6月20日评估专业人员实地查勘之日</v>
      </c>
    </row>
    <row r="16" spans="1:1" ht="18.75">
      <c r="A16" s="1956" t="s">
        <v>2372</v>
      </c>
    </row>
    <row r="17" spans="1:1" ht="75">
      <c r="A17" s="1953" t="s">
        <v>3272</v>
      </c>
    </row>
    <row r="18" spans="1:1" ht="75">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商业，土地取得方式为出让，出让国有建设用地使用权剩余土地使用年限为商业40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业40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5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3" t="s">
        <v>3273</v>
      </c>
    </row>
    <row r="22" spans="1:1" ht="18.75">
      <c r="A22" s="1953" t="str">
        <f>IF(项目基本情况!E9="——","",定义!C57)</f>
        <v/>
      </c>
    </row>
    <row r="23" spans="1:1" ht="18.75">
      <c r="A23" s="1956" t="s">
        <v>2394</v>
      </c>
    </row>
    <row r="24" spans="1:1" ht="18.75">
      <c r="A24" s="1960" t="str">
        <f>"本次评估采用的主估价方法为"&amp;结果表!K4&amp;"和"&amp;结果表!L4&amp;"。"</f>
        <v>本次评估采用的主估价方法为成本法和收益法。</v>
      </c>
    </row>
    <row r="25" spans="1:1" ht="18.75">
      <c r="A25" s="1960"/>
    </row>
    <row r="26" spans="1:1" ht="18.75">
      <c r="A26" s="2089" t="s">
        <v>2477</v>
      </c>
    </row>
    <row r="27" spans="1:1">
      <c r="A27" s="1999"/>
    </row>
    <row r="28" spans="1:1">
      <c r="A28" s="1999"/>
    </row>
    <row r="29" spans="1:1">
      <c r="A29" s="1999"/>
    </row>
    <row r="30" spans="1:1">
      <c r="A30" s="1999"/>
    </row>
    <row r="31" spans="1:1">
      <c r="A31" s="1999"/>
    </row>
    <row r="32" spans="1:1">
      <c r="A32" s="1999"/>
    </row>
    <row r="33" spans="1:1">
      <c r="A33" s="1999"/>
    </row>
    <row r="34" spans="1:1">
      <c r="A34" s="1999"/>
    </row>
    <row r="35" spans="1:1">
      <c r="A35" s="1999"/>
    </row>
    <row r="36" spans="1:1">
      <c r="A36" s="1999"/>
    </row>
    <row r="37" spans="1:1">
      <c r="A37" s="1999"/>
    </row>
    <row r="38" spans="1:1">
      <c r="A38" s="1999"/>
    </row>
    <row r="39" spans="1:1">
      <c r="A39" s="1999"/>
    </row>
    <row r="40" spans="1:1">
      <c r="A40" s="1999"/>
    </row>
    <row r="41" spans="1:1">
      <c r="A41" s="1999"/>
    </row>
    <row r="42" spans="1:1">
      <c r="A42" s="1999"/>
    </row>
    <row r="43" spans="1:1">
      <c r="A43" s="1999"/>
    </row>
    <row r="44" spans="1:1">
      <c r="A44" s="1999"/>
    </row>
    <row r="45" spans="1:1">
      <c r="A45" s="1999"/>
    </row>
    <row r="46" spans="1:1">
      <c r="A46" s="1999"/>
    </row>
    <row r="47" spans="1:1">
      <c r="A47" s="1999"/>
    </row>
    <row r="48" spans="1:1">
      <c r="A48" s="199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1" customWidth="1"/>
    <col min="12" max="12" width="12.25" style="842" customWidth="1"/>
    <col min="13" max="15" width="12.25" style="749" customWidth="1"/>
    <col min="16" max="16" width="4.75" style="222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53" customFormat="1" ht="28.5" customHeight="1" thickBot="1">
      <c r="A1" s="3142" t="s">
        <v>552</v>
      </c>
      <c r="B1" s="3143" t="s">
        <v>630</v>
      </c>
      <c r="C1" s="3144" t="s">
        <v>631</v>
      </c>
      <c r="D1" s="3145" t="s">
        <v>3366</v>
      </c>
      <c r="E1" s="3146"/>
      <c r="F1" s="3127" t="s">
        <v>3099</v>
      </c>
      <c r="G1" s="3147" t="s">
        <v>632</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4" customFormat="1" ht="28.5" customHeight="1" thickTop="1">
      <c r="A2" s="3141" t="s">
        <v>633</v>
      </c>
      <c r="B2" s="2863">
        <f ca="1">IF(C2="——",IF(B37="元/平方米",ROUND(C39*D3/10000,0),ROUND(F3*C39/10000,0)),IF(B37="元/平方米",ROUND(C39*D3/10000,0),ROUND(F3*C39/10000,0))-D2)</f>
        <v>72028</v>
      </c>
      <c r="C2" s="3119" t="s">
        <v>3101</v>
      </c>
      <c r="D2" s="2349">
        <f ca="1">SUMIF(INDIRECT("'"&amp;F2&amp;"'"&amp;"!A:A"),"承租人权益价值",INDIRECT("'"&amp;F2&amp;"'"&amp;"!c:c"))</f>
        <v>-72028</v>
      </c>
      <c r="E2" s="3120" t="s">
        <v>1094</v>
      </c>
      <c r="F2" s="3121" t="s">
        <v>2832</v>
      </c>
      <c r="G2" s="2350"/>
      <c r="H2" s="2350"/>
      <c r="I2" s="2350"/>
      <c r="J2" s="2350"/>
      <c r="K2" s="2352"/>
      <c r="L2" s="2353"/>
      <c r="M2" s="2354"/>
      <c r="N2" s="2354"/>
      <c r="O2" s="2354"/>
      <c r="P2" s="2864"/>
      <c r="Q2" s="1319"/>
      <c r="R2" s="1319"/>
      <c r="S2" s="1319"/>
      <c r="T2" s="1319"/>
      <c r="U2" s="1319"/>
      <c r="V2" s="1319"/>
      <c r="W2" s="1319"/>
      <c r="X2" s="1319"/>
      <c r="Y2" s="1319"/>
      <c r="Z2" s="1319"/>
      <c r="AA2" s="1319"/>
      <c r="AB2" s="1319"/>
      <c r="AC2" s="1320"/>
    </row>
    <row r="3" spans="1:29" s="744" customFormat="1" ht="28.5" customHeight="1" thickBot="1">
      <c r="A3" s="582" t="s">
        <v>634</v>
      </c>
      <c r="B3" s="955" t="e">
        <f ca="1">IF(AND(C2="——",B37="元/平方米"),C39,ROUND(B2*10000/D3,0))</f>
        <v>#DIV/0!</v>
      </c>
      <c r="C3" s="746" t="s">
        <v>635</v>
      </c>
      <c r="D3" s="745">
        <f>SUMIF('数据-汇总表'!$C19:$C33,D1,'数据-汇总表'!$E19:$E33)</f>
        <v>0</v>
      </c>
      <c r="E3" s="746" t="s">
        <v>2501</v>
      </c>
      <c r="F3" s="745">
        <f>SUMIF('数据-取费表'!A5:A15,D1,'数据-取费表'!AH5:AH15)</f>
        <v>0</v>
      </c>
      <c r="G3" s="2350"/>
      <c r="H3" s="2350"/>
      <c r="I3" s="2350"/>
      <c r="J3" s="2350"/>
      <c r="K3" s="2352"/>
      <c r="L3" s="2353"/>
      <c r="M3" s="2354"/>
      <c r="N3" s="2354"/>
      <c r="O3" s="2354"/>
      <c r="P3" s="2864"/>
      <c r="Q3" s="1319"/>
      <c r="R3" s="1319"/>
      <c r="S3" s="1319"/>
      <c r="T3" s="1319"/>
      <c r="U3" s="1319"/>
      <c r="V3" s="1319"/>
      <c r="W3" s="1319"/>
      <c r="X3" s="1319"/>
      <c r="Y3" s="1319"/>
      <c r="Z3" s="1319"/>
      <c r="AA3" s="1319"/>
      <c r="AB3" s="1412"/>
      <c r="AC3" s="1402"/>
    </row>
    <row r="4" spans="1:29" ht="15">
      <c r="A4" s="747" t="s">
        <v>636</v>
      </c>
      <c r="B4" s="748"/>
      <c r="C4" s="3855" t="s">
        <v>637</v>
      </c>
      <c r="D4" s="3856"/>
      <c r="E4" s="3857" t="s">
        <v>638</v>
      </c>
      <c r="F4" s="3858"/>
      <c r="G4" s="3855" t="s">
        <v>639</v>
      </c>
      <c r="H4" s="3856"/>
      <c r="I4" s="3855" t="s">
        <v>640</v>
      </c>
      <c r="J4" s="3856"/>
      <c r="K4" s="956" t="s">
        <v>641</v>
      </c>
      <c r="L4" s="2355"/>
      <c r="M4" s="2356"/>
      <c r="N4" s="2356"/>
      <c r="O4" s="2356"/>
      <c r="P4" s="3859" t="s">
        <v>642</v>
      </c>
      <c r="Q4" s="3860"/>
      <c r="R4" s="3842" t="s">
        <v>638</v>
      </c>
      <c r="S4" s="3843"/>
      <c r="T4" s="3842" t="s">
        <v>639</v>
      </c>
      <c r="U4" s="3843"/>
      <c r="V4" s="3867" t="s">
        <v>640</v>
      </c>
      <c r="W4" s="3867"/>
      <c r="X4" s="2849"/>
      <c r="Y4" s="3842" t="s">
        <v>642</v>
      </c>
      <c r="Z4" s="3843"/>
      <c r="AA4" s="3837" t="s">
        <v>638</v>
      </c>
      <c r="AB4" s="3838" t="s">
        <v>639</v>
      </c>
      <c r="AC4" s="3837" t="s">
        <v>640</v>
      </c>
    </row>
    <row r="5" spans="1:29" ht="15">
      <c r="A5" s="750"/>
      <c r="B5" s="751"/>
      <c r="C5" s="3848" t="s">
        <v>561</v>
      </c>
      <c r="D5" s="3849"/>
      <c r="E5" s="3846" t="s">
        <v>562</v>
      </c>
      <c r="F5" s="3847"/>
      <c r="G5" s="3848" t="s">
        <v>563</v>
      </c>
      <c r="H5" s="3849"/>
      <c r="I5" s="3848" t="s">
        <v>564</v>
      </c>
      <c r="J5" s="3849"/>
      <c r="K5" s="956"/>
      <c r="L5" s="2355"/>
      <c r="M5" s="2356"/>
      <c r="N5" s="2356"/>
      <c r="O5" s="2356"/>
      <c r="P5" s="3861"/>
      <c r="Q5" s="3862"/>
      <c r="R5" s="3844"/>
      <c r="S5" s="3845"/>
      <c r="T5" s="3844"/>
      <c r="U5" s="3845"/>
      <c r="V5" s="3867"/>
      <c r="W5" s="3867"/>
      <c r="X5" s="2849"/>
      <c r="Y5" s="3844"/>
      <c r="Z5" s="3845"/>
      <c r="AA5" s="3838"/>
      <c r="AB5" s="3838"/>
      <c r="AC5" s="3838"/>
    </row>
    <row r="6" spans="1:29" ht="15.75" thickBot="1">
      <c r="A6" s="752"/>
      <c r="B6" s="753"/>
      <c r="C6" s="3850" t="s">
        <v>565</v>
      </c>
      <c r="D6" s="3851"/>
      <c r="E6" s="3852" t="s">
        <v>565</v>
      </c>
      <c r="F6" s="3853"/>
      <c r="G6" s="3850" t="s">
        <v>565</v>
      </c>
      <c r="H6" s="3851"/>
      <c r="I6" s="3850" t="s">
        <v>565</v>
      </c>
      <c r="J6" s="3851"/>
      <c r="K6" s="956" t="s">
        <v>566</v>
      </c>
      <c r="L6" s="2355"/>
      <c r="M6" s="2356"/>
      <c r="N6" s="2356"/>
      <c r="O6" s="2356"/>
      <c r="P6" s="3863"/>
      <c r="Q6" s="3864"/>
      <c r="R6" s="3844"/>
      <c r="S6" s="3845"/>
      <c r="T6" s="3865"/>
      <c r="U6" s="3866"/>
      <c r="V6" s="3867"/>
      <c r="W6" s="3867"/>
      <c r="X6" s="2849"/>
      <c r="Y6" s="3865"/>
      <c r="Z6" s="3866"/>
      <c r="AA6" s="3839"/>
      <c r="AB6" s="3839"/>
      <c r="AC6" s="3839"/>
    </row>
    <row r="7" spans="1:29" s="412" customFormat="1" ht="15.75" thickBot="1">
      <c r="A7" s="754" t="s">
        <v>567</v>
      </c>
      <c r="B7" s="755"/>
      <c r="C7" s="756">
        <f>'数据-取费表'!B2</f>
        <v>42906</v>
      </c>
      <c r="D7" s="757">
        <v>100</v>
      </c>
      <c r="E7" s="758">
        <v>42736</v>
      </c>
      <c r="F7" s="759">
        <f>SUMIF(48:48,YEAR(E7)&amp;"-"&amp;MONTH(E7),49:49)</f>
        <v>97.5</v>
      </c>
      <c r="G7" s="758">
        <v>42736</v>
      </c>
      <c r="H7" s="757">
        <f>SUMIF(48:48,YEAR(G7)&amp;"-"&amp;MONTH(G7),49:49)</f>
        <v>97.5</v>
      </c>
      <c r="I7" s="758">
        <v>42736</v>
      </c>
      <c r="J7" s="757">
        <f>SUMIF(48:48,YEAR(I7)&amp;"-"&amp;MONTH(I7),49:49)</f>
        <v>97.5</v>
      </c>
      <c r="K7" s="957"/>
      <c r="L7" s="2357"/>
      <c r="M7" s="2358"/>
      <c r="N7" s="2358"/>
      <c r="O7" s="2358"/>
      <c r="P7" s="3840" t="s">
        <v>568</v>
      </c>
      <c r="Q7" s="3868"/>
      <c r="R7" s="1322" t="s">
        <v>70</v>
      </c>
      <c r="S7" s="1323">
        <f t="shared" ref="S7:S14" si="0">F7</f>
        <v>97.5</v>
      </c>
      <c r="T7" s="1322" t="s">
        <v>70</v>
      </c>
      <c r="U7" s="1323">
        <f t="shared" ref="U7:U14" si="1">H7</f>
        <v>97.5</v>
      </c>
      <c r="V7" s="1322" t="s">
        <v>70</v>
      </c>
      <c r="W7" s="1323">
        <f t="shared" ref="W7:W14" si="2">J7</f>
        <v>97.5</v>
      </c>
      <c r="X7" s="1324"/>
      <c r="Y7" s="3840" t="s">
        <v>568</v>
      </c>
      <c r="Z7" s="3841"/>
      <c r="AA7" s="1325">
        <f>D7/F7</f>
        <v>1.0256410256410255</v>
      </c>
      <c r="AB7" s="1325">
        <f>D7/H7</f>
        <v>1.0256410256410255</v>
      </c>
      <c r="AC7" s="1325">
        <f>D7/J7</f>
        <v>1.0256410256410255</v>
      </c>
    </row>
    <row r="8" spans="1:29" s="412" customFormat="1" ht="15.75" thickBot="1">
      <c r="A8" s="754" t="s">
        <v>569</v>
      </c>
      <c r="B8" s="755"/>
      <c r="C8" s="760" t="s">
        <v>590</v>
      </c>
      <c r="D8" s="757">
        <v>100</v>
      </c>
      <c r="E8" s="760" t="s">
        <v>590</v>
      </c>
      <c r="F8" s="759">
        <f>SUMIF(51:51,E8,52:52)-SUMIF(51:51,C8,52:52)+100</f>
        <v>100</v>
      </c>
      <c r="G8" s="760" t="s">
        <v>590</v>
      </c>
      <c r="H8" s="757">
        <f>SUMIF(51:51,G8,52:52)-SUMIF(51:51,C8,52:52)+100</f>
        <v>100</v>
      </c>
      <c r="I8" s="760" t="s">
        <v>590</v>
      </c>
      <c r="J8" s="757">
        <f>SUMIF(51:51,I8,52:52)-SUMIF(51:51,C8,52:52)+100</f>
        <v>100</v>
      </c>
      <c r="K8" s="957"/>
      <c r="L8" s="2357"/>
      <c r="M8" s="2358"/>
      <c r="N8" s="2358"/>
      <c r="O8" s="2358"/>
      <c r="P8" s="3840" t="s">
        <v>611</v>
      </c>
      <c r="Q8" s="3841"/>
      <c r="R8" s="1322" t="s">
        <v>70</v>
      </c>
      <c r="S8" s="1323">
        <f t="shared" si="0"/>
        <v>100</v>
      </c>
      <c r="T8" s="1322" t="s">
        <v>70</v>
      </c>
      <c r="U8" s="1323">
        <f t="shared" si="1"/>
        <v>100</v>
      </c>
      <c r="V8" s="1322" t="s">
        <v>70</v>
      </c>
      <c r="W8" s="1323">
        <f t="shared" si="2"/>
        <v>100</v>
      </c>
      <c r="X8" s="1324"/>
      <c r="Y8" s="3840" t="s">
        <v>611</v>
      </c>
      <c r="Z8" s="3841"/>
      <c r="AA8" s="1325">
        <f t="shared" ref="AA8:AA36" si="3">D8/F8</f>
        <v>1</v>
      </c>
      <c r="AB8" s="1325">
        <f t="shared" ref="AB8:AB36" si="4">D8/H8</f>
        <v>1</v>
      </c>
      <c r="AC8" s="1325">
        <f t="shared" ref="AC8:AC36" si="5">D8/J8</f>
        <v>1</v>
      </c>
    </row>
    <row r="9" spans="1:29" s="412" customFormat="1">
      <c r="A9" s="364" t="s">
        <v>570</v>
      </c>
      <c r="B9" s="986" t="s">
        <v>593</v>
      </c>
      <c r="C9" s="762" t="s">
        <v>643</v>
      </c>
      <c r="D9" s="428">
        <v>100</v>
      </c>
      <c r="E9" s="765" t="s">
        <v>644</v>
      </c>
      <c r="F9" s="428">
        <f>SUMIF(53:53,E9,54:54)-SUMIF(53:53,C9,54:54)+100</f>
        <v>100</v>
      </c>
      <c r="G9" s="763" t="s">
        <v>644</v>
      </c>
      <c r="H9" s="428">
        <f>SUMIF(53:53,G9,54:54)-SUMIF(53:53,C9,54:54)+100</f>
        <v>100</v>
      </c>
      <c r="I9" s="763" t="s">
        <v>644</v>
      </c>
      <c r="J9" s="428">
        <f>SUMIF(53:53,I9,54:54)-SUMIF(53:53,C9,54:54)+100</f>
        <v>100</v>
      </c>
      <c r="K9" s="957"/>
      <c r="L9" s="2357"/>
      <c r="M9" s="2358"/>
      <c r="N9" s="2358"/>
      <c r="O9" s="2358"/>
      <c r="P9" s="3854" t="s">
        <v>571</v>
      </c>
      <c r="Q9" s="2848" t="str">
        <f t="shared" ref="Q9:Q14" si="6">B9</f>
        <v>用途</v>
      </c>
      <c r="R9" s="1322" t="s">
        <v>70</v>
      </c>
      <c r="S9" s="1323">
        <f t="shared" si="0"/>
        <v>100</v>
      </c>
      <c r="T9" s="1322" t="s">
        <v>70</v>
      </c>
      <c r="U9" s="1323">
        <f t="shared" si="1"/>
        <v>100</v>
      </c>
      <c r="V9" s="1322" t="s">
        <v>70</v>
      </c>
      <c r="W9" s="1323">
        <f t="shared" si="2"/>
        <v>100</v>
      </c>
      <c r="X9" s="1324"/>
      <c r="Y9" s="3725" t="s">
        <v>572</v>
      </c>
      <c r="Z9" s="350" t="str">
        <f t="shared" ref="Z9:Z14" si="7">Q9</f>
        <v>用途</v>
      </c>
      <c r="AA9" s="1325">
        <f t="shared" si="3"/>
        <v>1</v>
      </c>
      <c r="AB9" s="1325">
        <f t="shared" si="4"/>
        <v>1</v>
      </c>
      <c r="AC9" s="1325">
        <f t="shared" si="5"/>
        <v>1</v>
      </c>
    </row>
    <row r="10" spans="1:29" s="773" customFormat="1" ht="27">
      <c r="A10" s="987"/>
      <c r="B10" s="988" t="s">
        <v>573</v>
      </c>
      <c r="C10" s="769" t="s">
        <v>624</v>
      </c>
      <c r="D10" s="429">
        <v>100</v>
      </c>
      <c r="E10" s="769" t="s">
        <v>612</v>
      </c>
      <c r="F10" s="429">
        <f>SUMIF(55:55,E10,56:56)-SUMIF(55:55,C10,56:56)+100</f>
        <v>97</v>
      </c>
      <c r="G10" s="770" t="s">
        <v>613</v>
      </c>
      <c r="H10" s="429">
        <f>SUMIF(55:55,G10,56:56)-SUMIF(55:55,C10,56:56)+100</f>
        <v>94</v>
      </c>
      <c r="I10" s="769" t="s">
        <v>614</v>
      </c>
      <c r="J10" s="429">
        <f>SUMIF(55:55,I10,56:56)-SUMIF(55:55,C10,56:56)+100</f>
        <v>91</v>
      </c>
      <c r="K10" s="958">
        <v>3</v>
      </c>
      <c r="L10" s="2360"/>
      <c r="M10" s="2361"/>
      <c r="N10" s="2361"/>
      <c r="O10" s="2361"/>
      <c r="P10" s="3854"/>
      <c r="Q10" s="2848" t="str">
        <f t="shared" si="6"/>
        <v>土地使用年限（年）</v>
      </c>
      <c r="R10" s="1322" t="s">
        <v>70</v>
      </c>
      <c r="S10" s="1323">
        <f t="shared" si="0"/>
        <v>97</v>
      </c>
      <c r="T10" s="1322" t="s">
        <v>70</v>
      </c>
      <c r="U10" s="1323">
        <f t="shared" si="1"/>
        <v>94</v>
      </c>
      <c r="V10" s="1322" t="s">
        <v>70</v>
      </c>
      <c r="W10" s="1323">
        <f t="shared" si="2"/>
        <v>91</v>
      </c>
      <c r="X10" s="1324"/>
      <c r="Y10" s="3725"/>
      <c r="Z10" s="350" t="str">
        <f t="shared" si="7"/>
        <v>土地使用年限（年）</v>
      </c>
      <c r="AA10" s="1325">
        <f t="shared" si="3"/>
        <v>1.0309278350515463</v>
      </c>
      <c r="AB10" s="1325">
        <f t="shared" si="4"/>
        <v>1.0638297872340425</v>
      </c>
      <c r="AC10" s="1325">
        <f t="shared" si="5"/>
        <v>1.098901098901099</v>
      </c>
    </row>
    <row r="11" spans="1:29" ht="15">
      <c r="A11" s="989"/>
      <c r="B11" s="990">
        <v>111</v>
      </c>
      <c r="C11" s="778">
        <v>111</v>
      </c>
      <c r="D11" s="429">
        <v>100</v>
      </c>
      <c r="E11" s="778">
        <v>222</v>
      </c>
      <c r="F11" s="429">
        <f>SUMIF(57:57,E11,58:58)-SUMIF(57:57,C11,58:58)+100</f>
        <v>99</v>
      </c>
      <c r="G11" s="778">
        <v>333</v>
      </c>
      <c r="H11" s="429">
        <f>SUMIF(57:57,G11,58:58)-SUMIF(57:57,C11,58:58)+100</f>
        <v>98</v>
      </c>
      <c r="I11" s="778">
        <v>444</v>
      </c>
      <c r="J11" s="429">
        <f>SUMIF(57:57,I11,58:58)-SUMIF(57:57,C11,58:58)+100</f>
        <v>97</v>
      </c>
      <c r="K11" s="959"/>
      <c r="L11" s="2363"/>
      <c r="M11" s="2356"/>
      <c r="N11" s="2356"/>
      <c r="O11" s="2356"/>
      <c r="P11" s="3854"/>
      <c r="Q11" s="2848">
        <f t="shared" si="6"/>
        <v>111</v>
      </c>
      <c r="R11" s="1322" t="s">
        <v>70</v>
      </c>
      <c r="S11" s="1323">
        <f t="shared" si="0"/>
        <v>99</v>
      </c>
      <c r="T11" s="1322" t="s">
        <v>70</v>
      </c>
      <c r="U11" s="1323">
        <f t="shared" si="1"/>
        <v>98</v>
      </c>
      <c r="V11" s="1322" t="s">
        <v>70</v>
      </c>
      <c r="W11" s="1323">
        <f t="shared" si="2"/>
        <v>97</v>
      </c>
      <c r="X11" s="1324"/>
      <c r="Y11" s="3725"/>
      <c r="Z11" s="350">
        <f t="shared" si="7"/>
        <v>111</v>
      </c>
      <c r="AA11" s="1325">
        <f t="shared" si="3"/>
        <v>1.0101010101010102</v>
      </c>
      <c r="AB11" s="1325">
        <f t="shared" si="4"/>
        <v>1.0204081632653061</v>
      </c>
      <c r="AC11" s="1325">
        <f t="shared" si="5"/>
        <v>1.0309278350515463</v>
      </c>
    </row>
    <row r="12" spans="1:29" s="412" customFormat="1" ht="15">
      <c r="A12" s="991"/>
      <c r="B12" s="990">
        <v>111</v>
      </c>
      <c r="C12" s="778">
        <v>111</v>
      </c>
      <c r="D12" s="779">
        <v>100</v>
      </c>
      <c r="E12" s="778">
        <v>222</v>
      </c>
      <c r="F12" s="429">
        <f>SUMIF(59:59,E12,60:60)-SUMIF(59:59,C12,60:60)+100</f>
        <v>98</v>
      </c>
      <c r="G12" s="778">
        <v>333</v>
      </c>
      <c r="H12" s="429">
        <f>SUMIF(59:59,G12,60:60)-SUMIF(59:59,C12,60:60)+100</f>
        <v>96</v>
      </c>
      <c r="I12" s="778">
        <v>444</v>
      </c>
      <c r="J12" s="429">
        <f>SUMIF(59:59,I12,60:60)-SUMIF(59:59,C12,60:60)+100</f>
        <v>94</v>
      </c>
      <c r="K12" s="959"/>
      <c r="L12" s="2357"/>
      <c r="M12" s="2358"/>
      <c r="N12" s="2358"/>
      <c r="O12" s="2358"/>
      <c r="P12" s="3854"/>
      <c r="Q12" s="2848">
        <f t="shared" si="6"/>
        <v>111</v>
      </c>
      <c r="R12" s="1322" t="s">
        <v>70</v>
      </c>
      <c r="S12" s="1323">
        <f t="shared" si="0"/>
        <v>98</v>
      </c>
      <c r="T12" s="1322" t="s">
        <v>70</v>
      </c>
      <c r="U12" s="1323">
        <f t="shared" si="1"/>
        <v>96</v>
      </c>
      <c r="V12" s="1322" t="s">
        <v>70</v>
      </c>
      <c r="W12" s="1323">
        <f t="shared" si="2"/>
        <v>94</v>
      </c>
      <c r="X12" s="1324"/>
      <c r="Y12" s="3725"/>
      <c r="Z12" s="350">
        <f t="shared" si="7"/>
        <v>111</v>
      </c>
      <c r="AA12" s="1325">
        <f>D12/F12</f>
        <v>1.0204081632653061</v>
      </c>
      <c r="AB12" s="1325">
        <f>D12/H12</f>
        <v>1.0416666666666667</v>
      </c>
      <c r="AC12" s="1325">
        <f>D12/J12</f>
        <v>1.0638297872340425</v>
      </c>
    </row>
    <row r="13" spans="1:29" ht="15.75" thickBot="1">
      <c r="A13" s="992"/>
      <c r="B13" s="990">
        <v>111</v>
      </c>
      <c r="C13" s="780">
        <v>111</v>
      </c>
      <c r="D13" s="781">
        <v>100</v>
      </c>
      <c r="E13" s="778">
        <v>222</v>
      </c>
      <c r="F13" s="429">
        <f>SUMIF(61:61,E13,62:62)-SUMIF(61:61,C13,62:62)+100</f>
        <v>97</v>
      </c>
      <c r="G13" s="778">
        <v>333</v>
      </c>
      <c r="H13" s="781">
        <f>SUMIF(61:61,G13,62:62)-SUMIF(61:61,C13,62:62)+100</f>
        <v>94</v>
      </c>
      <c r="I13" s="778">
        <v>444</v>
      </c>
      <c r="J13" s="781">
        <f>SUMIF(61:61,I13,62:62)-SUMIF(61:61,C13,62:62)+100</f>
        <v>91</v>
      </c>
      <c r="K13" s="959"/>
      <c r="L13" s="2365"/>
      <c r="M13" s="2356"/>
      <c r="N13" s="2356"/>
      <c r="O13" s="2356"/>
      <c r="P13" s="3854"/>
      <c r="Q13" s="2848">
        <f t="shared" si="6"/>
        <v>111</v>
      </c>
      <c r="R13" s="1322" t="s">
        <v>70</v>
      </c>
      <c r="S13" s="1323">
        <f t="shared" si="0"/>
        <v>97</v>
      </c>
      <c r="T13" s="1322" t="s">
        <v>70</v>
      </c>
      <c r="U13" s="1323">
        <f t="shared" si="1"/>
        <v>94</v>
      </c>
      <c r="V13" s="1322" t="s">
        <v>70</v>
      </c>
      <c r="W13" s="1323">
        <f t="shared" si="2"/>
        <v>91</v>
      </c>
      <c r="X13" s="1324"/>
      <c r="Y13" s="3725"/>
      <c r="Z13" s="350">
        <f t="shared" si="7"/>
        <v>111</v>
      </c>
      <c r="AA13" s="1325">
        <f t="shared" si="3"/>
        <v>1.0309278350515463</v>
      </c>
      <c r="AB13" s="1325">
        <f t="shared" si="4"/>
        <v>1.0638297872340425</v>
      </c>
      <c r="AC13" s="1325">
        <f t="shared" si="5"/>
        <v>1.098901098901099</v>
      </c>
    </row>
    <row r="14" spans="1:29" ht="162">
      <c r="A14" s="747" t="s">
        <v>575</v>
      </c>
      <c r="B14" s="975" t="s">
        <v>645</v>
      </c>
      <c r="C14" s="212" t="str">
        <f>IF(B1="工业",估价对象房地状况!G4,估价对象房地状况!C6)</f>
        <v>估价对象周边有938、香河1路等公交线路，大香线等城市次干道，公共交通通达情况一般；项目自身有停车位、停车便捷程度一般，综合评价交通便捷度一般</v>
      </c>
      <c r="D14" s="787">
        <v>100</v>
      </c>
      <c r="E14" s="788"/>
      <c r="F14" s="789">
        <f>SUMIF(63:63,E15,64:64)-SUMIF(63:63,C15,64:64)+100</f>
        <v>100</v>
      </c>
      <c r="G14" s="790"/>
      <c r="H14" s="787">
        <f>SUMIF(63:63,G15,64:64)-SUMIF(63:63,C15,64:64)+100</f>
        <v>100</v>
      </c>
      <c r="I14" s="788"/>
      <c r="J14" s="787">
        <f>SUMIF(63:63,I15,64:64)-SUMIF(63:63,C15,64:64)+100</f>
        <v>100</v>
      </c>
      <c r="K14" s="960">
        <v>2</v>
      </c>
      <c r="L14" s="2365"/>
      <c r="M14" s="2356"/>
      <c r="N14" s="2356"/>
      <c r="O14" s="2356"/>
      <c r="P14" s="3869" t="s">
        <v>576</v>
      </c>
      <c r="Q14" s="2850" t="str">
        <f t="shared" si="6"/>
        <v>交通便捷度</v>
      </c>
      <c r="R14" s="1327" t="s">
        <v>70</v>
      </c>
      <c r="S14" s="1328">
        <f t="shared" si="0"/>
        <v>100</v>
      </c>
      <c r="T14" s="1327" t="s">
        <v>70</v>
      </c>
      <c r="U14" s="1328">
        <f t="shared" si="1"/>
        <v>100</v>
      </c>
      <c r="V14" s="1327" t="s">
        <v>70</v>
      </c>
      <c r="W14" s="1328">
        <f t="shared" si="2"/>
        <v>100</v>
      </c>
      <c r="X14" s="2849"/>
      <c r="Y14" s="3869" t="s">
        <v>576</v>
      </c>
      <c r="Z14" s="2851" t="str">
        <f t="shared" si="7"/>
        <v>交通便捷度</v>
      </c>
      <c r="AA14" s="1330">
        <f t="shared" si="3"/>
        <v>1</v>
      </c>
      <c r="AB14" s="1330">
        <f t="shared" si="4"/>
        <v>1</v>
      </c>
      <c r="AC14" s="1330">
        <f t="shared" si="5"/>
        <v>1</v>
      </c>
    </row>
    <row r="15" spans="1:29" ht="15">
      <c r="A15" s="750"/>
      <c r="B15" s="993"/>
      <c r="C15" s="97" t="s">
        <v>124</v>
      </c>
      <c r="D15" s="794"/>
      <c r="E15" s="793" t="s">
        <v>577</v>
      </c>
      <c r="F15" s="795"/>
      <c r="G15" s="793" t="s">
        <v>577</v>
      </c>
      <c r="H15" s="796"/>
      <c r="I15" s="793" t="s">
        <v>577</v>
      </c>
      <c r="J15" s="794"/>
      <c r="K15" s="961"/>
      <c r="L15" s="2365"/>
      <c r="M15" s="2356"/>
      <c r="N15" s="2356"/>
      <c r="O15" s="2356"/>
      <c r="P15" s="3870"/>
      <c r="Q15" s="2850"/>
      <c r="R15" s="1327"/>
      <c r="S15" s="1328"/>
      <c r="T15" s="1327"/>
      <c r="U15" s="1328"/>
      <c r="V15" s="1327"/>
      <c r="W15" s="1328"/>
      <c r="X15" s="2849"/>
      <c r="Y15" s="3870"/>
      <c r="Z15" s="2851"/>
      <c r="AA15" s="1330">
        <v>1</v>
      </c>
      <c r="AB15" s="1330">
        <v>1</v>
      </c>
      <c r="AC15" s="1330">
        <v>1</v>
      </c>
    </row>
    <row r="16" spans="1:29" ht="81">
      <c r="A16" s="750"/>
      <c r="B16" s="1037" t="s">
        <v>3067</v>
      </c>
      <c r="C16" s="158" t="str">
        <f>IF(B1="工业",估价对象房地状况!G5,估价对象房地状况!C7)</f>
        <v>估价对象所在区域公共配套，有银行、医院、邮局等，设施齐备度较好</v>
      </c>
      <c r="D16" s="801">
        <v>100</v>
      </c>
      <c r="E16" s="803"/>
      <c r="F16" s="804">
        <f>SUMIF(65:65,E17,66:66)-SUMIF(65:65,C17,66:66)+100</f>
        <v>100</v>
      </c>
      <c r="G16" s="805"/>
      <c r="H16" s="801">
        <f>SUMIF(65:65,G17,66:66)-SUMIF(65:65,C17,66:66)+100</f>
        <v>100</v>
      </c>
      <c r="I16" s="803"/>
      <c r="J16" s="801">
        <f>SUMIF(65:65,I17,66:66)-SUMIF(65:65,C17,66:66)+100</f>
        <v>100</v>
      </c>
      <c r="K16" s="960">
        <v>3</v>
      </c>
      <c r="L16" s="2365"/>
      <c r="M16" s="2356"/>
      <c r="N16" s="2356"/>
      <c r="O16" s="2356"/>
      <c r="P16" s="3870"/>
      <c r="Q16" s="2850" t="str">
        <f>B16</f>
        <v>公共配套设施</v>
      </c>
      <c r="R16" s="1327" t="s">
        <v>70</v>
      </c>
      <c r="S16" s="1328">
        <f>F16</f>
        <v>100</v>
      </c>
      <c r="T16" s="1327" t="s">
        <v>70</v>
      </c>
      <c r="U16" s="1328">
        <f>H16</f>
        <v>100</v>
      </c>
      <c r="V16" s="1327" t="s">
        <v>70</v>
      </c>
      <c r="W16" s="1328">
        <f>J16</f>
        <v>100</v>
      </c>
      <c r="X16" s="2849"/>
      <c r="Y16" s="3870"/>
      <c r="Z16" s="2851" t="str">
        <f>Q16</f>
        <v>公共配套设施</v>
      </c>
      <c r="AA16" s="1330">
        <f t="shared" si="3"/>
        <v>1</v>
      </c>
      <c r="AB16" s="1330">
        <f t="shared" si="4"/>
        <v>1</v>
      </c>
      <c r="AC16" s="1330">
        <f t="shared" si="5"/>
        <v>1</v>
      </c>
    </row>
    <row r="17" spans="1:29" ht="15">
      <c r="A17" s="750"/>
      <c r="B17" s="978"/>
      <c r="C17" s="102" t="s">
        <v>123</v>
      </c>
      <c r="D17" s="794"/>
      <c r="E17" s="793" t="s">
        <v>578</v>
      </c>
      <c r="F17" s="795"/>
      <c r="G17" s="793" t="s">
        <v>578</v>
      </c>
      <c r="H17" s="794"/>
      <c r="I17" s="793" t="s">
        <v>578</v>
      </c>
      <c r="J17" s="794"/>
      <c r="K17" s="961"/>
      <c r="L17" s="2365"/>
      <c r="M17" s="2356"/>
      <c r="N17" s="2356"/>
      <c r="O17" s="2356"/>
      <c r="P17" s="3870"/>
      <c r="Q17" s="2850"/>
      <c r="R17" s="1327"/>
      <c r="S17" s="1328"/>
      <c r="T17" s="1327"/>
      <c r="U17" s="1328"/>
      <c r="V17" s="1327"/>
      <c r="W17" s="1328"/>
      <c r="X17" s="2849"/>
      <c r="Y17" s="3870"/>
      <c r="Z17" s="2851"/>
      <c r="AA17" s="1330">
        <v>1</v>
      </c>
      <c r="AB17" s="1330">
        <v>1</v>
      </c>
      <c r="AC17" s="1330">
        <v>1</v>
      </c>
    </row>
    <row r="18" spans="1:29" ht="40.5">
      <c r="A18" s="750"/>
      <c r="B18" s="1039" t="s">
        <v>3066</v>
      </c>
      <c r="C18" s="158" t="str">
        <f>IF(B1="工业",估价对象房地状况!G6,估价对象房地状况!C8)</f>
        <v>估价对象所在区域基础设施水平七通一平</v>
      </c>
      <c r="D18" s="796">
        <v>100</v>
      </c>
      <c r="E18" s="798"/>
      <c r="F18" s="804">
        <f>SUMIF(67:67,E19,68:68)-SUMIF(67:67,C19,68:68)+100</f>
        <v>99</v>
      </c>
      <c r="G18" s="800"/>
      <c r="H18" s="801">
        <f>SUMIF(67:67,G19,68:68)-SUMIF(67:67,C19,68:68)+100</f>
        <v>98</v>
      </c>
      <c r="I18" s="798"/>
      <c r="J18" s="801">
        <f>SUMIF(67:67,I19,68:68)-SUMIF(67:67,C19,68:68)+100</f>
        <v>97</v>
      </c>
      <c r="K18" s="960">
        <v>1</v>
      </c>
      <c r="L18" s="2365"/>
      <c r="M18" s="2356"/>
      <c r="N18" s="2356"/>
      <c r="O18" s="2356"/>
      <c r="P18" s="3870"/>
      <c r="Q18" s="2850" t="str">
        <f>B18</f>
        <v>基础设施水平</v>
      </c>
      <c r="R18" s="1327" t="s">
        <v>70</v>
      </c>
      <c r="S18" s="1328">
        <f>F18</f>
        <v>99</v>
      </c>
      <c r="T18" s="1327" t="s">
        <v>70</v>
      </c>
      <c r="U18" s="1328">
        <f>H18</f>
        <v>98</v>
      </c>
      <c r="V18" s="1327" t="s">
        <v>70</v>
      </c>
      <c r="W18" s="1328">
        <f>J18</f>
        <v>97</v>
      </c>
      <c r="X18" s="2849"/>
      <c r="Y18" s="3870"/>
      <c r="Z18" s="2851" t="str">
        <f>Q18</f>
        <v>基础设施水平</v>
      </c>
      <c r="AA18" s="1330">
        <f t="shared" ref="AA18" si="8">D18/F18</f>
        <v>1.0101010101010102</v>
      </c>
      <c r="AB18" s="1330">
        <f t="shared" ref="AB18" si="9">D18/H18</f>
        <v>1.0204081632653061</v>
      </c>
      <c r="AC18" s="1330">
        <f t="shared" ref="AC18" si="10">D18/J18</f>
        <v>1.0309278350515463</v>
      </c>
    </row>
    <row r="19" spans="1:29" ht="15">
      <c r="A19" s="750"/>
      <c r="B19" s="979"/>
      <c r="C19" s="102" t="s">
        <v>56</v>
      </c>
      <c r="D19" s="796"/>
      <c r="E19" s="102" t="s">
        <v>161</v>
      </c>
      <c r="F19" s="799"/>
      <c r="G19" s="102" t="s">
        <v>162</v>
      </c>
      <c r="H19" s="794"/>
      <c r="I19" s="97" t="s">
        <v>258</v>
      </c>
      <c r="J19" s="794"/>
      <c r="K19" s="2783"/>
      <c r="L19" s="2365"/>
      <c r="M19" s="2356"/>
      <c r="N19" s="2356"/>
      <c r="O19" s="2356"/>
      <c r="P19" s="3870"/>
      <c r="Q19" s="2850"/>
      <c r="R19" s="1327"/>
      <c r="S19" s="1328"/>
      <c r="T19" s="1327"/>
      <c r="U19" s="1328"/>
      <c r="V19" s="1327"/>
      <c r="W19" s="1328"/>
      <c r="X19" s="2849"/>
      <c r="Y19" s="3870"/>
      <c r="Z19" s="2851"/>
      <c r="AA19" s="1330">
        <v>1</v>
      </c>
      <c r="AB19" s="1330">
        <v>1</v>
      </c>
      <c r="AC19" s="1330">
        <v>1</v>
      </c>
    </row>
    <row r="20" spans="1:29" ht="81">
      <c r="A20" s="750"/>
      <c r="B20" s="977" t="s">
        <v>646</v>
      </c>
      <c r="C20" s="158" t="str">
        <f>IF(B1="工业",估价对象房地状况!G7,估价对象房地状况!C9)</f>
        <v>区域自然环境：无；人文环境：亚太中医哮喘病研究所；综合评价环境状况一般</v>
      </c>
      <c r="D20" s="801">
        <v>100</v>
      </c>
      <c r="E20" s="803"/>
      <c r="F20" s="804">
        <f>SUMIF(69:69,E21,70:70)-SUMIF(69:69,C21,70:70)+100</f>
        <v>100</v>
      </c>
      <c r="G20" s="805"/>
      <c r="H20" s="796">
        <f>SUMIF(69:69,G21,70:70)-SUMIF(69:69,C21,70:70)+100</f>
        <v>100</v>
      </c>
      <c r="I20" s="798"/>
      <c r="J20" s="796">
        <f>SUMIF(69:69,I21,70:70)-SUMIF(69:69,C21,70:70)+100</f>
        <v>100</v>
      </c>
      <c r="K20" s="960">
        <v>1</v>
      </c>
      <c r="L20" s="2365"/>
      <c r="M20" s="2356"/>
      <c r="N20" s="2356"/>
      <c r="O20" s="2356"/>
      <c r="P20" s="3870"/>
      <c r="Q20" s="2850" t="str">
        <f>B20</f>
        <v>自然及人文环境</v>
      </c>
      <c r="R20" s="1327" t="s">
        <v>70</v>
      </c>
      <c r="S20" s="1328">
        <f>F20</f>
        <v>100</v>
      </c>
      <c r="T20" s="1327" t="s">
        <v>70</v>
      </c>
      <c r="U20" s="1328">
        <f>H20</f>
        <v>100</v>
      </c>
      <c r="V20" s="1327" t="s">
        <v>70</v>
      </c>
      <c r="W20" s="1328">
        <f>J20</f>
        <v>100</v>
      </c>
      <c r="X20" s="2849"/>
      <c r="Y20" s="3870"/>
      <c r="Z20" s="2851" t="str">
        <f>Q20</f>
        <v>自然及人文环境</v>
      </c>
      <c r="AA20" s="1330">
        <f t="shared" si="3"/>
        <v>1</v>
      </c>
      <c r="AB20" s="1330">
        <f t="shared" si="4"/>
        <v>1</v>
      </c>
      <c r="AC20" s="1330">
        <f t="shared" si="5"/>
        <v>1</v>
      </c>
    </row>
    <row r="21" spans="1:29" ht="15">
      <c r="A21" s="750"/>
      <c r="B21" s="978"/>
      <c r="C21" s="793" t="s">
        <v>577</v>
      </c>
      <c r="D21" s="794"/>
      <c r="E21" s="793" t="s">
        <v>577</v>
      </c>
      <c r="F21" s="795"/>
      <c r="G21" s="793" t="s">
        <v>577</v>
      </c>
      <c r="H21" s="794"/>
      <c r="I21" s="793" t="s">
        <v>577</v>
      </c>
      <c r="J21" s="794"/>
      <c r="K21" s="961"/>
      <c r="L21" s="2365"/>
      <c r="M21" s="2356"/>
      <c r="N21" s="2356"/>
      <c r="O21" s="2356"/>
      <c r="P21" s="3870"/>
      <c r="Q21" s="2850"/>
      <c r="R21" s="1327"/>
      <c r="S21" s="1328"/>
      <c r="T21" s="1327"/>
      <c r="U21" s="1328"/>
      <c r="V21" s="1327"/>
      <c r="W21" s="1328"/>
      <c r="X21" s="2849"/>
      <c r="Y21" s="3870"/>
      <c r="Z21" s="2851"/>
      <c r="AA21" s="1330">
        <v>1</v>
      </c>
      <c r="AB21" s="1330">
        <v>1</v>
      </c>
      <c r="AC21" s="1330">
        <v>1</v>
      </c>
    </row>
    <row r="22" spans="1:29" ht="15">
      <c r="A22" s="750"/>
      <c r="B22" s="977" t="s">
        <v>647</v>
      </c>
      <c r="C22" s="962" t="s">
        <v>619</v>
      </c>
      <c r="D22" s="796">
        <v>100</v>
      </c>
      <c r="E22" s="962" t="s">
        <v>648</v>
      </c>
      <c r="F22" s="807">
        <f>SUMIF(71:71,E22,72:72)-SUMIF(71:71,C22,72:72)+100</f>
        <v>98</v>
      </c>
      <c r="G22" s="962" t="s">
        <v>648</v>
      </c>
      <c r="H22" s="781">
        <f>SUMIF(71:71,G22,72:72)-SUMIF(71:71,C22,72:72)+100</f>
        <v>98</v>
      </c>
      <c r="I22" s="962" t="s">
        <v>619</v>
      </c>
      <c r="J22" s="781">
        <f>SUMIF(71:71,I22,72:72)-SUMIF(71:71,C22,72:72)+100</f>
        <v>100</v>
      </c>
      <c r="K22" s="958">
        <v>2</v>
      </c>
      <c r="L22" s="2365"/>
      <c r="M22" s="2356"/>
      <c r="N22" s="2356"/>
      <c r="O22" s="2356"/>
      <c r="P22" s="3870"/>
      <c r="Q22" s="2850" t="str">
        <f>B22</f>
        <v>楼层</v>
      </c>
      <c r="R22" s="1327" t="s">
        <v>70</v>
      </c>
      <c r="S22" s="1328">
        <f>F22</f>
        <v>98</v>
      </c>
      <c r="T22" s="1327" t="s">
        <v>70</v>
      </c>
      <c r="U22" s="1328">
        <f>H22</f>
        <v>98</v>
      </c>
      <c r="V22" s="1327" t="s">
        <v>70</v>
      </c>
      <c r="W22" s="1328">
        <f>J22</f>
        <v>100</v>
      </c>
      <c r="X22" s="2849"/>
      <c r="Y22" s="3870"/>
      <c r="Z22" s="2851" t="str">
        <f>Q22</f>
        <v>楼层</v>
      </c>
      <c r="AA22" s="1330">
        <f t="shared" si="3"/>
        <v>1.0204081632653061</v>
      </c>
      <c r="AB22" s="1330">
        <f t="shared" si="4"/>
        <v>1.0204081632653061</v>
      </c>
      <c r="AC22" s="1330">
        <f t="shared" si="5"/>
        <v>1</v>
      </c>
    </row>
    <row r="23" spans="1:29" ht="15">
      <c r="A23" s="750"/>
      <c r="B23" s="994">
        <v>111</v>
      </c>
      <c r="C23" s="778">
        <v>111</v>
      </c>
      <c r="D23" s="781">
        <v>100</v>
      </c>
      <c r="E23" s="778">
        <v>222</v>
      </c>
      <c r="F23" s="807">
        <f>SUMIF(73:73,E23,74:74)-SUMIF(73:73,C23,74:74)+100</f>
        <v>99</v>
      </c>
      <c r="G23" s="778">
        <v>333</v>
      </c>
      <c r="H23" s="781">
        <f>SUMIF(73:73,G23,74:74)-SUMIF(73:73,C23,74:74)+100</f>
        <v>98</v>
      </c>
      <c r="I23" s="778">
        <v>444</v>
      </c>
      <c r="J23" s="781">
        <f>SUMIF(73:73,I23,74:74)-SUMIF(73:73,C23,74:74)+100</f>
        <v>97</v>
      </c>
      <c r="K23" s="959"/>
      <c r="L23" s="2365"/>
      <c r="M23" s="2356"/>
      <c r="N23" s="2356"/>
      <c r="O23" s="2356"/>
      <c r="P23" s="3870"/>
      <c r="Q23" s="2850">
        <f>B23</f>
        <v>111</v>
      </c>
      <c r="R23" s="1327" t="s">
        <v>70</v>
      </c>
      <c r="S23" s="1328">
        <f>F23</f>
        <v>99</v>
      </c>
      <c r="T23" s="1327" t="s">
        <v>70</v>
      </c>
      <c r="U23" s="1328">
        <f>H23</f>
        <v>98</v>
      </c>
      <c r="V23" s="1327" t="s">
        <v>70</v>
      </c>
      <c r="W23" s="1328">
        <f>J23</f>
        <v>97</v>
      </c>
      <c r="X23" s="2849"/>
      <c r="Y23" s="3870"/>
      <c r="Z23" s="2851">
        <f>Q23</f>
        <v>111</v>
      </c>
      <c r="AA23" s="1330">
        <f t="shared" si="3"/>
        <v>1.0101010101010102</v>
      </c>
      <c r="AB23" s="1330">
        <f t="shared" si="4"/>
        <v>1.0204081632653061</v>
      </c>
      <c r="AC23" s="1330">
        <f t="shared" si="5"/>
        <v>1.0309278350515463</v>
      </c>
    </row>
    <row r="24" spans="1:29" ht="15">
      <c r="A24" s="750"/>
      <c r="B24" s="994">
        <v>111</v>
      </c>
      <c r="C24" s="778">
        <v>111</v>
      </c>
      <c r="D24" s="781">
        <v>100</v>
      </c>
      <c r="E24" s="778">
        <v>222</v>
      </c>
      <c r="F24" s="807">
        <f>SUMIF(75:75,E24,76:76)-SUMIF(75:75,C24,76:76)+100</f>
        <v>98</v>
      </c>
      <c r="G24" s="778">
        <v>333</v>
      </c>
      <c r="H24" s="781">
        <f>SUMIF(75:75,G24,76:76)-SUMIF(75:75,C24,76:76)+100</f>
        <v>96</v>
      </c>
      <c r="I24" s="778">
        <v>444</v>
      </c>
      <c r="J24" s="781">
        <f>SUMIF(75:75,I24,76:76)-SUMIF(75:75,C24,76:76)+100</f>
        <v>94</v>
      </c>
      <c r="K24" s="959"/>
      <c r="L24" s="2365"/>
      <c r="M24" s="2356"/>
      <c r="N24" s="2356"/>
      <c r="O24" s="2356"/>
      <c r="P24" s="3870"/>
      <c r="Q24" s="2850">
        <f t="shared" ref="Q24:Q36" si="11">B24</f>
        <v>111</v>
      </c>
      <c r="R24" s="1327" t="s">
        <v>70</v>
      </c>
      <c r="S24" s="1328">
        <f>F24</f>
        <v>98</v>
      </c>
      <c r="T24" s="1327" t="s">
        <v>70</v>
      </c>
      <c r="U24" s="1328">
        <f>H24</f>
        <v>96</v>
      </c>
      <c r="V24" s="1327" t="s">
        <v>70</v>
      </c>
      <c r="W24" s="1328">
        <f>J24</f>
        <v>94</v>
      </c>
      <c r="X24" s="2849"/>
      <c r="Y24" s="3870"/>
      <c r="Z24" s="2851">
        <f>Q24</f>
        <v>111</v>
      </c>
      <c r="AA24" s="1330">
        <f t="shared" si="3"/>
        <v>1.0204081632653061</v>
      </c>
      <c r="AB24" s="1330">
        <f t="shared" si="4"/>
        <v>1.0416666666666667</v>
      </c>
      <c r="AC24" s="1330">
        <f t="shared" si="5"/>
        <v>1.0638297872340425</v>
      </c>
    </row>
    <row r="25" spans="1:29" s="412" customFormat="1" ht="15.75" thickBot="1">
      <c r="A25" s="995"/>
      <c r="B25" s="981">
        <v>111</v>
      </c>
      <c r="C25" s="783">
        <v>111</v>
      </c>
      <c r="D25" s="996">
        <v>100</v>
      </c>
      <c r="E25" s="974">
        <v>222</v>
      </c>
      <c r="F25" s="997">
        <f>SUMIF(77:77,E25,78:78)-SUMIF(77:77,C25,78:78)+100</f>
        <v>97</v>
      </c>
      <c r="G25" s="974">
        <v>333</v>
      </c>
      <c r="H25" s="996">
        <f>SUMIF(77:77,G25,78:78)-SUMIF(77:77,C25,78:78)+100</f>
        <v>94</v>
      </c>
      <c r="I25" s="974">
        <v>444</v>
      </c>
      <c r="J25" s="996">
        <f>SUMIF(77:77,I25,78:78)-SUMIF(77:77,C25,78:78)+100</f>
        <v>91</v>
      </c>
      <c r="K25" s="959"/>
      <c r="L25" s="2357"/>
      <c r="M25" s="2358"/>
      <c r="N25" s="2358"/>
      <c r="O25" s="2358"/>
      <c r="P25" s="3870"/>
      <c r="Q25" s="2848">
        <f t="shared" si="11"/>
        <v>111</v>
      </c>
      <c r="R25" s="1322" t="s">
        <v>70</v>
      </c>
      <c r="S25" s="1323">
        <f>F25</f>
        <v>97</v>
      </c>
      <c r="T25" s="1322" t="s">
        <v>70</v>
      </c>
      <c r="U25" s="1323">
        <f>H25</f>
        <v>94</v>
      </c>
      <c r="V25" s="1322" t="s">
        <v>70</v>
      </c>
      <c r="W25" s="1323">
        <f>J25</f>
        <v>91</v>
      </c>
      <c r="X25" s="1324"/>
      <c r="Y25" s="3870"/>
      <c r="Z25" s="350">
        <f>Q25</f>
        <v>111</v>
      </c>
      <c r="AA25" s="1330">
        <f>D25/F25</f>
        <v>1.0309278350515463</v>
      </c>
      <c r="AB25" s="1330">
        <f>D25/H25</f>
        <v>1.0638297872340425</v>
      </c>
      <c r="AC25" s="1330">
        <f>D25/J25</f>
        <v>1.098901098901099</v>
      </c>
    </row>
    <row r="26" spans="1:29" ht="15">
      <c r="A26" s="998" t="s">
        <v>580</v>
      </c>
      <c r="B26" s="366" t="s">
        <v>649</v>
      </c>
      <c r="C26" s="2784" t="str">
        <f>B1</f>
        <v>住宅</v>
      </c>
      <c r="D26" s="794">
        <v>100</v>
      </c>
      <c r="E26" s="793" t="s">
        <v>650</v>
      </c>
      <c r="F26" s="795">
        <f>SUMIF(79:79,E26,80:80)-SUMIF(79:79,C26,80:80)+100</f>
        <v>97</v>
      </c>
      <c r="G26" s="793" t="s">
        <v>651</v>
      </c>
      <c r="H26" s="794">
        <f>SUMIF(79:79,G26,80:80)-SUMIF(79:79,C26,80:80)+100</f>
        <v>94</v>
      </c>
      <c r="I26" s="793" t="s">
        <v>652</v>
      </c>
      <c r="J26" s="794">
        <f>SUMIF(79:79,I26,80:80)-SUMIF(79:79,C26,80:80)+100</f>
        <v>100</v>
      </c>
      <c r="K26" s="958">
        <v>3</v>
      </c>
      <c r="L26" s="2365"/>
      <c r="M26" s="2356"/>
      <c r="N26" s="2356"/>
      <c r="O26" s="2356"/>
      <c r="P26" s="3871" t="s">
        <v>581</v>
      </c>
      <c r="Q26" s="2850" t="str">
        <f t="shared" si="11"/>
        <v>配套类型</v>
      </c>
      <c r="R26" s="1327" t="s">
        <v>70</v>
      </c>
      <c r="S26" s="1328">
        <f t="shared" ref="S26:S36" si="12">F26</f>
        <v>97</v>
      </c>
      <c r="T26" s="1327" t="s">
        <v>70</v>
      </c>
      <c r="U26" s="1328">
        <f t="shared" ref="U26:U36" si="13">H26</f>
        <v>94</v>
      </c>
      <c r="V26" s="1327" t="s">
        <v>70</v>
      </c>
      <c r="W26" s="1328">
        <f t="shared" ref="W26:W36" si="14">J26</f>
        <v>100</v>
      </c>
      <c r="X26" s="2849"/>
      <c r="Y26" s="3872" t="s">
        <v>581</v>
      </c>
      <c r="Z26" s="2851" t="str">
        <f t="shared" ref="Z26:Z36" si="15">Q26</f>
        <v>配套类型</v>
      </c>
      <c r="AA26" s="1330">
        <f t="shared" si="3"/>
        <v>1.0309278350515463</v>
      </c>
      <c r="AB26" s="1330">
        <f t="shared" si="4"/>
        <v>1.0638297872340425</v>
      </c>
      <c r="AC26" s="1330">
        <f t="shared" si="5"/>
        <v>1</v>
      </c>
    </row>
    <row r="27" spans="1:29" s="817" customFormat="1" ht="15">
      <c r="A27" s="999"/>
      <c r="B27" s="1000" t="s">
        <v>653</v>
      </c>
      <c r="C27" s="1001" t="s">
        <v>305</v>
      </c>
      <c r="D27" s="429">
        <v>100</v>
      </c>
      <c r="E27" s="1001" t="s">
        <v>654</v>
      </c>
      <c r="F27" s="807">
        <f>SUMIF(81:81,E27,82:82)-SUMIF(81:81,C27,82:82)+100</f>
        <v>102</v>
      </c>
      <c r="G27" s="1001" t="s">
        <v>655</v>
      </c>
      <c r="H27" s="781">
        <f>SUMIF(81:81,G27,82:82)-SUMIF(81:81,C27,82:82)+100</f>
        <v>104</v>
      </c>
      <c r="I27" s="1001" t="s">
        <v>306</v>
      </c>
      <c r="J27" s="781">
        <f>SUMIF(81:81,I27,82:82)-SUMIF(81:81,C27,82:82)+100</f>
        <v>106</v>
      </c>
      <c r="K27" s="959"/>
      <c r="L27" s="2363"/>
      <c r="M27" s="2366"/>
      <c r="N27" s="2366"/>
      <c r="O27" s="2366"/>
      <c r="P27" s="3872"/>
      <c r="Q27" s="1331" t="str">
        <f t="shared" si="11"/>
        <v>项目停车位配比</v>
      </c>
      <c r="R27" s="1332" t="s">
        <v>70</v>
      </c>
      <c r="S27" s="1333">
        <f t="shared" si="12"/>
        <v>102</v>
      </c>
      <c r="T27" s="1332" t="s">
        <v>70</v>
      </c>
      <c r="U27" s="1333">
        <f t="shared" si="13"/>
        <v>104</v>
      </c>
      <c r="V27" s="1332" t="s">
        <v>70</v>
      </c>
      <c r="W27" s="1333">
        <f t="shared" si="14"/>
        <v>106</v>
      </c>
      <c r="X27" s="1334"/>
      <c r="Y27" s="3872"/>
      <c r="Z27" s="1335" t="str">
        <f t="shared" si="15"/>
        <v>项目停车位配比</v>
      </c>
      <c r="AA27" s="1330">
        <f t="shared" si="3"/>
        <v>0.98039215686274506</v>
      </c>
      <c r="AB27" s="1330">
        <f t="shared" si="4"/>
        <v>0.96153846153846156</v>
      </c>
      <c r="AC27" s="1330">
        <f t="shared" si="5"/>
        <v>0.94339622641509435</v>
      </c>
    </row>
    <row r="28" spans="1:29" ht="15">
      <c r="A28" s="1002"/>
      <c r="B28" s="1000" t="s">
        <v>656</v>
      </c>
      <c r="C28" s="806" t="s">
        <v>620</v>
      </c>
      <c r="D28" s="781">
        <v>100</v>
      </c>
      <c r="E28" s="806" t="s">
        <v>620</v>
      </c>
      <c r="F28" s="807">
        <f>SUMIF(83:83,E28,84:84)-SUMIF(83:83,C28,84:84)+100</f>
        <v>100</v>
      </c>
      <c r="G28" s="806" t="s">
        <v>628</v>
      </c>
      <c r="H28" s="781">
        <f>SUMIF(83:83,G28,84:84)-SUMIF(83:83,C28,84:84)+100</f>
        <v>97</v>
      </c>
      <c r="I28" s="806" t="s">
        <v>620</v>
      </c>
      <c r="J28" s="781">
        <f>SUMIF(83:83,I28,84:84)-SUMIF(83:83,C28,84:84)+100</f>
        <v>100</v>
      </c>
      <c r="K28" s="958">
        <v>3</v>
      </c>
      <c r="L28" s="2365"/>
      <c r="M28" s="2356"/>
      <c r="N28" s="2356"/>
      <c r="O28" s="2356"/>
      <c r="P28" s="3872"/>
      <c r="Q28" s="2850" t="str">
        <f t="shared" si="11"/>
        <v>公共部分装修</v>
      </c>
      <c r="R28" s="1327" t="s">
        <v>70</v>
      </c>
      <c r="S28" s="1328">
        <f t="shared" si="12"/>
        <v>100</v>
      </c>
      <c r="T28" s="1327" t="s">
        <v>70</v>
      </c>
      <c r="U28" s="1328">
        <f t="shared" si="13"/>
        <v>97</v>
      </c>
      <c r="V28" s="1327" t="s">
        <v>70</v>
      </c>
      <c r="W28" s="1328">
        <f t="shared" si="14"/>
        <v>100</v>
      </c>
      <c r="X28" s="2849"/>
      <c r="Y28" s="3872"/>
      <c r="Z28" s="2851" t="str">
        <f t="shared" si="15"/>
        <v>公共部分装修</v>
      </c>
      <c r="AA28" s="1330">
        <f t="shared" si="3"/>
        <v>1</v>
      </c>
      <c r="AB28" s="1330">
        <f t="shared" si="4"/>
        <v>1.0309278350515463</v>
      </c>
      <c r="AC28" s="1330">
        <f t="shared" si="5"/>
        <v>1</v>
      </c>
    </row>
    <row r="29" spans="1:29" ht="15">
      <c r="A29" s="1002"/>
      <c r="B29" s="1000" t="s">
        <v>657</v>
      </c>
      <c r="C29" s="815">
        <v>0.97</v>
      </c>
      <c r="D29" s="781">
        <v>100</v>
      </c>
      <c r="E29" s="820">
        <v>0.85</v>
      </c>
      <c r="F29" s="807">
        <f>LOOKUP(E29,86:86,87:87)-LOOKUP(C29,86:86,87:87)+100</f>
        <v>98</v>
      </c>
      <c r="G29" s="820">
        <v>0.91</v>
      </c>
      <c r="H29" s="807">
        <f>LOOKUP(G29,86:86,87:87)-LOOKUP(C29,86:86,87:87)+100</f>
        <v>100</v>
      </c>
      <c r="I29" s="820">
        <v>0.7</v>
      </c>
      <c r="J29" s="781">
        <f>LOOKUP(I29,86:86,87:87)-LOOKUP(C29,86:86,87:87)+100</f>
        <v>96</v>
      </c>
      <c r="K29" s="958">
        <v>2</v>
      </c>
      <c r="L29" s="2365"/>
      <c r="M29" s="2356"/>
      <c r="N29" s="2356"/>
      <c r="O29" s="2356"/>
      <c r="P29" s="3872"/>
      <c r="Q29" s="2850" t="str">
        <f t="shared" si="11"/>
        <v>成新率</v>
      </c>
      <c r="R29" s="1327" t="s">
        <v>70</v>
      </c>
      <c r="S29" s="1328">
        <f t="shared" si="12"/>
        <v>98</v>
      </c>
      <c r="T29" s="1327" t="s">
        <v>70</v>
      </c>
      <c r="U29" s="1328">
        <f t="shared" si="13"/>
        <v>100</v>
      </c>
      <c r="V29" s="1327" t="s">
        <v>70</v>
      </c>
      <c r="W29" s="1328">
        <f t="shared" si="14"/>
        <v>96</v>
      </c>
      <c r="X29" s="2849"/>
      <c r="Y29" s="3872"/>
      <c r="Z29" s="2851" t="str">
        <f t="shared" si="15"/>
        <v>成新率</v>
      </c>
      <c r="AA29" s="1330">
        <f t="shared" si="3"/>
        <v>1.0204081632653061</v>
      </c>
      <c r="AB29" s="1330">
        <f t="shared" si="4"/>
        <v>1</v>
      </c>
      <c r="AC29" s="1330">
        <f t="shared" si="5"/>
        <v>1.0416666666666667</v>
      </c>
    </row>
    <row r="30" spans="1:29" ht="15">
      <c r="A30" s="1002"/>
      <c r="B30" s="1000" t="s">
        <v>658</v>
      </c>
      <c r="C30" s="1003" t="s">
        <v>659</v>
      </c>
      <c r="D30" s="781">
        <v>100</v>
      </c>
      <c r="E30" s="1003" t="s">
        <v>660</v>
      </c>
      <c r="F30" s="807">
        <f>SUMIF(88:88,E30,89:89)-SUMIF(88:88,C30,89:89)+100</f>
        <v>103</v>
      </c>
      <c r="G30" s="1003" t="s">
        <v>661</v>
      </c>
      <c r="H30" s="781">
        <f>SUMIF(88:88,E30,89:89)-SUMIF(88:88,C30,89:89)+100</f>
        <v>103</v>
      </c>
      <c r="I30" s="1003" t="s">
        <v>659</v>
      </c>
      <c r="J30" s="781">
        <f>SUMIF(88:88,E30,89:89)-SUMIF(88:88,C30,89:89)+100</f>
        <v>103</v>
      </c>
      <c r="K30" s="958">
        <v>3</v>
      </c>
      <c r="L30" s="2365"/>
      <c r="M30" s="2356"/>
      <c r="N30" s="2356"/>
      <c r="O30" s="2356"/>
      <c r="P30" s="3872"/>
      <c r="Q30" s="2850" t="str">
        <f t="shared" si="11"/>
        <v>物业等级</v>
      </c>
      <c r="R30" s="1327" t="s">
        <v>70</v>
      </c>
      <c r="S30" s="1328">
        <f t="shared" si="12"/>
        <v>103</v>
      </c>
      <c r="T30" s="1327" t="s">
        <v>70</v>
      </c>
      <c r="U30" s="1328">
        <f t="shared" si="13"/>
        <v>103</v>
      </c>
      <c r="V30" s="1327" t="s">
        <v>70</v>
      </c>
      <c r="W30" s="1328">
        <f t="shared" si="14"/>
        <v>103</v>
      </c>
      <c r="X30" s="2849"/>
      <c r="Y30" s="3872"/>
      <c r="Z30" s="2851" t="str">
        <f t="shared" si="15"/>
        <v>物业等级</v>
      </c>
      <c r="AA30" s="1330">
        <f t="shared" si="3"/>
        <v>0.970873786407767</v>
      </c>
      <c r="AB30" s="1330">
        <f t="shared" si="4"/>
        <v>0.970873786407767</v>
      </c>
      <c r="AC30" s="1330">
        <f t="shared" si="5"/>
        <v>0.970873786407767</v>
      </c>
    </row>
    <row r="31" spans="1:29" s="412" customFormat="1" ht="15">
      <c r="A31" s="1004"/>
      <c r="B31" s="1000" t="s">
        <v>662</v>
      </c>
      <c r="C31" s="815">
        <v>35</v>
      </c>
      <c r="D31" s="429">
        <v>100</v>
      </c>
      <c r="E31" s="815">
        <v>25</v>
      </c>
      <c r="F31" s="807">
        <f>LOOKUP(E31,91:91,92:92)-LOOKUP(C31,91:91,92:92)+100</f>
        <v>98</v>
      </c>
      <c r="G31" s="815">
        <v>45</v>
      </c>
      <c r="H31" s="781">
        <f>LOOKUP(G31,91:91,92:92)-LOOKUP(C31,91:91,92:92)+100</f>
        <v>102</v>
      </c>
      <c r="I31" s="815">
        <v>38</v>
      </c>
      <c r="J31" s="781">
        <f>LOOKUP(I31,91:91,92:92)-LOOKUP(C31,91:91,92:92)+100</f>
        <v>100</v>
      </c>
      <c r="K31" s="958">
        <v>3</v>
      </c>
      <c r="L31" s="2357"/>
      <c r="M31" s="2358"/>
      <c r="N31" s="2358"/>
      <c r="O31" s="2358"/>
      <c r="P31" s="3872"/>
      <c r="Q31" s="2848" t="str">
        <f t="shared" si="11"/>
        <v>停车位面积</v>
      </c>
      <c r="R31" s="1322" t="s">
        <v>70</v>
      </c>
      <c r="S31" s="1323">
        <f t="shared" si="12"/>
        <v>98</v>
      </c>
      <c r="T31" s="1322" t="s">
        <v>70</v>
      </c>
      <c r="U31" s="1323">
        <f t="shared" si="13"/>
        <v>102</v>
      </c>
      <c r="V31" s="1322" t="s">
        <v>70</v>
      </c>
      <c r="W31" s="1323">
        <f t="shared" si="14"/>
        <v>100</v>
      </c>
      <c r="X31" s="1324"/>
      <c r="Y31" s="3872"/>
      <c r="Z31" s="350" t="str">
        <f t="shared" si="15"/>
        <v>停车位面积</v>
      </c>
      <c r="AA31" s="1325">
        <f t="shared" si="3"/>
        <v>1.0204081632653061</v>
      </c>
      <c r="AB31" s="1325">
        <f t="shared" si="4"/>
        <v>0.98039215686274506</v>
      </c>
      <c r="AC31" s="1325">
        <f t="shared" si="5"/>
        <v>1</v>
      </c>
    </row>
    <row r="32" spans="1:29" ht="15">
      <c r="A32" s="1002"/>
      <c r="B32" s="1000" t="s">
        <v>663</v>
      </c>
      <c r="C32" s="806" t="s">
        <v>664</v>
      </c>
      <c r="D32" s="781">
        <v>100</v>
      </c>
      <c r="E32" s="806" t="s">
        <v>664</v>
      </c>
      <c r="F32" s="807">
        <f>SUMIF(93:93,E32,94:94)-SUMIF(93:93,C32,94:94)+100</f>
        <v>100</v>
      </c>
      <c r="G32" s="806" t="s">
        <v>664</v>
      </c>
      <c r="H32" s="781">
        <f>SUMIF(93:93,G32,94:94)-SUMIF(93:93,C32,94:94)+100</f>
        <v>100</v>
      </c>
      <c r="I32" s="806" t="s">
        <v>665</v>
      </c>
      <c r="J32" s="781">
        <f>SUMIF(93:93,I32,94:94)-SUMIF(93:93,C32,94:94)+100</f>
        <v>95</v>
      </c>
      <c r="K32" s="958">
        <v>5</v>
      </c>
      <c r="L32" s="2365"/>
      <c r="M32" s="2356"/>
      <c r="N32" s="2356"/>
      <c r="O32" s="2356"/>
      <c r="P32" s="3872" t="s">
        <v>581</v>
      </c>
      <c r="Q32" s="2850" t="str">
        <f t="shared" si="11"/>
        <v>车位类型</v>
      </c>
      <c r="R32" s="1327" t="s">
        <v>70</v>
      </c>
      <c r="S32" s="1328">
        <f t="shared" si="12"/>
        <v>100</v>
      </c>
      <c r="T32" s="1327" t="s">
        <v>70</v>
      </c>
      <c r="U32" s="1328">
        <f t="shared" si="13"/>
        <v>100</v>
      </c>
      <c r="V32" s="1327" t="s">
        <v>70</v>
      </c>
      <c r="W32" s="1328">
        <f t="shared" si="14"/>
        <v>95</v>
      </c>
      <c r="X32" s="2849"/>
      <c r="Y32" s="3872" t="s">
        <v>581</v>
      </c>
      <c r="Z32" s="2851" t="str">
        <f t="shared" si="15"/>
        <v>车位类型</v>
      </c>
      <c r="AA32" s="1330">
        <f t="shared" si="3"/>
        <v>1</v>
      </c>
      <c r="AB32" s="1330">
        <f t="shared" si="4"/>
        <v>1</v>
      </c>
      <c r="AC32" s="1330">
        <f t="shared" si="5"/>
        <v>1.0526315789473684</v>
      </c>
    </row>
    <row r="33" spans="1:29" ht="15">
      <c r="A33" s="1002"/>
      <c r="B33" s="1000" t="s">
        <v>666</v>
      </c>
      <c r="C33" s="806" t="s">
        <v>667</v>
      </c>
      <c r="D33" s="781">
        <v>100</v>
      </c>
      <c r="E33" s="806" t="s">
        <v>668</v>
      </c>
      <c r="F33" s="807">
        <f>SUMIF(95:95,E33,96:96)-SUMIF(95:95,C33,96:96)+100</f>
        <v>99</v>
      </c>
      <c r="G33" s="806" t="s">
        <v>667</v>
      </c>
      <c r="H33" s="781">
        <f>SUMIF(95:95,G33,96:96)-SUMIF(95:95,C33,96:96)+100</f>
        <v>100</v>
      </c>
      <c r="I33" s="806" t="s">
        <v>668</v>
      </c>
      <c r="J33" s="781">
        <f>SUMIF(95:95,I33,96:96)-SUMIF(95:95,C33,96:96)+100</f>
        <v>99</v>
      </c>
      <c r="K33" s="958">
        <v>1</v>
      </c>
      <c r="L33" s="2365"/>
      <c r="M33" s="2356"/>
      <c r="N33" s="2356"/>
      <c r="O33" s="2356"/>
      <c r="P33" s="3872"/>
      <c r="Q33" s="2850" t="str">
        <f t="shared" si="11"/>
        <v>是否直接入户</v>
      </c>
      <c r="R33" s="1327" t="s">
        <v>70</v>
      </c>
      <c r="S33" s="1328">
        <f t="shared" si="12"/>
        <v>99</v>
      </c>
      <c r="T33" s="1327" t="s">
        <v>70</v>
      </c>
      <c r="U33" s="1328">
        <f t="shared" si="13"/>
        <v>100</v>
      </c>
      <c r="V33" s="1327" t="s">
        <v>70</v>
      </c>
      <c r="W33" s="1328">
        <f t="shared" si="14"/>
        <v>99</v>
      </c>
      <c r="X33" s="2849"/>
      <c r="Y33" s="3872"/>
      <c r="Z33" s="2851" t="str">
        <f t="shared" si="15"/>
        <v>是否直接入户</v>
      </c>
      <c r="AA33" s="1330">
        <f t="shared" si="3"/>
        <v>1.0101010101010102</v>
      </c>
      <c r="AB33" s="1330">
        <f t="shared" si="4"/>
        <v>1</v>
      </c>
      <c r="AC33" s="1330">
        <f t="shared" si="5"/>
        <v>1.0101010101010102</v>
      </c>
    </row>
    <row r="34" spans="1:29" ht="15">
      <c r="A34" s="1002"/>
      <c r="B34" s="994">
        <v>111</v>
      </c>
      <c r="C34" s="778">
        <v>111</v>
      </c>
      <c r="D34" s="781">
        <v>100</v>
      </c>
      <c r="E34" s="778">
        <v>222</v>
      </c>
      <c r="F34" s="807">
        <f>SUMIF(97:97,E34,98:98)-SUMIF(97:97,C34,98:98)+100</f>
        <v>99</v>
      </c>
      <c r="G34" s="778">
        <v>333</v>
      </c>
      <c r="H34" s="781">
        <f>SUMIF(97:97,G34,98:98)-SUMIF(97:97,C34,98:98)+100</f>
        <v>98</v>
      </c>
      <c r="I34" s="778">
        <v>444</v>
      </c>
      <c r="J34" s="781">
        <f>SUMIF(97:97,I34,98:98)-SUMIF(97:97,C34,98:98)+100</f>
        <v>97</v>
      </c>
      <c r="K34" s="959"/>
      <c r="L34" s="2365"/>
      <c r="M34" s="2356"/>
      <c r="N34" s="2356"/>
      <c r="O34" s="2356"/>
      <c r="P34" s="3872"/>
      <c r="Q34" s="2850">
        <f t="shared" si="11"/>
        <v>111</v>
      </c>
      <c r="R34" s="1327" t="s">
        <v>70</v>
      </c>
      <c r="S34" s="1328">
        <f t="shared" si="12"/>
        <v>99</v>
      </c>
      <c r="T34" s="1327" t="s">
        <v>70</v>
      </c>
      <c r="U34" s="1328">
        <f t="shared" si="13"/>
        <v>98</v>
      </c>
      <c r="V34" s="1327" t="s">
        <v>70</v>
      </c>
      <c r="W34" s="1328">
        <f t="shared" si="14"/>
        <v>97</v>
      </c>
      <c r="X34" s="2849"/>
      <c r="Y34" s="3872"/>
      <c r="Z34" s="2851">
        <f t="shared" si="15"/>
        <v>111</v>
      </c>
      <c r="AA34" s="1330">
        <f t="shared" si="3"/>
        <v>1.0101010101010102</v>
      </c>
      <c r="AB34" s="1330">
        <f t="shared" si="4"/>
        <v>1.0204081632653061</v>
      </c>
      <c r="AC34" s="1330">
        <f t="shared" si="5"/>
        <v>1.0309278350515463</v>
      </c>
    </row>
    <row r="35" spans="1:29" s="817" customFormat="1" ht="15">
      <c r="A35" s="999"/>
      <c r="B35" s="994">
        <v>111</v>
      </c>
      <c r="C35" s="778">
        <v>111</v>
      </c>
      <c r="D35" s="781">
        <v>100</v>
      </c>
      <c r="E35" s="778">
        <v>222</v>
      </c>
      <c r="F35" s="807">
        <f>SUMIF(99:99,E35,100:100)-SUMIF(99:99,C35,100:100)+100</f>
        <v>98</v>
      </c>
      <c r="G35" s="778">
        <v>333</v>
      </c>
      <c r="H35" s="781">
        <f>SUMIF(99:99,G35,100:100)-SUMIF(99:99,C35,100:100)+100</f>
        <v>96</v>
      </c>
      <c r="I35" s="778">
        <v>444</v>
      </c>
      <c r="J35" s="781">
        <f>SUMIF(99:99,I35,100:100)-SUMIF(99:99,C35,100:100)+100</f>
        <v>94</v>
      </c>
      <c r="K35" s="959"/>
      <c r="L35" s="2363"/>
      <c r="M35" s="2366"/>
      <c r="N35" s="2366"/>
      <c r="O35" s="2366"/>
      <c r="P35" s="3872"/>
      <c r="Q35" s="1331">
        <f t="shared" si="11"/>
        <v>111</v>
      </c>
      <c r="R35" s="1332" t="s">
        <v>70</v>
      </c>
      <c r="S35" s="1333">
        <f t="shared" si="12"/>
        <v>98</v>
      </c>
      <c r="T35" s="1332" t="s">
        <v>70</v>
      </c>
      <c r="U35" s="1333">
        <f t="shared" si="13"/>
        <v>96</v>
      </c>
      <c r="V35" s="1332" t="s">
        <v>70</v>
      </c>
      <c r="W35" s="1333">
        <f t="shared" si="14"/>
        <v>94</v>
      </c>
      <c r="X35" s="1334"/>
      <c r="Y35" s="3872"/>
      <c r="Z35" s="1335">
        <f t="shared" si="15"/>
        <v>111</v>
      </c>
      <c r="AA35" s="1330">
        <f t="shared" si="3"/>
        <v>1.0204081632653061</v>
      </c>
      <c r="AB35" s="1330">
        <f t="shared" si="4"/>
        <v>1.0416666666666667</v>
      </c>
      <c r="AC35" s="1330">
        <f t="shared" si="5"/>
        <v>1.0638297872340425</v>
      </c>
    </row>
    <row r="36" spans="1:29" ht="15.75" thickBot="1">
      <c r="A36" s="1005"/>
      <c r="B36" s="981">
        <v>111</v>
      </c>
      <c r="C36" s="780">
        <v>111</v>
      </c>
      <c r="D36" s="781">
        <v>100</v>
      </c>
      <c r="E36" s="778">
        <v>222</v>
      </c>
      <c r="F36" s="807">
        <f>SUMIF(101:101,E36,102:102)-SUMIF(101:101,C36,102:102)+100</f>
        <v>97</v>
      </c>
      <c r="G36" s="778">
        <v>333</v>
      </c>
      <c r="H36" s="781">
        <f>SUMIF(101:101,G36,102:102)-SUMIF(101:101,C36,102:102)+100</f>
        <v>94</v>
      </c>
      <c r="I36" s="778">
        <v>444</v>
      </c>
      <c r="J36" s="781">
        <f>SUMIF(101:101,I36,102:102)-SUMIF(101:101,C36,102:102)+100</f>
        <v>91</v>
      </c>
      <c r="K36" s="959"/>
      <c r="L36" s="2365"/>
      <c r="M36" s="2356"/>
      <c r="N36" s="2356"/>
      <c r="O36" s="2356"/>
      <c r="P36" s="3872"/>
      <c r="Q36" s="2850">
        <f t="shared" si="11"/>
        <v>111</v>
      </c>
      <c r="R36" s="1327" t="s">
        <v>70</v>
      </c>
      <c r="S36" s="1328">
        <f t="shared" si="12"/>
        <v>97</v>
      </c>
      <c r="T36" s="1327" t="s">
        <v>70</v>
      </c>
      <c r="U36" s="1328">
        <f t="shared" si="13"/>
        <v>94</v>
      </c>
      <c r="V36" s="1327" t="s">
        <v>70</v>
      </c>
      <c r="W36" s="1328">
        <f t="shared" si="14"/>
        <v>91</v>
      </c>
      <c r="X36" s="2849"/>
      <c r="Y36" s="3872"/>
      <c r="Z36" s="2851">
        <f t="shared" si="15"/>
        <v>111</v>
      </c>
      <c r="AA36" s="1330">
        <f t="shared" si="3"/>
        <v>1.0309278350515463</v>
      </c>
      <c r="AB36" s="1330">
        <f t="shared" si="4"/>
        <v>1.0638297872340425</v>
      </c>
      <c r="AC36" s="1330">
        <f t="shared" si="5"/>
        <v>1.098901098901099</v>
      </c>
    </row>
    <row r="37" spans="1:29" ht="15">
      <c r="A37" s="163" t="s">
        <v>2502</v>
      </c>
      <c r="B37" s="2105" t="s">
        <v>2503</v>
      </c>
      <c r="C37" s="2852" t="s">
        <v>23</v>
      </c>
      <c r="D37" s="2853"/>
      <c r="E37" s="2854">
        <v>100000</v>
      </c>
      <c r="F37" s="2855"/>
      <c r="G37" s="2856">
        <v>100000</v>
      </c>
      <c r="H37" s="2857"/>
      <c r="I37" s="2854">
        <v>100000</v>
      </c>
      <c r="J37" s="2857"/>
      <c r="K37" s="965"/>
      <c r="L37" s="2368"/>
      <c r="M37" s="2369"/>
      <c r="N37" s="2356"/>
      <c r="O37" s="2369"/>
      <c r="P37" s="3854" t="str">
        <f>A37</f>
        <v>成交单价</v>
      </c>
      <c r="Q37" s="3854"/>
      <c r="R37" s="3873">
        <f>E37</f>
        <v>100000</v>
      </c>
      <c r="S37" s="3873"/>
      <c r="T37" s="3873">
        <f>G37</f>
        <v>100000</v>
      </c>
      <c r="U37" s="3873"/>
      <c r="V37" s="3873">
        <f>I37</f>
        <v>100000</v>
      </c>
      <c r="W37" s="3873"/>
      <c r="X37" s="1310"/>
      <c r="Y37" s="1336"/>
      <c r="Z37" s="1310"/>
      <c r="AA37" s="1310"/>
      <c r="AB37" s="1310"/>
      <c r="AC37" s="1310"/>
    </row>
    <row r="38" spans="1:29" ht="15.75" thickBot="1">
      <c r="A38" s="832" t="s">
        <v>583</v>
      </c>
      <c r="B38" s="166" t="str">
        <f>B37</f>
        <v>元/车位</v>
      </c>
      <c r="C38" s="2858">
        <f>R39</f>
        <v>168723</v>
      </c>
      <c r="D38" s="2859"/>
      <c r="E38" s="2860">
        <f>R38</f>
        <v>134948</v>
      </c>
      <c r="F38" s="2860"/>
      <c r="G38" s="2858">
        <f>T38</f>
        <v>164881</v>
      </c>
      <c r="H38" s="2859"/>
      <c r="I38" s="2860">
        <f>V38</f>
        <v>206341</v>
      </c>
      <c r="J38" s="2859"/>
      <c r="K38" s="966"/>
      <c r="L38" s="2368"/>
      <c r="M38" s="2369"/>
      <c r="N38" s="2369"/>
      <c r="O38" s="2369"/>
      <c r="P38" s="3854" t="str">
        <f>A38</f>
        <v>比较价值（元/平方米）</v>
      </c>
      <c r="Q38" s="3854"/>
      <c r="R38" s="3873">
        <f>IF(F1="售价",ROUND(PRODUCT(R37,AA7:AA36),0),ROUND(PRODUCT(R37,AA7:AA36),1))</f>
        <v>134948</v>
      </c>
      <c r="S38" s="3873"/>
      <c r="T38" s="3873">
        <f>IF(F1="售价",ROUND(PRODUCT(T37,AB7:AB36),0),ROUND(PRODUCT(T37,AB7:AB36),1))</f>
        <v>164881</v>
      </c>
      <c r="U38" s="3873"/>
      <c r="V38" s="3873">
        <f>IF(F1="售价",ROUND(PRODUCT(V37,AC7:AC36),0),ROUND(PRODUCT(V37,AC7:AC36),1))</f>
        <v>206341</v>
      </c>
      <c r="W38" s="3873"/>
      <c r="X38" s="1310"/>
      <c r="Y38" s="1310"/>
      <c r="Z38" s="1310"/>
      <c r="AA38" s="1310"/>
      <c r="AB38" s="1310"/>
      <c r="AC38" s="1310"/>
    </row>
    <row r="39" spans="1:29" ht="15.75" thickBot="1">
      <c r="A39" s="838" t="s">
        <v>584</v>
      </c>
      <c r="B39" s="839"/>
      <c r="C39" s="2862">
        <f>R39</f>
        <v>168723</v>
      </c>
      <c r="D39" s="2862"/>
      <c r="E39" s="2862"/>
      <c r="F39" s="2862"/>
      <c r="G39" s="2862"/>
      <c r="H39" s="2862"/>
      <c r="I39" s="2862"/>
      <c r="J39" s="2862"/>
      <c r="K39" s="967"/>
      <c r="L39" s="2368"/>
      <c r="M39" s="2369"/>
      <c r="N39" s="2369"/>
      <c r="O39" s="2369"/>
      <c r="P39" s="3874" t="str">
        <f>A39</f>
        <v>估价对象XX用房的比较价值（楼面单价，元/平方米）</v>
      </c>
      <c r="Q39" s="3875"/>
      <c r="R39" s="3876">
        <f>IF(F1="售价",ROUND(AVERAGE(R38:V38),0),ROUND(AVERAGE(R38:V38),1))</f>
        <v>168723</v>
      </c>
      <c r="S39" s="3876"/>
      <c r="T39" s="3876"/>
      <c r="U39" s="3876"/>
      <c r="V39" s="3876"/>
      <c r="W39" s="3876"/>
      <c r="X39" s="1310"/>
      <c r="Y39" s="1310"/>
      <c r="Z39" s="1310"/>
      <c r="AA39" s="1310"/>
      <c r="AB39" s="1310"/>
      <c r="AC39" s="1310"/>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3" t="s">
        <v>585</v>
      </c>
      <c r="D42" s="844"/>
      <c r="E42" s="845">
        <f>IF(E37&lt;E38,E38/E37-1,E37/E38-1)</f>
        <v>0.34948000000000001</v>
      </c>
      <c r="F42" s="846" t="str">
        <f>IF(OR(E42&gt;=0.3,E42&lt;=-0.3),"超过30%","")</f>
        <v>超过30%</v>
      </c>
      <c r="G42" s="845">
        <f>IF(G37&lt;G38,G38/G37-1,G37/G38-1)</f>
        <v>0.64881000000000011</v>
      </c>
      <c r="H42" s="846" t="str">
        <f>IF(OR(G42&gt;=0.3,G42&lt;=-0.3),"超过30%","")</f>
        <v>超过30%</v>
      </c>
      <c r="I42" s="845">
        <f>IF(I37&lt;I38,I38/I37-1,I37/I38-1)</f>
        <v>1.0634100000000002</v>
      </c>
      <c r="J42" s="846"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3" t="s">
        <v>586</v>
      </c>
      <c r="D43" s="847"/>
      <c r="E43" s="845">
        <f>IF(E38&lt;G38,G38/E38-1,E38/G38-1)</f>
        <v>0.2218113643773898</v>
      </c>
      <c r="F43" s="846" t="str">
        <f>IF(OR(E43&gt;=0.2,E43&lt;=-0.2),"超过20%","")</f>
        <v>超过20%</v>
      </c>
      <c r="G43" s="845">
        <f>IF(G38&lt;I38,I38/G38-1,G38/I38-1)</f>
        <v>0.251454079002432</v>
      </c>
      <c r="H43" s="846" t="str">
        <f>IF(OR(G43&gt;=0.2,G43&lt;=-0.2),"超过20%","")</f>
        <v>超过20%</v>
      </c>
      <c r="I43" s="845">
        <f>IF(I38&lt;E38,E38/I38-1,I38/E38-1)</f>
        <v>0.52904081572161132</v>
      </c>
      <c r="J43" s="846"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48" customFormat="1" ht="13.5" customHeight="1">
      <c r="A44" s="2370"/>
      <c r="B44" s="2370"/>
      <c r="C44" s="843" t="s">
        <v>587</v>
      </c>
      <c r="D44" s="847"/>
      <c r="E44" s="845">
        <f>IF(E37&lt;G37,G37/E37-1,E37/G37-1)</f>
        <v>0</v>
      </c>
      <c r="F44" s="846" t="str">
        <f>IF(OR(E44&gt;=0.3,E44&lt;=-0.3),"超过30%","")</f>
        <v/>
      </c>
      <c r="G44" s="845">
        <f>IF(G37&lt;I37,I37/G37-1,G37/I37-1)</f>
        <v>0</v>
      </c>
      <c r="H44" s="846" t="str">
        <f>IF(OR(G44&gt;=0.3,G44&lt;=-0.3),"超过30%","")</f>
        <v/>
      </c>
      <c r="I44" s="845">
        <f>IF(I37&lt;E37,E37/I37-1,I37/E37-1)</f>
        <v>0</v>
      </c>
      <c r="J44" s="846"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48"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588</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4" customFormat="1" ht="15">
      <c r="A48" s="851" t="s">
        <v>3200</v>
      </c>
      <c r="B48" s="852"/>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2" customFormat="1" ht="15">
      <c r="A49" s="855"/>
      <c r="B49" s="856"/>
      <c r="C49" s="3051">
        <v>100</v>
      </c>
      <c r="D49" s="858">
        <v>99.5</v>
      </c>
      <c r="E49" s="858">
        <v>99</v>
      </c>
      <c r="F49" s="858">
        <v>98.5</v>
      </c>
      <c r="G49" s="858">
        <v>98</v>
      </c>
      <c r="H49" s="858">
        <v>97.5</v>
      </c>
      <c r="I49" s="858">
        <v>97</v>
      </c>
      <c r="J49" s="858">
        <v>96.5</v>
      </c>
      <c r="K49" s="858">
        <v>96</v>
      </c>
      <c r="L49" s="858">
        <v>95.5</v>
      </c>
      <c r="M49" s="859">
        <v>95</v>
      </c>
      <c r="N49" s="858">
        <v>94.5</v>
      </c>
      <c r="O49" s="859">
        <v>94</v>
      </c>
      <c r="P49" s="2873"/>
      <c r="Q49" s="2872"/>
      <c r="R49" s="2872"/>
      <c r="S49" s="2872"/>
      <c r="T49" s="2872"/>
      <c r="U49" s="2872"/>
      <c r="V49" s="2872"/>
      <c r="W49" s="2872"/>
      <c r="X49" s="2872"/>
      <c r="Y49" s="2872"/>
      <c r="Z49" s="2872"/>
      <c r="AA49" s="2872"/>
      <c r="AB49" s="2872"/>
      <c r="AC49" s="2872"/>
    </row>
    <row r="50" spans="1:29" s="412" customFormat="1" ht="15.75" thickBot="1">
      <c r="A50" s="861" t="s">
        <v>589</v>
      </c>
      <c r="B50" s="862"/>
      <c r="C50" s="863"/>
      <c r="D50" s="864"/>
      <c r="E50" s="864"/>
      <c r="F50" s="864"/>
      <c r="G50" s="864"/>
      <c r="H50" s="864"/>
      <c r="I50" s="864"/>
      <c r="J50" s="864"/>
      <c r="K50" s="864"/>
      <c r="L50" s="864"/>
      <c r="M50" s="865"/>
      <c r="N50" s="864"/>
      <c r="O50" s="865"/>
      <c r="P50" s="2873"/>
      <c r="Q50" s="2868"/>
      <c r="R50" s="2872"/>
      <c r="S50" s="2872"/>
      <c r="T50" s="2872"/>
      <c r="U50" s="2872"/>
      <c r="V50" s="2872"/>
      <c r="W50" s="2872"/>
      <c r="X50" s="2872"/>
      <c r="Y50" s="2872"/>
      <c r="Z50" s="2872"/>
      <c r="AA50" s="2872"/>
      <c r="AB50" s="2872"/>
      <c r="AC50" s="2872"/>
    </row>
    <row r="51" spans="1:29" s="412" customFormat="1" ht="15">
      <c r="A51" s="867" t="s">
        <v>569</v>
      </c>
      <c r="B51" s="856"/>
      <c r="C51" s="868" t="s">
        <v>590</v>
      </c>
      <c r="D51" s="869" t="s">
        <v>591</v>
      </c>
      <c r="E51" s="869"/>
      <c r="F51" s="869"/>
      <c r="G51" s="869"/>
      <c r="H51" s="869"/>
      <c r="I51" s="869"/>
      <c r="J51" s="869"/>
      <c r="K51" s="869"/>
      <c r="L51" s="870"/>
      <c r="M51" s="871"/>
      <c r="N51" s="2376"/>
      <c r="O51" s="2376"/>
      <c r="P51" s="2871"/>
      <c r="Q51" s="2868"/>
      <c r="R51" s="2872"/>
      <c r="S51" s="2872"/>
      <c r="T51" s="2872"/>
      <c r="U51" s="2872"/>
      <c r="V51" s="2872"/>
      <c r="W51" s="2872"/>
      <c r="X51" s="2872"/>
      <c r="Y51" s="2872"/>
      <c r="Z51" s="2872"/>
      <c r="AA51" s="2872"/>
      <c r="AB51" s="2872"/>
      <c r="AC51" s="2872"/>
    </row>
    <row r="52" spans="1:29" s="412" customFormat="1" ht="15.75" thickBot="1">
      <c r="A52" s="867"/>
      <c r="B52" s="856"/>
      <c r="C52" s="985">
        <v>100</v>
      </c>
      <c r="D52" s="858">
        <v>97</v>
      </c>
      <c r="E52" s="858"/>
      <c r="F52" s="858"/>
      <c r="G52" s="858"/>
      <c r="H52" s="858"/>
      <c r="I52" s="858"/>
      <c r="J52" s="858"/>
      <c r="K52" s="858"/>
      <c r="L52" s="858"/>
      <c r="M52" s="860"/>
      <c r="N52" s="2376"/>
      <c r="O52" s="2376"/>
      <c r="P52" s="2873"/>
      <c r="Q52" s="2868"/>
      <c r="R52" s="2872"/>
      <c r="S52" s="2872"/>
      <c r="T52" s="2872"/>
      <c r="U52" s="2872"/>
      <c r="V52" s="2872"/>
      <c r="W52" s="2872"/>
      <c r="X52" s="2872"/>
      <c r="Y52" s="2872"/>
      <c r="Z52" s="2872"/>
      <c r="AA52" s="2872"/>
      <c r="AB52" s="2872"/>
      <c r="AC52" s="2872"/>
    </row>
    <row r="53" spans="1:29">
      <c r="A53" s="873" t="s">
        <v>592</v>
      </c>
      <c r="B53" s="874" t="s">
        <v>593</v>
      </c>
      <c r="C53" s="875" t="str">
        <f>C9</f>
        <v>车库</v>
      </c>
      <c r="D53" s="876"/>
      <c r="E53" s="876"/>
      <c r="F53" s="876"/>
      <c r="G53" s="876"/>
      <c r="H53" s="876"/>
      <c r="I53" s="876"/>
      <c r="J53" s="876"/>
      <c r="K53" s="877"/>
      <c r="L53" s="878"/>
      <c r="M53" s="879"/>
      <c r="N53" s="2377"/>
      <c r="O53" s="2377"/>
      <c r="P53" s="2874"/>
      <c r="Q53" s="2868"/>
      <c r="R53" s="2369"/>
      <c r="S53" s="2369"/>
      <c r="T53" s="2369"/>
      <c r="U53" s="2369"/>
      <c r="V53" s="2369"/>
      <c r="W53" s="2369"/>
      <c r="X53" s="2369"/>
      <c r="Y53" s="2369"/>
      <c r="Z53" s="2369"/>
      <c r="AA53" s="2369"/>
      <c r="AB53" s="2369"/>
      <c r="AC53" s="2369"/>
    </row>
    <row r="54" spans="1:29" ht="15.75" thickBot="1">
      <c r="A54" s="880"/>
      <c r="B54" s="881"/>
      <c r="C54" s="882">
        <v>100</v>
      </c>
      <c r="D54" s="882"/>
      <c r="E54" s="882"/>
      <c r="F54" s="882"/>
      <c r="G54" s="882"/>
      <c r="H54" s="882"/>
      <c r="I54" s="882"/>
      <c r="J54" s="882"/>
      <c r="K54" s="882"/>
      <c r="L54" s="882"/>
      <c r="M54" s="883"/>
      <c r="N54" s="2378"/>
      <c r="O54" s="2378"/>
      <c r="P54" s="2874"/>
      <c r="Q54" s="2868"/>
      <c r="R54" s="2369"/>
      <c r="S54" s="2369"/>
      <c r="T54" s="2369"/>
      <c r="U54" s="2369"/>
      <c r="V54" s="2369"/>
      <c r="W54" s="2369"/>
      <c r="X54" s="2369"/>
      <c r="Y54" s="2369"/>
      <c r="Z54" s="2369"/>
      <c r="AA54" s="2369"/>
      <c r="AB54" s="2369"/>
      <c r="AC54" s="2369"/>
    </row>
    <row r="55" spans="1:29" ht="27.75" thickTop="1">
      <c r="A55" s="880"/>
      <c r="B55" s="884" t="s">
        <v>573</v>
      </c>
      <c r="C55" s="885" t="s">
        <v>594</v>
      </c>
      <c r="D55" s="885" t="s">
        <v>595</v>
      </c>
      <c r="E55" s="885" t="s">
        <v>596</v>
      </c>
      <c r="F55" s="885" t="s">
        <v>597</v>
      </c>
      <c r="G55" s="885" t="s">
        <v>621</v>
      </c>
      <c r="H55" s="885" t="s">
        <v>622</v>
      </c>
      <c r="I55" s="885" t="s">
        <v>623</v>
      </c>
      <c r="J55" s="885"/>
      <c r="K55" s="886"/>
      <c r="L55" s="887"/>
      <c r="M55" s="888"/>
      <c r="N55" s="2377"/>
      <c r="O55" s="2377"/>
      <c r="P55" s="2874"/>
      <c r="Q55" s="2868"/>
      <c r="R55" s="2369"/>
      <c r="S55" s="2369"/>
      <c r="T55" s="2369"/>
      <c r="U55" s="2369"/>
      <c r="V55" s="2369"/>
      <c r="W55" s="2369"/>
      <c r="X55" s="2369"/>
      <c r="Y55" s="2369"/>
      <c r="Z55" s="2369"/>
      <c r="AA55" s="2369"/>
      <c r="AB55" s="2369"/>
      <c r="AC55" s="2369"/>
    </row>
    <row r="56" spans="1:29" ht="15.75" thickBot="1">
      <c r="A56" s="880"/>
      <c r="B56" s="889"/>
      <c r="C56" s="890" t="s">
        <v>207</v>
      </c>
      <c r="D56" s="890" t="s">
        <v>208</v>
      </c>
      <c r="E56" s="890">
        <v>100</v>
      </c>
      <c r="F56" s="890">
        <f>E56-$K10</f>
        <v>97</v>
      </c>
      <c r="G56" s="890">
        <f>F56-$K10</f>
        <v>94</v>
      </c>
      <c r="H56" s="890">
        <f>G56-$K10</f>
        <v>91</v>
      </c>
      <c r="I56" s="890">
        <f>H56-$K10</f>
        <v>88</v>
      </c>
      <c r="J56" s="890"/>
      <c r="K56" s="890"/>
      <c r="L56" s="890"/>
      <c r="M56" s="891"/>
      <c r="N56" s="2378"/>
      <c r="O56" s="2378"/>
      <c r="P56" s="2874"/>
      <c r="Q56" s="2868"/>
      <c r="R56" s="2369"/>
      <c r="S56" s="2369"/>
      <c r="T56" s="2369"/>
      <c r="U56" s="2369"/>
      <c r="V56" s="2369"/>
      <c r="W56" s="2369"/>
      <c r="X56" s="2369"/>
      <c r="Y56" s="2369"/>
      <c r="Z56" s="2369"/>
      <c r="AA56" s="2369"/>
      <c r="AB56" s="2369"/>
      <c r="AC56" s="2369"/>
    </row>
    <row r="57" spans="1:29" ht="15.75" thickTop="1">
      <c r="A57" s="880"/>
      <c r="B57" s="1006">
        <f>B11</f>
        <v>111</v>
      </c>
      <c r="C57" s="895">
        <v>111</v>
      </c>
      <c r="D57" s="895">
        <v>222</v>
      </c>
      <c r="E57" s="895">
        <v>333</v>
      </c>
      <c r="F57" s="895">
        <v>444</v>
      </c>
      <c r="G57" s="895"/>
      <c r="H57" s="895"/>
      <c r="I57" s="895"/>
      <c r="J57" s="895"/>
      <c r="K57" s="896"/>
      <c r="L57" s="897"/>
      <c r="M57" s="898"/>
      <c r="N57" s="2377"/>
      <c r="O57" s="2377"/>
      <c r="P57" s="2874"/>
      <c r="Q57" s="2868"/>
      <c r="R57" s="2369"/>
      <c r="S57" s="2369"/>
      <c r="T57" s="2369"/>
      <c r="U57" s="2369"/>
      <c r="V57" s="2369"/>
      <c r="W57" s="2369"/>
      <c r="X57" s="2369"/>
      <c r="Y57" s="2369"/>
      <c r="Z57" s="2369"/>
      <c r="AA57" s="2369"/>
      <c r="AB57" s="2369"/>
      <c r="AC57" s="2369"/>
    </row>
    <row r="58" spans="1:29" ht="15.75" thickBot="1">
      <c r="A58" s="880"/>
      <c r="B58" s="881"/>
      <c r="C58" s="906">
        <v>100</v>
      </c>
      <c r="D58" s="882">
        <v>99</v>
      </c>
      <c r="E58" s="882">
        <v>98</v>
      </c>
      <c r="F58" s="882">
        <v>97</v>
      </c>
      <c r="G58" s="882"/>
      <c r="H58" s="882"/>
      <c r="I58" s="882"/>
      <c r="J58" s="882"/>
      <c r="K58" s="882"/>
      <c r="L58" s="882"/>
      <c r="M58" s="883"/>
      <c r="N58" s="2378"/>
      <c r="O58" s="2378"/>
      <c r="P58" s="2874"/>
      <c r="Q58" s="2868"/>
      <c r="R58" s="2369"/>
      <c r="S58" s="2369"/>
      <c r="T58" s="2369"/>
      <c r="U58" s="2369"/>
      <c r="V58" s="2369"/>
      <c r="W58" s="2369"/>
      <c r="X58" s="2369"/>
      <c r="Y58" s="2369"/>
      <c r="Z58" s="2369"/>
      <c r="AA58" s="2369"/>
      <c r="AB58" s="2369"/>
      <c r="AC58" s="2369"/>
    </row>
    <row r="59" spans="1:29" s="817" customFormat="1" ht="15.75" thickTop="1">
      <c r="A59" s="899"/>
      <c r="B59" s="884">
        <f>B12</f>
        <v>111</v>
      </c>
      <c r="C59" s="895">
        <v>111</v>
      </c>
      <c r="D59" s="895">
        <v>222</v>
      </c>
      <c r="E59" s="895">
        <v>333</v>
      </c>
      <c r="F59" s="895">
        <v>444</v>
      </c>
      <c r="G59" s="900"/>
      <c r="H59" s="901"/>
      <c r="I59" s="901"/>
      <c r="J59" s="901"/>
      <c r="K59" s="901"/>
      <c r="L59" s="902"/>
      <c r="M59" s="903"/>
      <c r="N59" s="2379"/>
      <c r="O59" s="2379"/>
      <c r="P59" s="2875"/>
      <c r="Q59" s="2876"/>
      <c r="R59" s="2877"/>
      <c r="S59" s="2877"/>
      <c r="T59" s="2877"/>
      <c r="U59" s="2877"/>
      <c r="V59" s="2877"/>
      <c r="W59" s="2877"/>
      <c r="X59" s="2877"/>
      <c r="Y59" s="2877"/>
      <c r="Z59" s="2877"/>
      <c r="AA59" s="2877"/>
      <c r="AB59" s="2877"/>
      <c r="AC59" s="2877"/>
    </row>
    <row r="60" spans="1:29" s="817" customFormat="1" ht="15.75" thickBot="1">
      <c r="A60" s="899"/>
      <c r="B60" s="889"/>
      <c r="C60" s="906">
        <v>100</v>
      </c>
      <c r="D60" s="882">
        <v>98</v>
      </c>
      <c r="E60" s="882">
        <v>96</v>
      </c>
      <c r="F60" s="882">
        <v>94</v>
      </c>
      <c r="G60" s="882"/>
      <c r="H60" s="882"/>
      <c r="I60" s="882"/>
      <c r="J60" s="882"/>
      <c r="K60" s="882"/>
      <c r="L60" s="882"/>
      <c r="M60" s="883"/>
      <c r="N60" s="2378"/>
      <c r="O60" s="2378"/>
      <c r="P60" s="2875"/>
      <c r="Q60" s="2876"/>
      <c r="R60" s="2877"/>
      <c r="S60" s="2877"/>
      <c r="T60" s="2877"/>
      <c r="U60" s="2877"/>
      <c r="V60" s="2877"/>
      <c r="W60" s="2877"/>
      <c r="X60" s="2877"/>
      <c r="Y60" s="2877"/>
      <c r="Z60" s="2877"/>
      <c r="AA60" s="2877"/>
      <c r="AB60" s="2877"/>
      <c r="AC60" s="2877"/>
    </row>
    <row r="61" spans="1:29" s="817" customFormat="1" ht="15.75" thickTop="1">
      <c r="A61" s="899"/>
      <c r="B61" s="884">
        <f>B13</f>
        <v>111</v>
      </c>
      <c r="C61" s="900">
        <v>111</v>
      </c>
      <c r="D61" s="900">
        <v>222</v>
      </c>
      <c r="E61" s="900">
        <v>333</v>
      </c>
      <c r="F61" s="900">
        <v>444</v>
      </c>
      <c r="G61" s="900"/>
      <c r="H61" s="901"/>
      <c r="I61" s="901"/>
      <c r="J61" s="901"/>
      <c r="K61" s="901"/>
      <c r="L61" s="902"/>
      <c r="M61" s="903"/>
      <c r="N61" s="2379"/>
      <c r="O61" s="2379"/>
      <c r="P61" s="2878"/>
      <c r="Q61" s="2879"/>
      <c r="R61" s="2877"/>
      <c r="S61" s="2877"/>
      <c r="T61" s="2877"/>
      <c r="U61" s="2877"/>
      <c r="V61" s="2877"/>
      <c r="W61" s="2877"/>
      <c r="X61" s="2877"/>
      <c r="Y61" s="2877"/>
      <c r="Z61" s="2877"/>
      <c r="AA61" s="2877"/>
      <c r="AB61" s="2877"/>
      <c r="AC61" s="2877"/>
    </row>
    <row r="62" spans="1:29" s="817" customFormat="1" ht="15.75" thickBot="1">
      <c r="A62" s="899"/>
      <c r="B62" s="889"/>
      <c r="C62" s="906">
        <v>100</v>
      </c>
      <c r="D62" s="906">
        <v>97</v>
      </c>
      <c r="E62" s="906">
        <v>94</v>
      </c>
      <c r="F62" s="906">
        <v>91</v>
      </c>
      <c r="G62" s="906"/>
      <c r="H62" s="908"/>
      <c r="I62" s="908"/>
      <c r="J62" s="908"/>
      <c r="K62" s="908"/>
      <c r="L62" s="908"/>
      <c r="M62" s="909"/>
      <c r="N62" s="2379"/>
      <c r="O62" s="2379"/>
      <c r="P62" s="2875"/>
      <c r="Q62" s="2876"/>
      <c r="R62" s="2877"/>
      <c r="S62" s="2877"/>
      <c r="T62" s="2877"/>
      <c r="U62" s="2877"/>
      <c r="V62" s="2877"/>
      <c r="W62" s="2877"/>
      <c r="X62" s="2877"/>
      <c r="Y62" s="2877"/>
      <c r="Z62" s="2877"/>
      <c r="AA62" s="2877"/>
      <c r="AB62" s="2877"/>
      <c r="AC62" s="2877"/>
    </row>
    <row r="63" spans="1:29" ht="15" thickTop="1">
      <c r="A63" s="873" t="s">
        <v>575</v>
      </c>
      <c r="B63" s="874" t="s">
        <v>604</v>
      </c>
      <c r="C63" s="919" t="s">
        <v>599</v>
      </c>
      <c r="D63" s="919" t="s">
        <v>600</v>
      </c>
      <c r="E63" s="919" t="s">
        <v>601</v>
      </c>
      <c r="F63" s="919" t="s">
        <v>602</v>
      </c>
      <c r="G63" s="919" t="s">
        <v>603</v>
      </c>
      <c r="H63" s="875"/>
      <c r="I63" s="875"/>
      <c r="J63" s="875"/>
      <c r="K63" s="920"/>
      <c r="L63" s="921"/>
      <c r="M63" s="922"/>
      <c r="N63" s="2377"/>
      <c r="O63" s="2377"/>
      <c r="P63" s="2880"/>
      <c r="Q63" s="2868"/>
      <c r="R63" s="2369"/>
      <c r="S63" s="2369"/>
      <c r="T63" s="2369"/>
      <c r="U63" s="2369"/>
      <c r="V63" s="2369"/>
      <c r="W63" s="2369"/>
      <c r="X63" s="2369"/>
      <c r="Y63" s="2369"/>
      <c r="Z63" s="2369"/>
      <c r="AA63" s="2369"/>
      <c r="AB63" s="2369"/>
      <c r="AC63" s="2369"/>
    </row>
    <row r="64" spans="1:29" ht="15.75" thickBot="1">
      <c r="A64" s="880"/>
      <c r="B64" s="889"/>
      <c r="C64" s="890">
        <v>100</v>
      </c>
      <c r="D64" s="890">
        <f>C64-$K14</f>
        <v>98</v>
      </c>
      <c r="E64" s="890">
        <f>D64-$K14</f>
        <v>96</v>
      </c>
      <c r="F64" s="890">
        <f>E64-$K14</f>
        <v>94</v>
      </c>
      <c r="G64" s="890">
        <f>F64-$K14</f>
        <v>92</v>
      </c>
      <c r="H64" s="890"/>
      <c r="I64" s="890"/>
      <c r="J64" s="890"/>
      <c r="K64" s="890"/>
      <c r="L64" s="890"/>
      <c r="M64" s="891"/>
      <c r="N64" s="2378"/>
      <c r="O64" s="2378"/>
      <c r="P64" s="2874"/>
      <c r="Q64" s="2868"/>
      <c r="R64" s="2369"/>
      <c r="S64" s="2369"/>
      <c r="T64" s="2369"/>
      <c r="U64" s="2369"/>
      <c r="V64" s="2369"/>
      <c r="W64" s="2369"/>
      <c r="X64" s="2369"/>
      <c r="Y64" s="2369"/>
      <c r="Z64" s="2369"/>
      <c r="AA64" s="2369"/>
      <c r="AB64" s="2369"/>
      <c r="AC64" s="2369"/>
    </row>
    <row r="65" spans="1:29" ht="15.75" thickTop="1">
      <c r="A65" s="880"/>
      <c r="B65" s="1058" t="s">
        <v>3038</v>
      </c>
      <c r="C65" s="924" t="s">
        <v>599</v>
      </c>
      <c r="D65" s="924" t="s">
        <v>600</v>
      </c>
      <c r="E65" s="924" t="s">
        <v>601</v>
      </c>
      <c r="F65" s="924" t="s">
        <v>602</v>
      </c>
      <c r="G65" s="924" t="s">
        <v>603</v>
      </c>
      <c r="H65" s="885"/>
      <c r="I65" s="885"/>
      <c r="J65" s="885"/>
      <c r="K65" s="886"/>
      <c r="L65" s="887"/>
      <c r="M65" s="888"/>
      <c r="N65" s="2377"/>
      <c r="O65" s="2377"/>
      <c r="P65" s="2874"/>
      <c r="Q65" s="2868"/>
      <c r="R65" s="2369"/>
      <c r="S65" s="2369"/>
      <c r="T65" s="2369"/>
      <c r="U65" s="2369"/>
      <c r="V65" s="2369"/>
      <c r="W65" s="2369"/>
      <c r="X65" s="2369"/>
      <c r="Y65" s="2369"/>
      <c r="Z65" s="2369"/>
      <c r="AA65" s="2369"/>
      <c r="AB65" s="2369"/>
      <c r="AC65" s="2369"/>
    </row>
    <row r="66" spans="1:29" ht="15.75" thickBot="1">
      <c r="A66" s="880"/>
      <c r="B66" s="889"/>
      <c r="C66" s="890">
        <v>100</v>
      </c>
      <c r="D66" s="890">
        <f>C66-$K16</f>
        <v>97</v>
      </c>
      <c r="E66" s="890">
        <f>D66-$K16</f>
        <v>94</v>
      </c>
      <c r="F66" s="890">
        <f>E66-$K16</f>
        <v>91</v>
      </c>
      <c r="G66" s="890">
        <f>F66-$K16</f>
        <v>88</v>
      </c>
      <c r="H66" s="890"/>
      <c r="I66" s="890"/>
      <c r="J66" s="890"/>
      <c r="K66" s="890"/>
      <c r="L66" s="890"/>
      <c r="M66" s="891"/>
      <c r="N66" s="2378"/>
      <c r="O66" s="2378"/>
      <c r="P66" s="2874"/>
      <c r="Q66" s="2868"/>
      <c r="R66" s="2369"/>
      <c r="S66" s="2369"/>
      <c r="T66" s="2369"/>
      <c r="U66" s="2369"/>
      <c r="V66" s="2369"/>
      <c r="W66" s="2369"/>
      <c r="X66" s="2369"/>
      <c r="Y66" s="2369"/>
      <c r="Z66" s="2369"/>
      <c r="AA66" s="2369"/>
      <c r="AB66" s="2369"/>
      <c r="AC66" s="2369"/>
    </row>
    <row r="67" spans="1:29" ht="15.75" thickTop="1">
      <c r="A67" s="880"/>
      <c r="B67" s="1060" t="s">
        <v>3068</v>
      </c>
      <c r="C67" s="213" t="s">
        <v>3058</v>
      </c>
      <c r="D67" s="213" t="s">
        <v>3059</v>
      </c>
      <c r="E67" s="213" t="s">
        <v>3060</v>
      </c>
      <c r="F67" s="213" t="s">
        <v>3061</v>
      </c>
      <c r="G67" s="213" t="s">
        <v>3062</v>
      </c>
      <c r="H67" s="885"/>
      <c r="I67" s="885"/>
      <c r="J67" s="885"/>
      <c r="K67" s="885"/>
      <c r="L67" s="885"/>
      <c r="M67" s="2781"/>
      <c r="N67" s="2378"/>
      <c r="O67" s="2378"/>
      <c r="P67" s="2874"/>
      <c r="Q67" s="2868"/>
      <c r="R67" s="2369"/>
      <c r="S67" s="2369"/>
      <c r="T67" s="2369"/>
      <c r="U67" s="2369"/>
      <c r="V67" s="2369"/>
      <c r="W67" s="2369"/>
      <c r="X67" s="2369"/>
      <c r="Y67" s="2369"/>
      <c r="Z67" s="2369"/>
      <c r="AA67" s="2369"/>
      <c r="AB67" s="2369"/>
      <c r="AC67" s="2369"/>
    </row>
    <row r="68" spans="1:29" ht="15.75" thickBot="1">
      <c r="A68" s="880"/>
      <c r="B68" s="892"/>
      <c r="C68" s="890">
        <v>100</v>
      </c>
      <c r="D68" s="890">
        <f>C68-$K18</f>
        <v>99</v>
      </c>
      <c r="E68" s="890">
        <f>D68-$K18</f>
        <v>98</v>
      </c>
      <c r="F68" s="890">
        <f>E68-$K18</f>
        <v>97</v>
      </c>
      <c r="G68" s="890">
        <f>F68-$K18</f>
        <v>96</v>
      </c>
      <c r="H68" s="1006"/>
      <c r="I68" s="1006"/>
      <c r="J68" s="1006"/>
      <c r="K68" s="1006"/>
      <c r="L68" s="1006"/>
      <c r="M68" s="796"/>
      <c r="N68" s="2378"/>
      <c r="O68" s="2378"/>
      <c r="P68" s="2874"/>
      <c r="Q68" s="2868"/>
      <c r="R68" s="2369"/>
      <c r="S68" s="2369"/>
      <c r="T68" s="2369"/>
      <c r="U68" s="2369"/>
      <c r="V68" s="2369"/>
      <c r="W68" s="2369"/>
      <c r="X68" s="2369"/>
      <c r="Y68" s="2369"/>
      <c r="Z68" s="2369"/>
      <c r="AA68" s="2369"/>
      <c r="AB68" s="2369"/>
      <c r="AC68" s="2369"/>
    </row>
    <row r="69" spans="1:29" ht="15.75" thickTop="1">
      <c r="A69" s="880"/>
      <c r="B69" s="884" t="s">
        <v>606</v>
      </c>
      <c r="C69" s="924" t="s">
        <v>599</v>
      </c>
      <c r="D69" s="924" t="s">
        <v>600</v>
      </c>
      <c r="E69" s="924" t="s">
        <v>601</v>
      </c>
      <c r="F69" s="924" t="s">
        <v>602</v>
      </c>
      <c r="G69" s="924" t="s">
        <v>603</v>
      </c>
      <c r="H69" s="885"/>
      <c r="I69" s="885"/>
      <c r="J69" s="885"/>
      <c r="K69" s="886"/>
      <c r="L69" s="887"/>
      <c r="M69" s="888"/>
      <c r="N69" s="2377"/>
      <c r="O69" s="2377"/>
      <c r="P69" s="2874"/>
      <c r="Q69" s="2868"/>
      <c r="R69" s="2369"/>
      <c r="S69" s="2369"/>
      <c r="T69" s="2369"/>
      <c r="U69" s="2369"/>
      <c r="V69" s="2369"/>
      <c r="W69" s="2369"/>
      <c r="X69" s="2369"/>
      <c r="Y69" s="2369"/>
      <c r="Z69" s="2369"/>
      <c r="AA69" s="2369"/>
      <c r="AB69" s="2369"/>
      <c r="AC69" s="2369"/>
    </row>
    <row r="70" spans="1:29" ht="15.75" thickBot="1">
      <c r="A70" s="880"/>
      <c r="B70" s="889"/>
      <c r="C70" s="890">
        <v>100</v>
      </c>
      <c r="D70" s="890">
        <f>C70-$K20</f>
        <v>99</v>
      </c>
      <c r="E70" s="890">
        <f>D70-$K20</f>
        <v>98</v>
      </c>
      <c r="F70" s="890">
        <f>E70-$K20</f>
        <v>97</v>
      </c>
      <c r="G70" s="890">
        <f>F70-$K20</f>
        <v>96</v>
      </c>
      <c r="H70" s="890"/>
      <c r="I70" s="890"/>
      <c r="J70" s="890"/>
      <c r="K70" s="890"/>
      <c r="L70" s="890"/>
      <c r="M70" s="891"/>
      <c r="N70" s="2378"/>
      <c r="O70" s="2378"/>
      <c r="P70" s="2874"/>
      <c r="Q70" s="2868"/>
      <c r="R70" s="2369"/>
      <c r="S70" s="2369"/>
      <c r="T70" s="2369"/>
      <c r="U70" s="2369"/>
      <c r="V70" s="2369"/>
      <c r="W70" s="2369"/>
      <c r="X70" s="2369"/>
      <c r="Y70" s="2369"/>
      <c r="Z70" s="2369"/>
      <c r="AA70" s="2369"/>
      <c r="AB70" s="2369"/>
      <c r="AC70" s="2369"/>
    </row>
    <row r="71" spans="1:29" ht="15.75" thickTop="1">
      <c r="A71" s="880"/>
      <c r="B71" s="884" t="s">
        <v>607</v>
      </c>
      <c r="C71" s="900" t="s">
        <v>669</v>
      </c>
      <c r="D71" s="900" t="s">
        <v>670</v>
      </c>
      <c r="E71" s="900"/>
      <c r="F71" s="900"/>
      <c r="G71" s="900"/>
      <c r="H71" s="929"/>
      <c r="I71" s="929"/>
      <c r="J71" s="929"/>
      <c r="K71" s="930"/>
      <c r="L71" s="931"/>
      <c r="M71" s="932"/>
      <c r="N71" s="2377"/>
      <c r="O71" s="2377"/>
      <c r="P71" s="2874"/>
      <c r="Q71" s="2868"/>
      <c r="R71" s="2369"/>
      <c r="S71" s="2369"/>
      <c r="T71" s="2369"/>
      <c r="U71" s="2369"/>
      <c r="V71" s="2369"/>
      <c r="W71" s="2369"/>
      <c r="X71" s="2369"/>
      <c r="Y71" s="2369"/>
      <c r="Z71" s="2369"/>
      <c r="AA71" s="2369"/>
      <c r="AB71" s="2369"/>
      <c r="AC71" s="2369"/>
    </row>
    <row r="72" spans="1:29" ht="15.75" thickBot="1">
      <c r="A72" s="880"/>
      <c r="B72" s="889"/>
      <c r="C72" s="890">
        <v>100</v>
      </c>
      <c r="D72" s="890">
        <f>C72-$K22</f>
        <v>98</v>
      </c>
      <c r="E72" s="890">
        <f>D72-$K22</f>
        <v>96</v>
      </c>
      <c r="F72" s="890">
        <f>E72-$K22</f>
        <v>94</v>
      </c>
      <c r="G72" s="890">
        <f>F72-$K22</f>
        <v>92</v>
      </c>
      <c r="H72" s="890"/>
      <c r="I72" s="890"/>
      <c r="J72" s="890"/>
      <c r="K72" s="890"/>
      <c r="L72" s="890"/>
      <c r="M72" s="891"/>
      <c r="N72" s="2378"/>
      <c r="O72" s="2378"/>
      <c r="P72" s="2874"/>
      <c r="Q72" s="2868"/>
      <c r="R72" s="2369"/>
      <c r="S72" s="2369"/>
      <c r="T72" s="2369"/>
      <c r="U72" s="2369"/>
      <c r="V72" s="2369"/>
      <c r="W72" s="2369"/>
      <c r="X72" s="2369"/>
      <c r="Y72" s="2369"/>
      <c r="Z72" s="2369"/>
      <c r="AA72" s="2369"/>
      <c r="AB72" s="2369"/>
      <c r="AC72" s="2369"/>
    </row>
    <row r="73" spans="1:29" s="412" customFormat="1" ht="15.75" thickTop="1">
      <c r="A73" s="925"/>
      <c r="B73" s="884">
        <f>B23</f>
        <v>111</v>
      </c>
      <c r="C73" s="895">
        <v>111</v>
      </c>
      <c r="D73" s="895">
        <v>222</v>
      </c>
      <c r="E73" s="895">
        <v>333</v>
      </c>
      <c r="F73" s="895">
        <v>444</v>
      </c>
      <c r="G73" s="900"/>
      <c r="H73" s="900"/>
      <c r="I73" s="900"/>
      <c r="J73" s="900"/>
      <c r="K73" s="900"/>
      <c r="L73" s="926"/>
      <c r="M73" s="927"/>
      <c r="N73" s="2376"/>
      <c r="O73" s="2376"/>
      <c r="P73" s="2874"/>
      <c r="Q73" s="2868"/>
      <c r="R73" s="2872"/>
      <c r="S73" s="2872"/>
      <c r="T73" s="2872"/>
      <c r="U73" s="2872"/>
      <c r="V73" s="2872"/>
      <c r="W73" s="2872"/>
      <c r="X73" s="2872"/>
      <c r="Y73" s="2872"/>
      <c r="Z73" s="2872"/>
      <c r="AA73" s="2872"/>
      <c r="AB73" s="2872"/>
      <c r="AC73" s="2872"/>
    </row>
    <row r="74" spans="1:29" s="412" customFormat="1" ht="15.75" thickBot="1">
      <c r="A74" s="925"/>
      <c r="B74" s="889"/>
      <c r="C74" s="906">
        <v>100</v>
      </c>
      <c r="D74" s="882">
        <v>99</v>
      </c>
      <c r="E74" s="882">
        <v>98</v>
      </c>
      <c r="F74" s="882">
        <v>97</v>
      </c>
      <c r="G74" s="882"/>
      <c r="H74" s="882"/>
      <c r="I74" s="882"/>
      <c r="J74" s="882"/>
      <c r="K74" s="882"/>
      <c r="L74" s="882"/>
      <c r="M74" s="883"/>
      <c r="N74" s="2378"/>
      <c r="O74" s="2378"/>
      <c r="P74" s="2874"/>
      <c r="Q74" s="2868"/>
      <c r="R74" s="2872"/>
      <c r="S74" s="2872"/>
      <c r="T74" s="2872"/>
      <c r="U74" s="2872"/>
      <c r="V74" s="2872"/>
      <c r="W74" s="2872"/>
      <c r="X74" s="2872"/>
      <c r="Y74" s="2872"/>
      <c r="Z74" s="2872"/>
      <c r="AA74" s="2872"/>
      <c r="AB74" s="2872"/>
      <c r="AC74" s="2872"/>
    </row>
    <row r="75" spans="1:29" s="412" customFormat="1" ht="15.75" thickTop="1">
      <c r="A75" s="925"/>
      <c r="B75" s="884">
        <f>B24</f>
        <v>111</v>
      </c>
      <c r="C75" s="895">
        <v>111</v>
      </c>
      <c r="D75" s="895">
        <v>222</v>
      </c>
      <c r="E75" s="895">
        <v>333</v>
      </c>
      <c r="F75" s="895">
        <v>444</v>
      </c>
      <c r="G75" s="900"/>
      <c r="H75" s="900"/>
      <c r="I75" s="900"/>
      <c r="J75" s="900"/>
      <c r="K75" s="900"/>
      <c r="L75" s="900"/>
      <c r="M75" s="927"/>
      <c r="N75" s="2376"/>
      <c r="O75" s="2376"/>
      <c r="P75" s="2874"/>
      <c r="Q75" s="2868"/>
      <c r="R75" s="2872"/>
      <c r="S75" s="2872"/>
      <c r="T75" s="2872"/>
      <c r="U75" s="2872"/>
      <c r="V75" s="2872"/>
      <c r="W75" s="2872"/>
      <c r="X75" s="2872"/>
      <c r="Y75" s="2872"/>
      <c r="Z75" s="2872"/>
      <c r="AA75" s="2872"/>
      <c r="AB75" s="2872"/>
      <c r="AC75" s="2872"/>
    </row>
    <row r="76" spans="1:29" s="412" customFormat="1" ht="15.75" thickBot="1">
      <c r="A76" s="925"/>
      <c r="B76" s="889"/>
      <c r="C76" s="906">
        <v>100</v>
      </c>
      <c r="D76" s="882">
        <v>98</v>
      </c>
      <c r="E76" s="882">
        <v>96</v>
      </c>
      <c r="F76" s="882">
        <v>94</v>
      </c>
      <c r="G76" s="882"/>
      <c r="H76" s="882"/>
      <c r="I76" s="882"/>
      <c r="J76" s="882"/>
      <c r="K76" s="882"/>
      <c r="L76" s="882"/>
      <c r="M76" s="883"/>
      <c r="N76" s="2378"/>
      <c r="O76" s="2378"/>
      <c r="P76" s="2874"/>
      <c r="Q76" s="2868"/>
      <c r="R76" s="2872"/>
      <c r="S76" s="2872"/>
      <c r="T76" s="2872"/>
      <c r="U76" s="2872"/>
      <c r="V76" s="2872"/>
      <c r="W76" s="2872"/>
      <c r="X76" s="2872"/>
      <c r="Y76" s="2872"/>
      <c r="Z76" s="2872"/>
      <c r="AA76" s="2872"/>
      <c r="AB76" s="2872"/>
      <c r="AC76" s="2872"/>
    </row>
    <row r="77" spans="1:29" s="817" customFormat="1" ht="15.75" thickTop="1">
      <c r="A77" s="899"/>
      <c r="B77" s="884">
        <f>B25</f>
        <v>111</v>
      </c>
      <c r="C77" s="900">
        <v>111</v>
      </c>
      <c r="D77" s="900">
        <v>222</v>
      </c>
      <c r="E77" s="900">
        <v>333</v>
      </c>
      <c r="F77" s="900">
        <v>444</v>
      </c>
      <c r="G77" s="900"/>
      <c r="H77" s="901"/>
      <c r="I77" s="901"/>
      <c r="J77" s="901"/>
      <c r="K77" s="901"/>
      <c r="L77" s="902"/>
      <c r="M77" s="903"/>
      <c r="N77" s="2379"/>
      <c r="O77" s="2379"/>
      <c r="P77" s="2875"/>
      <c r="Q77" s="2876"/>
      <c r="R77" s="2877"/>
      <c r="S77" s="2877"/>
      <c r="T77" s="2877"/>
      <c r="U77" s="2877"/>
      <c r="V77" s="2877"/>
      <c r="W77" s="2877"/>
      <c r="X77" s="2877"/>
      <c r="Y77" s="2877"/>
      <c r="Z77" s="2877"/>
      <c r="AA77" s="2877"/>
      <c r="AB77" s="2877"/>
      <c r="AC77" s="2877"/>
    </row>
    <row r="78" spans="1:29" s="817" customFormat="1" ht="15.75" thickBot="1">
      <c r="A78" s="899"/>
      <c r="B78" s="889"/>
      <c r="C78" s="906">
        <v>100</v>
      </c>
      <c r="D78" s="906">
        <v>97</v>
      </c>
      <c r="E78" s="906">
        <v>94</v>
      </c>
      <c r="F78" s="906">
        <v>91</v>
      </c>
      <c r="G78" s="882"/>
      <c r="H78" s="882"/>
      <c r="I78" s="882"/>
      <c r="J78" s="882"/>
      <c r="K78" s="882"/>
      <c r="L78" s="882"/>
      <c r="M78" s="883"/>
      <c r="N78" s="2379"/>
      <c r="O78" s="2379"/>
      <c r="P78" s="2875"/>
      <c r="Q78" s="2876"/>
      <c r="R78" s="2877"/>
      <c r="S78" s="2877"/>
      <c r="T78" s="2877"/>
      <c r="U78" s="2877"/>
      <c r="V78" s="2877"/>
      <c r="W78" s="2877"/>
      <c r="X78" s="2877"/>
      <c r="Y78" s="2877"/>
      <c r="Z78" s="2877"/>
      <c r="AA78" s="2877"/>
      <c r="AB78" s="2877"/>
      <c r="AC78" s="2877"/>
    </row>
    <row r="79" spans="1:29" ht="27.75" thickTop="1">
      <c r="A79" s="873" t="s">
        <v>580</v>
      </c>
      <c r="B79" s="874" t="s">
        <v>671</v>
      </c>
      <c r="C79" s="875" t="str">
        <f>C26</f>
        <v>住宅</v>
      </c>
      <c r="D79" s="876" t="s">
        <v>672</v>
      </c>
      <c r="E79" s="876" t="s">
        <v>673</v>
      </c>
      <c r="F79" s="876"/>
      <c r="G79" s="876"/>
      <c r="H79" s="876"/>
      <c r="I79" s="876"/>
      <c r="J79" s="876"/>
      <c r="K79" s="877"/>
      <c r="L79" s="878"/>
      <c r="M79" s="879"/>
      <c r="N79" s="2377"/>
      <c r="O79" s="2377"/>
      <c r="P79" s="2874"/>
      <c r="Q79" s="2868"/>
      <c r="R79" s="2369"/>
      <c r="S79" s="2369"/>
      <c r="T79" s="2369"/>
      <c r="U79" s="2369"/>
      <c r="V79" s="2369"/>
      <c r="W79" s="2369"/>
      <c r="X79" s="2369"/>
      <c r="Y79" s="2369"/>
      <c r="Z79" s="2369"/>
      <c r="AA79" s="2369"/>
      <c r="AB79" s="2369"/>
      <c r="AC79" s="2369"/>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0"/>
      <c r="B81" s="884" t="s">
        <v>674</v>
      </c>
      <c r="C81" s="1007" t="s">
        <v>305</v>
      </c>
      <c r="D81" s="1007" t="s">
        <v>308</v>
      </c>
      <c r="E81" s="1007" t="s">
        <v>307</v>
      </c>
      <c r="F81" s="1007" t="s">
        <v>306</v>
      </c>
      <c r="G81" s="1007"/>
      <c r="H81" s="1007"/>
      <c r="I81" s="1007"/>
      <c r="J81" s="1007"/>
      <c r="K81" s="1008"/>
      <c r="L81" s="1009"/>
      <c r="M81" s="1010"/>
      <c r="N81" s="2376"/>
      <c r="O81" s="2376"/>
      <c r="P81" s="2874"/>
      <c r="Q81" s="2868"/>
      <c r="R81" s="2369"/>
      <c r="S81" s="2369"/>
      <c r="T81" s="2369"/>
      <c r="U81" s="2369"/>
      <c r="V81" s="2369"/>
      <c r="W81" s="2369"/>
      <c r="X81" s="2369"/>
      <c r="Y81" s="2369"/>
      <c r="Z81" s="2369"/>
      <c r="AA81" s="2369"/>
      <c r="AB81" s="2369"/>
      <c r="AC81" s="2369"/>
    </row>
    <row r="82" spans="1:29" s="817" customFormat="1" ht="15.75" thickBot="1">
      <c r="A82" s="899"/>
      <c r="B82" s="889"/>
      <c r="C82" s="906">
        <v>100</v>
      </c>
      <c r="D82" s="882">
        <v>102</v>
      </c>
      <c r="E82" s="882">
        <v>104</v>
      </c>
      <c r="F82" s="882">
        <v>106</v>
      </c>
      <c r="G82" s="882">
        <v>108</v>
      </c>
      <c r="H82" s="882">
        <v>110</v>
      </c>
      <c r="I82" s="882"/>
      <c r="J82" s="882"/>
      <c r="K82" s="882"/>
      <c r="L82" s="882"/>
      <c r="M82" s="883"/>
      <c r="N82" s="2378"/>
      <c r="O82" s="2378"/>
      <c r="P82" s="2875"/>
      <c r="Q82" s="2876"/>
      <c r="R82" s="2877"/>
      <c r="S82" s="2877"/>
      <c r="T82" s="2877"/>
      <c r="U82" s="2877"/>
      <c r="V82" s="2877"/>
      <c r="W82" s="2877"/>
      <c r="X82" s="2877"/>
      <c r="Y82" s="2877"/>
      <c r="Z82" s="2877"/>
      <c r="AA82" s="2877"/>
      <c r="AB82" s="2877"/>
      <c r="AC82" s="2877"/>
    </row>
    <row r="83" spans="1:29" ht="15" thickTop="1">
      <c r="A83" s="945"/>
      <c r="B83" s="884" t="s">
        <v>608</v>
      </c>
      <c r="C83" s="900" t="s">
        <v>609</v>
      </c>
      <c r="D83" s="900" t="s">
        <v>629</v>
      </c>
      <c r="E83" s="929"/>
      <c r="F83" s="929"/>
      <c r="G83" s="929"/>
      <c r="H83" s="929"/>
      <c r="I83" s="929"/>
      <c r="J83" s="929"/>
      <c r="K83" s="930"/>
      <c r="L83" s="931"/>
      <c r="M83" s="932"/>
      <c r="N83" s="2377"/>
      <c r="O83" s="2377"/>
      <c r="P83" s="2874"/>
      <c r="Q83" s="2868"/>
      <c r="R83" s="2369"/>
      <c r="S83" s="2369"/>
      <c r="T83" s="2369"/>
      <c r="U83" s="2369"/>
      <c r="V83" s="2369"/>
      <c r="W83" s="2369"/>
      <c r="X83" s="2369"/>
      <c r="Y83" s="2369"/>
      <c r="Z83" s="2369"/>
      <c r="AA83" s="2369"/>
      <c r="AB83" s="2369"/>
      <c r="AC83" s="2369"/>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5"/>
      <c r="B85" s="884" t="s">
        <v>675</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77"/>
      <c r="O85" s="2377"/>
      <c r="P85" s="2874"/>
      <c r="Q85" s="2868"/>
      <c r="R85" s="2369"/>
      <c r="S85" s="2369"/>
      <c r="T85" s="2369"/>
      <c r="U85" s="2369"/>
      <c r="V85" s="2369"/>
      <c r="W85" s="2369"/>
      <c r="X85" s="2369"/>
      <c r="Y85" s="2369"/>
      <c r="Z85" s="2369"/>
      <c r="AA85" s="2369"/>
      <c r="AB85" s="2369"/>
      <c r="AC85" s="2369"/>
    </row>
    <row r="86" spans="1:29">
      <c r="A86" s="945"/>
      <c r="B86" s="892"/>
      <c r="C86" s="949">
        <v>0.5</v>
      </c>
      <c r="D86" s="949">
        <v>0.6</v>
      </c>
      <c r="E86" s="949">
        <v>0.7</v>
      </c>
      <c r="F86" s="949">
        <v>0.8</v>
      </c>
      <c r="G86" s="949">
        <v>0.9</v>
      </c>
      <c r="H86" s="949">
        <v>1.0001</v>
      </c>
      <c r="I86" s="969"/>
      <c r="J86" s="969"/>
      <c r="K86" s="970"/>
      <c r="L86" s="971"/>
      <c r="M86" s="972"/>
      <c r="N86" s="2377"/>
      <c r="O86" s="2377"/>
      <c r="P86" s="2874"/>
      <c r="Q86" s="2868"/>
      <c r="R86" s="2369"/>
      <c r="S86" s="2369"/>
      <c r="T86" s="2369"/>
      <c r="U86" s="2369"/>
      <c r="V86" s="2369"/>
      <c r="W86" s="2369"/>
      <c r="X86" s="2369"/>
      <c r="Y86" s="2369"/>
      <c r="Z86" s="2369"/>
      <c r="AA86" s="2369"/>
      <c r="AB86" s="2369"/>
      <c r="AC86" s="2369"/>
    </row>
    <row r="87" spans="1:29" ht="15.75" thickBot="1">
      <c r="A87" s="880"/>
      <c r="B87" s="889"/>
      <c r="C87" s="928">
        <v>100</v>
      </c>
      <c r="D87" s="890">
        <f>C87+$K$29</f>
        <v>102</v>
      </c>
      <c r="E87" s="890">
        <f t="shared" ref="E87:M87" si="19">D87+$K$29</f>
        <v>104</v>
      </c>
      <c r="F87" s="890">
        <f t="shared" si="19"/>
        <v>106</v>
      </c>
      <c r="G87" s="890">
        <f t="shared" si="19"/>
        <v>108</v>
      </c>
      <c r="H87" s="890">
        <f t="shared" si="19"/>
        <v>110</v>
      </c>
      <c r="I87" s="890">
        <f t="shared" si="19"/>
        <v>112</v>
      </c>
      <c r="J87" s="890">
        <f t="shared" si="19"/>
        <v>114</v>
      </c>
      <c r="K87" s="890">
        <f t="shared" si="19"/>
        <v>116</v>
      </c>
      <c r="L87" s="890">
        <f t="shared" si="19"/>
        <v>118</v>
      </c>
      <c r="M87" s="890">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5"/>
      <c r="B88" s="892" t="s">
        <v>676</v>
      </c>
      <c r="C88" s="876" t="s">
        <v>677</v>
      </c>
      <c r="D88" s="876" t="s">
        <v>678</v>
      </c>
      <c r="E88" s="876" t="s">
        <v>679</v>
      </c>
      <c r="F88" s="876"/>
      <c r="G88" s="876"/>
      <c r="H88" s="876"/>
      <c r="I88" s="876"/>
      <c r="J88" s="876"/>
      <c r="K88" s="877"/>
      <c r="L88" s="878"/>
      <c r="M88" s="879"/>
      <c r="N88" s="2377"/>
      <c r="O88" s="2377"/>
      <c r="P88" s="2874"/>
      <c r="Q88" s="2868"/>
      <c r="R88" s="2369"/>
      <c r="S88" s="2369"/>
      <c r="T88" s="2369"/>
      <c r="U88" s="2369"/>
      <c r="V88" s="2369"/>
      <c r="W88" s="2369"/>
      <c r="X88" s="2369"/>
      <c r="Y88" s="2369"/>
      <c r="Z88" s="2369"/>
      <c r="AA88" s="2369"/>
      <c r="AB88" s="2369"/>
      <c r="AC88" s="2369"/>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78"/>
      <c r="O89" s="2378"/>
      <c r="P89" s="2874"/>
      <c r="Q89" s="2868"/>
      <c r="R89" s="2369"/>
      <c r="S89" s="2369"/>
      <c r="T89" s="2369"/>
      <c r="U89" s="2369"/>
      <c r="V89" s="2369"/>
      <c r="W89" s="2369"/>
      <c r="X89" s="2369"/>
      <c r="Y89" s="2369"/>
      <c r="Z89" s="2369"/>
      <c r="AA89" s="2369"/>
      <c r="AB89" s="2369"/>
      <c r="AC89" s="2369"/>
    </row>
    <row r="90" spans="1:29" s="817" customFormat="1" ht="15" thickTop="1">
      <c r="A90" s="939"/>
      <c r="B90" s="884" t="s">
        <v>680</v>
      </c>
      <c r="C90" s="924" t="str">
        <f>C91&amp;"(含)"&amp;"-"&amp;D91</f>
        <v>20(含)-30</v>
      </c>
      <c r="D90" s="924" t="str">
        <f t="shared" ref="D90:L90" si="21">D91&amp;"(含)"&amp;"-"&amp;E91</f>
        <v>30(含)-45</v>
      </c>
      <c r="E90" s="924" t="str">
        <f t="shared" si="21"/>
        <v>45(含)-</v>
      </c>
      <c r="F90" s="924" t="str">
        <f t="shared" si="21"/>
        <v>(含)-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79"/>
      <c r="O90" s="2379"/>
      <c r="P90" s="2875"/>
      <c r="Q90" s="2876"/>
      <c r="R90" s="2877"/>
      <c r="S90" s="2877"/>
      <c r="T90" s="2877"/>
      <c r="U90" s="2877"/>
      <c r="V90" s="2877"/>
      <c r="W90" s="2877"/>
      <c r="X90" s="2877"/>
      <c r="Y90" s="2877"/>
      <c r="Z90" s="2877"/>
      <c r="AA90" s="2877"/>
      <c r="AB90" s="2877"/>
      <c r="AC90" s="2877"/>
    </row>
    <row r="91" spans="1:29" s="817" customFormat="1">
      <c r="A91" s="939"/>
      <c r="B91" s="892"/>
      <c r="C91" s="941">
        <v>20</v>
      </c>
      <c r="D91" s="941">
        <v>30</v>
      </c>
      <c r="E91" s="941">
        <v>45</v>
      </c>
      <c r="F91" s="941"/>
      <c r="G91" s="941"/>
      <c r="H91" s="941"/>
      <c r="I91" s="941"/>
      <c r="J91" s="942"/>
      <c r="K91" s="942"/>
      <c r="L91" s="943"/>
      <c r="M91" s="944"/>
      <c r="N91" s="2379"/>
      <c r="O91" s="2379"/>
      <c r="P91" s="2875"/>
      <c r="Q91" s="2876"/>
      <c r="R91" s="2877"/>
      <c r="S91" s="2877"/>
      <c r="T91" s="2877"/>
      <c r="U91" s="2877"/>
      <c r="V91" s="2877"/>
      <c r="W91" s="2877"/>
      <c r="X91" s="2877"/>
      <c r="Y91" s="2877"/>
      <c r="Z91" s="2877"/>
      <c r="AA91" s="2877"/>
      <c r="AB91" s="2877"/>
      <c r="AC91" s="2877"/>
    </row>
    <row r="92" spans="1:29" s="817" customFormat="1" ht="15.75" thickBot="1">
      <c r="A92" s="899"/>
      <c r="B92" s="889"/>
      <c r="C92" s="906">
        <v>100</v>
      </c>
      <c r="D92" s="882">
        <v>102</v>
      </c>
      <c r="E92" s="882">
        <v>104</v>
      </c>
      <c r="F92" s="882">
        <v>106</v>
      </c>
      <c r="G92" s="882">
        <v>108</v>
      </c>
      <c r="H92" s="882">
        <v>110</v>
      </c>
      <c r="I92" s="882"/>
      <c r="J92" s="882"/>
      <c r="K92" s="882"/>
      <c r="L92" s="882"/>
      <c r="M92" s="883"/>
      <c r="N92" s="2379"/>
      <c r="O92" s="2379"/>
      <c r="P92" s="2875"/>
      <c r="Q92" s="2876"/>
      <c r="R92" s="2877"/>
      <c r="S92" s="2877"/>
      <c r="T92" s="2877"/>
      <c r="U92" s="2877"/>
      <c r="V92" s="2877"/>
      <c r="W92" s="2877"/>
      <c r="X92" s="2877"/>
      <c r="Y92" s="2877"/>
      <c r="Z92" s="2877"/>
      <c r="AA92" s="2877"/>
      <c r="AB92" s="2877"/>
      <c r="AC92" s="2877"/>
    </row>
    <row r="93" spans="1:29" ht="15" thickTop="1">
      <c r="A93" s="945"/>
      <c r="B93" s="884" t="s">
        <v>681</v>
      </c>
      <c r="C93" s="900" t="s">
        <v>682</v>
      </c>
      <c r="D93" s="900" t="s">
        <v>683</v>
      </c>
      <c r="E93" s="929"/>
      <c r="F93" s="929"/>
      <c r="G93" s="929"/>
      <c r="H93" s="929"/>
      <c r="I93" s="929"/>
      <c r="J93" s="929"/>
      <c r="K93" s="930"/>
      <c r="L93" s="931"/>
      <c r="M93" s="932"/>
      <c r="N93" s="2377"/>
      <c r="O93" s="2377"/>
      <c r="P93" s="2874"/>
      <c r="Q93" s="2868"/>
      <c r="R93" s="2369"/>
      <c r="S93" s="2369"/>
      <c r="T93" s="2369"/>
      <c r="U93" s="2369"/>
      <c r="V93" s="2369"/>
      <c r="W93" s="2369"/>
      <c r="X93" s="2369"/>
      <c r="Y93" s="2369"/>
      <c r="Z93" s="2369"/>
      <c r="AA93" s="2369"/>
      <c r="AB93" s="2369"/>
      <c r="AC93" s="2369"/>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5"/>
      <c r="B95" s="884" t="s">
        <v>684</v>
      </c>
      <c r="C95" s="876" t="s">
        <v>685</v>
      </c>
      <c r="D95" s="876" t="s">
        <v>686</v>
      </c>
      <c r="E95" s="876"/>
      <c r="F95" s="876"/>
      <c r="G95" s="876"/>
      <c r="H95" s="876"/>
      <c r="I95" s="876"/>
      <c r="J95" s="876"/>
      <c r="K95" s="877"/>
      <c r="L95" s="878"/>
      <c r="M95" s="879"/>
      <c r="N95" s="2377"/>
      <c r="O95" s="2377"/>
      <c r="P95" s="2874"/>
      <c r="Q95" s="2868"/>
      <c r="R95" s="2369"/>
      <c r="S95" s="2369"/>
      <c r="T95" s="2369"/>
      <c r="U95" s="2369"/>
      <c r="V95" s="2369"/>
      <c r="W95" s="2369"/>
      <c r="X95" s="2369"/>
      <c r="Y95" s="2369"/>
      <c r="Z95" s="2369"/>
      <c r="AA95" s="2369"/>
      <c r="AB95" s="2369"/>
      <c r="AC95" s="2369"/>
    </row>
    <row r="96" spans="1:29" ht="15.75" thickBot="1">
      <c r="A96" s="880"/>
      <c r="B96" s="889"/>
      <c r="C96" s="890">
        <v>100</v>
      </c>
      <c r="D96" s="890">
        <f>C96-$K33</f>
        <v>99</v>
      </c>
      <c r="E96" s="890">
        <f>D96-$K33</f>
        <v>98</v>
      </c>
      <c r="F96" s="890">
        <f>E96-$K33</f>
        <v>97</v>
      </c>
      <c r="G96" s="890">
        <f>F96-$K33</f>
        <v>96</v>
      </c>
      <c r="H96" s="890"/>
      <c r="I96" s="890"/>
      <c r="J96" s="890"/>
      <c r="K96" s="890"/>
      <c r="L96" s="890"/>
      <c r="M96" s="891"/>
      <c r="N96" s="2378"/>
      <c r="O96" s="2378"/>
      <c r="P96" s="2874"/>
      <c r="Q96" s="2868"/>
      <c r="R96" s="2369"/>
      <c r="S96" s="2369"/>
      <c r="T96" s="2369"/>
      <c r="U96" s="2369"/>
      <c r="V96" s="2369"/>
      <c r="W96" s="2369"/>
      <c r="X96" s="2369"/>
      <c r="Y96" s="2369"/>
      <c r="Z96" s="2369"/>
      <c r="AA96" s="2369"/>
      <c r="AB96" s="2369"/>
      <c r="AC96" s="2369"/>
    </row>
    <row r="97" spans="1:29" ht="15" thickTop="1">
      <c r="A97" s="945"/>
      <c r="B97" s="982">
        <f>B34</f>
        <v>111</v>
      </c>
      <c r="C97" s="895">
        <v>111</v>
      </c>
      <c r="D97" s="895">
        <v>222</v>
      </c>
      <c r="E97" s="895">
        <v>333</v>
      </c>
      <c r="F97" s="895">
        <v>444</v>
      </c>
      <c r="G97" s="900"/>
      <c r="H97" s="901"/>
      <c r="I97" s="901"/>
      <c r="J97" s="901"/>
      <c r="K97" s="901"/>
      <c r="L97" s="902"/>
      <c r="M97" s="903"/>
      <c r="N97" s="2378"/>
      <c r="O97" s="2378"/>
      <c r="P97" s="2881"/>
      <c r="Q97" s="2882"/>
      <c r="R97" s="2369"/>
      <c r="S97" s="2369"/>
      <c r="T97" s="2369"/>
      <c r="U97" s="2369"/>
      <c r="V97" s="2369"/>
      <c r="W97" s="2369"/>
      <c r="X97" s="2369"/>
      <c r="Y97" s="2369"/>
      <c r="Z97" s="2369"/>
      <c r="AA97" s="2369"/>
      <c r="AB97" s="2369"/>
      <c r="AC97" s="2369"/>
    </row>
    <row r="98" spans="1:29" ht="15.75" thickBot="1">
      <c r="A98" s="880"/>
      <c r="B98" s="889"/>
      <c r="C98" s="906">
        <v>100</v>
      </c>
      <c r="D98" s="882">
        <v>99</v>
      </c>
      <c r="E98" s="882">
        <v>98</v>
      </c>
      <c r="F98" s="882">
        <v>97</v>
      </c>
      <c r="G98" s="906"/>
      <c r="H98" s="908"/>
      <c r="I98" s="908"/>
      <c r="J98" s="908"/>
      <c r="K98" s="908"/>
      <c r="L98" s="908"/>
      <c r="M98" s="909"/>
      <c r="N98" s="2378"/>
      <c r="O98" s="2378"/>
      <c r="P98" s="2874"/>
      <c r="Q98" s="2868"/>
      <c r="R98" s="2369"/>
      <c r="S98" s="2369"/>
      <c r="T98" s="2369"/>
      <c r="U98" s="2369"/>
      <c r="V98" s="2369"/>
      <c r="W98" s="2369"/>
      <c r="X98" s="2369"/>
      <c r="Y98" s="2369"/>
      <c r="Z98" s="2369"/>
      <c r="AA98" s="2369"/>
      <c r="AB98" s="2369"/>
      <c r="AC98" s="2369"/>
    </row>
    <row r="99" spans="1:29" s="817" customFormat="1" ht="15" thickTop="1">
      <c r="A99" s="939"/>
      <c r="B99" s="884">
        <f>B35</f>
        <v>111</v>
      </c>
      <c r="C99" s="895">
        <v>111</v>
      </c>
      <c r="D99" s="895">
        <v>222</v>
      </c>
      <c r="E99" s="895">
        <v>333</v>
      </c>
      <c r="F99" s="895">
        <v>444</v>
      </c>
      <c r="G99" s="900"/>
      <c r="H99" s="901"/>
      <c r="I99" s="901"/>
      <c r="J99" s="901"/>
      <c r="K99" s="901"/>
      <c r="L99" s="902"/>
      <c r="M99" s="903"/>
      <c r="N99" s="2379"/>
      <c r="O99" s="2379"/>
      <c r="P99" s="2875"/>
      <c r="Q99" s="2876"/>
      <c r="R99" s="2877"/>
      <c r="S99" s="2877"/>
      <c r="T99" s="2877"/>
      <c r="U99" s="2877"/>
      <c r="V99" s="2877"/>
      <c r="W99" s="2877"/>
      <c r="X99" s="2877"/>
      <c r="Y99" s="2877"/>
      <c r="Z99" s="2877"/>
      <c r="AA99" s="2877"/>
      <c r="AB99" s="2877"/>
      <c r="AC99" s="2877"/>
    </row>
    <row r="100" spans="1:29" s="817" customFormat="1" ht="15.75" thickBot="1">
      <c r="A100" s="899"/>
      <c r="B100" s="881"/>
      <c r="C100" s="906">
        <v>100</v>
      </c>
      <c r="D100" s="882">
        <v>98</v>
      </c>
      <c r="E100" s="882">
        <v>96</v>
      </c>
      <c r="F100" s="882">
        <v>94</v>
      </c>
      <c r="G100" s="906"/>
      <c r="H100" s="908"/>
      <c r="I100" s="908"/>
      <c r="J100" s="908"/>
      <c r="K100" s="908"/>
      <c r="L100" s="908"/>
      <c r="M100" s="909"/>
      <c r="N100" s="2379"/>
      <c r="O100" s="2379"/>
      <c r="P100" s="2875"/>
      <c r="Q100" s="2876"/>
      <c r="R100" s="2877"/>
      <c r="S100" s="2877"/>
      <c r="T100" s="2877"/>
      <c r="U100" s="2877"/>
      <c r="V100" s="2877"/>
      <c r="W100" s="2877"/>
      <c r="X100" s="2877"/>
      <c r="Y100" s="2877"/>
      <c r="Z100" s="2877"/>
      <c r="AA100" s="2877"/>
      <c r="AB100" s="2877"/>
      <c r="AC100" s="2877"/>
    </row>
    <row r="101" spans="1:29" ht="15" thickTop="1">
      <c r="A101" s="945"/>
      <c r="B101" s="884">
        <f>B36</f>
        <v>111</v>
      </c>
      <c r="C101" s="900">
        <v>111</v>
      </c>
      <c r="D101" s="900">
        <v>222</v>
      </c>
      <c r="E101" s="900">
        <v>333</v>
      </c>
      <c r="F101" s="900">
        <v>444</v>
      </c>
      <c r="G101" s="900"/>
      <c r="H101" s="901"/>
      <c r="I101" s="901"/>
      <c r="J101" s="901"/>
      <c r="K101" s="901"/>
      <c r="L101" s="902"/>
      <c r="M101" s="903"/>
      <c r="N101" s="2377"/>
      <c r="O101" s="2377"/>
      <c r="P101" s="2874"/>
      <c r="Q101" s="2868"/>
      <c r="R101" s="2369"/>
      <c r="S101" s="2369"/>
      <c r="T101" s="2369"/>
      <c r="U101" s="2369"/>
      <c r="V101" s="2369"/>
      <c r="W101" s="2369"/>
      <c r="X101" s="2369"/>
      <c r="Y101" s="2369"/>
      <c r="Z101" s="2369"/>
      <c r="AA101" s="2369"/>
      <c r="AB101" s="2369"/>
      <c r="AC101" s="2369"/>
    </row>
    <row r="102" spans="1:29" ht="15.75" thickBot="1">
      <c r="A102" s="880"/>
      <c r="B102" s="889"/>
      <c r="C102" s="906">
        <v>100</v>
      </c>
      <c r="D102" s="906">
        <v>97</v>
      </c>
      <c r="E102" s="906">
        <v>94</v>
      </c>
      <c r="F102" s="906">
        <v>91</v>
      </c>
      <c r="G102" s="906"/>
      <c r="H102" s="908"/>
      <c r="I102" s="908"/>
      <c r="J102" s="908"/>
      <c r="K102" s="908"/>
      <c r="L102" s="908"/>
      <c r="M102" s="909"/>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53" customFormat="1" ht="28.5" customHeight="1" thickBot="1">
      <c r="A1" s="3142" t="s">
        <v>552</v>
      </c>
      <c r="B1" s="3154" t="s">
        <v>42</v>
      </c>
      <c r="C1" s="3144" t="s">
        <v>631</v>
      </c>
      <c r="D1" s="3125" t="s">
        <v>3366</v>
      </c>
      <c r="E1" s="3155"/>
      <c r="F1" s="3127" t="s">
        <v>3099</v>
      </c>
      <c r="G1" s="3156" t="s">
        <v>632</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4" customFormat="1" ht="28.5" customHeight="1" thickTop="1">
      <c r="A2" s="3141" t="s">
        <v>633</v>
      </c>
      <c r="B2" s="2863">
        <f ca="1">IF(C2="——",ROUND(C37*D3/10000,0),ROUND(C37*D3/10000,0)-D2)</f>
        <v>72028</v>
      </c>
      <c r="C2" s="3119" t="s">
        <v>3101</v>
      </c>
      <c r="D2" s="2349">
        <f ca="1">SUMIF(INDIRECT("'"&amp;F2&amp;"'"&amp;"!A:A"),"承租人权益价值",INDIRECT("'"&amp;F2&amp;"'"&amp;"!c:c"))</f>
        <v>-72028</v>
      </c>
      <c r="E2" s="3120" t="s">
        <v>1094</v>
      </c>
      <c r="F2" s="3121" t="s">
        <v>2832</v>
      </c>
      <c r="G2" s="2350"/>
      <c r="H2" s="2350"/>
      <c r="I2" s="2350"/>
      <c r="J2" s="2350"/>
      <c r="K2" s="2352"/>
      <c r="L2" s="2353"/>
      <c r="M2" s="2354"/>
      <c r="N2" s="2354"/>
      <c r="O2" s="2354"/>
      <c r="P2" s="1319"/>
      <c r="Q2" s="1319"/>
      <c r="R2" s="1319"/>
      <c r="S2" s="1319"/>
      <c r="T2" s="1319"/>
      <c r="U2" s="1319"/>
      <c r="V2" s="1319"/>
      <c r="W2" s="1319"/>
      <c r="X2" s="1319"/>
      <c r="Y2" s="1319"/>
      <c r="Z2" s="1319"/>
      <c r="AA2" s="1319"/>
      <c r="AB2" s="1319"/>
      <c r="AC2" s="1320"/>
    </row>
    <row r="3" spans="1:29" s="744" customFormat="1" ht="28.5" customHeight="1" thickBot="1">
      <c r="A3" s="582" t="s">
        <v>634</v>
      </c>
      <c r="B3" s="955" t="e">
        <f ca="1">IF(C2="——",C37,ROUND(B2*10000/D3,0))</f>
        <v>#DIV/0!</v>
      </c>
      <c r="C3" s="746" t="s">
        <v>635</v>
      </c>
      <c r="D3" s="745">
        <f>SUMIF('数据-汇总表'!$C19:$C33,D1,'数据-汇总表'!$E19:$E33)</f>
        <v>0</v>
      </c>
      <c r="E3" s="2350"/>
      <c r="F3" s="2351"/>
      <c r="G3" s="2350"/>
      <c r="H3" s="2350"/>
      <c r="I3" s="2350"/>
      <c r="J3" s="2350"/>
      <c r="K3" s="2352"/>
      <c r="L3" s="2353"/>
      <c r="M3" s="2354"/>
      <c r="N3" s="2354"/>
      <c r="O3" s="2354"/>
      <c r="P3" s="1319"/>
      <c r="Q3" s="1319"/>
      <c r="R3" s="1319"/>
      <c r="S3" s="1319"/>
      <c r="T3" s="1319"/>
      <c r="U3" s="1319"/>
      <c r="V3" s="1319"/>
      <c r="W3" s="1319"/>
      <c r="X3" s="1319"/>
      <c r="Y3" s="1319"/>
      <c r="Z3" s="1319"/>
      <c r="AA3" s="1319"/>
      <c r="AB3" s="1412"/>
      <c r="AC3" s="1402"/>
    </row>
    <row r="4" spans="1:29" ht="15">
      <c r="A4" s="747" t="s">
        <v>636</v>
      </c>
      <c r="B4" s="748"/>
      <c r="C4" s="3855" t="s">
        <v>637</v>
      </c>
      <c r="D4" s="3856"/>
      <c r="E4" s="3857" t="s">
        <v>638</v>
      </c>
      <c r="F4" s="3858"/>
      <c r="G4" s="3855" t="s">
        <v>639</v>
      </c>
      <c r="H4" s="3856"/>
      <c r="I4" s="3855" t="s">
        <v>640</v>
      </c>
      <c r="J4" s="3856"/>
      <c r="K4" s="956" t="s">
        <v>641</v>
      </c>
      <c r="L4" s="2355"/>
      <c r="M4" s="2356"/>
      <c r="N4" s="2356"/>
      <c r="O4" s="2356"/>
      <c r="P4" s="3859" t="s">
        <v>642</v>
      </c>
      <c r="Q4" s="3860"/>
      <c r="R4" s="3842" t="s">
        <v>638</v>
      </c>
      <c r="S4" s="3843"/>
      <c r="T4" s="3842" t="s">
        <v>639</v>
      </c>
      <c r="U4" s="3843"/>
      <c r="V4" s="3867" t="s">
        <v>640</v>
      </c>
      <c r="W4" s="3867"/>
      <c r="X4" s="1321"/>
      <c r="Y4" s="3842" t="s">
        <v>642</v>
      </c>
      <c r="Z4" s="3843"/>
      <c r="AA4" s="3837" t="s">
        <v>638</v>
      </c>
      <c r="AB4" s="3838" t="s">
        <v>639</v>
      </c>
      <c r="AC4" s="3837" t="s">
        <v>640</v>
      </c>
    </row>
    <row r="5" spans="1:29" ht="15">
      <c r="A5" s="750"/>
      <c r="B5" s="751"/>
      <c r="C5" s="3786" t="s">
        <v>1438</v>
      </c>
      <c r="D5" s="3787"/>
      <c r="E5" s="3784" t="s">
        <v>1439</v>
      </c>
      <c r="F5" s="3785"/>
      <c r="G5" s="3786" t="s">
        <v>66</v>
      </c>
      <c r="H5" s="3787"/>
      <c r="I5" s="3786" t="s">
        <v>1440</v>
      </c>
      <c r="J5" s="3787"/>
      <c r="K5" s="956"/>
      <c r="L5" s="2355"/>
      <c r="M5" s="2356"/>
      <c r="N5" s="2356"/>
      <c r="O5" s="2356"/>
      <c r="P5" s="3861"/>
      <c r="Q5" s="3862"/>
      <c r="R5" s="3844"/>
      <c r="S5" s="3845"/>
      <c r="T5" s="3844"/>
      <c r="U5" s="3845"/>
      <c r="V5" s="3867"/>
      <c r="W5" s="3867"/>
      <c r="X5" s="1321"/>
      <c r="Y5" s="3844"/>
      <c r="Z5" s="3845"/>
      <c r="AA5" s="3838"/>
      <c r="AB5" s="3838"/>
      <c r="AC5" s="3838"/>
    </row>
    <row r="6" spans="1:29" ht="15.75" thickBot="1">
      <c r="A6" s="752"/>
      <c r="B6" s="753"/>
      <c r="C6" s="3788" t="s">
        <v>1441</v>
      </c>
      <c r="D6" s="3789"/>
      <c r="E6" s="3790" t="s">
        <v>1441</v>
      </c>
      <c r="F6" s="3791"/>
      <c r="G6" s="3788" t="s">
        <v>1441</v>
      </c>
      <c r="H6" s="3789"/>
      <c r="I6" s="3788" t="s">
        <v>1441</v>
      </c>
      <c r="J6" s="3789"/>
      <c r="K6" s="956" t="s">
        <v>566</v>
      </c>
      <c r="L6" s="2355"/>
      <c r="M6" s="2356"/>
      <c r="N6" s="2356"/>
      <c r="O6" s="2356"/>
      <c r="P6" s="3863"/>
      <c r="Q6" s="3864"/>
      <c r="R6" s="3844"/>
      <c r="S6" s="3845"/>
      <c r="T6" s="3865"/>
      <c r="U6" s="3866"/>
      <c r="V6" s="3867"/>
      <c r="W6" s="3867"/>
      <c r="X6" s="1321"/>
      <c r="Y6" s="3865"/>
      <c r="Z6" s="3866"/>
      <c r="AA6" s="3839"/>
      <c r="AB6" s="3839"/>
      <c r="AC6" s="3839"/>
    </row>
    <row r="7" spans="1:29" s="412" customFormat="1" ht="15.75" thickBot="1">
      <c r="A7" s="754" t="s">
        <v>567</v>
      </c>
      <c r="B7" s="755"/>
      <c r="C7" s="756">
        <f>'数据-取费表'!B2</f>
        <v>42906</v>
      </c>
      <c r="D7" s="757">
        <v>100</v>
      </c>
      <c r="E7" s="1020">
        <v>42736</v>
      </c>
      <c r="F7" s="759">
        <f>SUMIF(46:46,YEAR(E7)&amp;"-"&amp;MONTH(E7),47:47)</f>
        <v>97.5</v>
      </c>
      <c r="G7" s="1020">
        <v>42736</v>
      </c>
      <c r="H7" s="757">
        <f>SUMIF(46:46,YEAR(G7)&amp;"-"&amp;MONTH(G7),47:47)</f>
        <v>97.5</v>
      </c>
      <c r="I7" s="1020">
        <v>42736</v>
      </c>
      <c r="J7" s="757">
        <f>SUMIF(46:46,YEAR(I7)&amp;"-"&amp;MONTH(I7),47:47)</f>
        <v>97.5</v>
      </c>
      <c r="K7" s="957"/>
      <c r="L7" s="2357"/>
      <c r="M7" s="2358"/>
      <c r="N7" s="2358"/>
      <c r="O7" s="2358"/>
      <c r="P7" s="3840" t="s">
        <v>568</v>
      </c>
      <c r="Q7" s="3868"/>
      <c r="R7" s="1322" t="s">
        <v>70</v>
      </c>
      <c r="S7" s="1323">
        <f t="shared" ref="S7:S14" si="0">F7</f>
        <v>97.5</v>
      </c>
      <c r="T7" s="1322" t="s">
        <v>70</v>
      </c>
      <c r="U7" s="1323">
        <f t="shared" ref="U7:U14" si="1">H7</f>
        <v>97.5</v>
      </c>
      <c r="V7" s="1322" t="s">
        <v>70</v>
      </c>
      <c r="W7" s="1323">
        <f t="shared" ref="W7:W14" si="2">J7</f>
        <v>97.5</v>
      </c>
      <c r="X7" s="1324"/>
      <c r="Y7" s="3840" t="s">
        <v>568</v>
      </c>
      <c r="Z7" s="3841"/>
      <c r="AA7" s="1325">
        <f>D7/F7</f>
        <v>1.0256410256410255</v>
      </c>
      <c r="AB7" s="1325">
        <f>D7/H7</f>
        <v>1.0256410256410255</v>
      </c>
      <c r="AC7" s="1325">
        <f>D7/J7</f>
        <v>1.0256410256410255</v>
      </c>
    </row>
    <row r="8" spans="1:29" s="412" customFormat="1" ht="15.75" thickBot="1">
      <c r="A8" s="754" t="s">
        <v>569</v>
      </c>
      <c r="B8" s="755"/>
      <c r="C8" s="760" t="s">
        <v>590</v>
      </c>
      <c r="D8" s="757">
        <v>100</v>
      </c>
      <c r="E8" s="760" t="s">
        <v>610</v>
      </c>
      <c r="F8" s="759">
        <f>SUMIF(49:49,E8,50:50)-SUMIF(49:49,C8,50:50)+100</f>
        <v>95</v>
      </c>
      <c r="G8" s="760" t="s">
        <v>590</v>
      </c>
      <c r="H8" s="757">
        <f>SUMIF(49:49,G8,50:50)-SUMIF(49:49,C8,50:50)+100</f>
        <v>100</v>
      </c>
      <c r="I8" s="760" t="s">
        <v>590</v>
      </c>
      <c r="J8" s="757">
        <f>SUMIF(49:49,I8,50:50)-SUMIF(49:49,C8,50:50)+100</f>
        <v>100</v>
      </c>
      <c r="K8" s="957"/>
      <c r="L8" s="2357"/>
      <c r="M8" s="2358"/>
      <c r="N8" s="2358"/>
      <c r="O8" s="2358"/>
      <c r="P8" s="3840" t="s">
        <v>611</v>
      </c>
      <c r="Q8" s="3841"/>
      <c r="R8" s="1322" t="s">
        <v>70</v>
      </c>
      <c r="S8" s="1323">
        <f t="shared" si="0"/>
        <v>95</v>
      </c>
      <c r="T8" s="1322" t="s">
        <v>70</v>
      </c>
      <c r="U8" s="1323">
        <f t="shared" si="1"/>
        <v>100</v>
      </c>
      <c r="V8" s="1322" t="s">
        <v>70</v>
      </c>
      <c r="W8" s="1323">
        <f t="shared" si="2"/>
        <v>100</v>
      </c>
      <c r="X8" s="1324"/>
      <c r="Y8" s="3840" t="s">
        <v>611</v>
      </c>
      <c r="Z8" s="3841"/>
      <c r="AA8" s="1325">
        <f t="shared" ref="AA8:AA34" si="3">D8/F8</f>
        <v>1.0526315789473684</v>
      </c>
      <c r="AB8" s="1325">
        <f t="shared" ref="AB8:AB34" si="4">D8/H8</f>
        <v>1</v>
      </c>
      <c r="AC8" s="1325">
        <f t="shared" ref="AC8:AC34" si="5">D8/J8</f>
        <v>1</v>
      </c>
    </row>
    <row r="9" spans="1:29" s="412" customFormat="1">
      <c r="A9" s="761" t="s">
        <v>570</v>
      </c>
      <c r="B9" s="367" t="s">
        <v>593</v>
      </c>
      <c r="C9" s="1349" t="s">
        <v>1442</v>
      </c>
      <c r="D9" s="428">
        <v>100</v>
      </c>
      <c r="E9" s="765" t="s">
        <v>687</v>
      </c>
      <c r="F9" s="428">
        <f>SUMIF(51:51,E9,52:52)-SUMIF(51:51,C9,52:52)+100</f>
        <v>100</v>
      </c>
      <c r="G9" s="765" t="s">
        <v>687</v>
      </c>
      <c r="H9" s="428">
        <f>SUMIF(51:51,G9,52:52)-SUMIF(51:51,C9,52:52)+100</f>
        <v>100</v>
      </c>
      <c r="I9" s="765" t="s">
        <v>687</v>
      </c>
      <c r="J9" s="428">
        <f>SUMIF(51:51,I9,52:52)-SUMIF(51:51,C9,52:52)+100</f>
        <v>100</v>
      </c>
      <c r="K9" s="957"/>
      <c r="L9" s="2357"/>
      <c r="M9" s="2358"/>
      <c r="N9" s="2358"/>
      <c r="O9" s="2359"/>
      <c r="P9" s="3854" t="s">
        <v>571</v>
      </c>
      <c r="Q9" s="302" t="str">
        <f t="shared" ref="Q9:Q14" si="6">B9</f>
        <v>用途</v>
      </c>
      <c r="R9" s="1322" t="s">
        <v>70</v>
      </c>
      <c r="S9" s="1323">
        <f t="shared" si="0"/>
        <v>100</v>
      </c>
      <c r="T9" s="1322" t="s">
        <v>70</v>
      </c>
      <c r="U9" s="1323">
        <f t="shared" si="1"/>
        <v>100</v>
      </c>
      <c r="V9" s="1322" t="s">
        <v>70</v>
      </c>
      <c r="W9" s="1323">
        <f t="shared" si="2"/>
        <v>100</v>
      </c>
      <c r="X9" s="1324"/>
      <c r="Y9" s="3725" t="s">
        <v>572</v>
      </c>
      <c r="Z9" s="350" t="str">
        <f t="shared" ref="Z9:Z14" si="7">Q9</f>
        <v>用途</v>
      </c>
      <c r="AA9" s="1325">
        <f t="shared" si="3"/>
        <v>1</v>
      </c>
      <c r="AB9" s="1325">
        <f t="shared" si="4"/>
        <v>1</v>
      </c>
      <c r="AC9" s="1325">
        <f t="shared" si="5"/>
        <v>1</v>
      </c>
    </row>
    <row r="10" spans="1:29" s="773" customFormat="1" ht="27">
      <c r="A10" s="767"/>
      <c r="B10" s="768" t="s">
        <v>573</v>
      </c>
      <c r="C10" s="769" t="s">
        <v>624</v>
      </c>
      <c r="D10" s="429">
        <v>100</v>
      </c>
      <c r="E10" s="769" t="s">
        <v>612</v>
      </c>
      <c r="F10" s="429">
        <f>SUMIF(53:53,E10,54:54)-SUMIF(53:53,C10,54:54)+100</f>
        <v>97</v>
      </c>
      <c r="G10" s="770" t="s">
        <v>613</v>
      </c>
      <c r="H10" s="429">
        <f>SUMIF(53:53,G10,54:54)-SUMIF(53:53,C10,54:54)+100</f>
        <v>94</v>
      </c>
      <c r="I10" s="769" t="s">
        <v>614</v>
      </c>
      <c r="J10" s="429">
        <f>SUMIF(53:53,I10,54:54)-SUMIF(53:53,C10,54:54)+100</f>
        <v>91</v>
      </c>
      <c r="K10" s="958">
        <v>3</v>
      </c>
      <c r="L10" s="2360"/>
      <c r="M10" s="2361"/>
      <c r="N10" s="2361"/>
      <c r="O10" s="2362"/>
      <c r="P10" s="3854"/>
      <c r="Q10" s="302" t="str">
        <f t="shared" si="6"/>
        <v>土地使用年限（年）</v>
      </c>
      <c r="R10" s="1322" t="s">
        <v>70</v>
      </c>
      <c r="S10" s="1323">
        <f t="shared" si="0"/>
        <v>97</v>
      </c>
      <c r="T10" s="1322" t="s">
        <v>70</v>
      </c>
      <c r="U10" s="1323">
        <f t="shared" si="1"/>
        <v>94</v>
      </c>
      <c r="V10" s="1322" t="s">
        <v>70</v>
      </c>
      <c r="W10" s="1323">
        <f t="shared" si="2"/>
        <v>91</v>
      </c>
      <c r="X10" s="1324"/>
      <c r="Y10" s="3725"/>
      <c r="Z10" s="350" t="str">
        <f t="shared" si="7"/>
        <v>土地使用年限（年）</v>
      </c>
      <c r="AA10" s="1325">
        <f t="shared" si="3"/>
        <v>1.0309278350515463</v>
      </c>
      <c r="AB10" s="1325">
        <f t="shared" si="4"/>
        <v>1.0638297872340425</v>
      </c>
      <c r="AC10" s="1325">
        <f t="shared" si="5"/>
        <v>1.098901098901099</v>
      </c>
    </row>
    <row r="11" spans="1:29" ht="15">
      <c r="A11" s="774"/>
      <c r="B11" s="1034">
        <v>111</v>
      </c>
      <c r="C11" s="1027">
        <v>111</v>
      </c>
      <c r="D11" s="429">
        <v>100</v>
      </c>
      <c r="E11" s="1361">
        <v>222</v>
      </c>
      <c r="F11" s="429">
        <f>SUMIF(55:55,E11,56:56)-SUMIF(55:55,C11,56:56)+100</f>
        <v>99</v>
      </c>
      <c r="G11" s="1361">
        <v>333</v>
      </c>
      <c r="H11" s="429">
        <f>SUMIF(55:55,G11,56:56)-SUMIF(55:55,C11,56:56)+100</f>
        <v>98</v>
      </c>
      <c r="I11" s="1361">
        <v>444</v>
      </c>
      <c r="J11" s="429">
        <f>SUMIF(55:55,I11,56:56)-SUMIF(55:55,C11,56:56)+100</f>
        <v>97</v>
      </c>
      <c r="K11" s="959"/>
      <c r="L11" s="2363"/>
      <c r="M11" s="2356"/>
      <c r="N11" s="2356"/>
      <c r="O11" s="2364"/>
      <c r="P11" s="3854"/>
      <c r="Q11" s="302">
        <f t="shared" si="6"/>
        <v>111</v>
      </c>
      <c r="R11" s="1322" t="s">
        <v>70</v>
      </c>
      <c r="S11" s="1323">
        <f t="shared" si="0"/>
        <v>99</v>
      </c>
      <c r="T11" s="1322" t="s">
        <v>70</v>
      </c>
      <c r="U11" s="1323">
        <f t="shared" si="1"/>
        <v>98</v>
      </c>
      <c r="V11" s="1322" t="s">
        <v>70</v>
      </c>
      <c r="W11" s="1323">
        <f t="shared" si="2"/>
        <v>97</v>
      </c>
      <c r="X11" s="1324"/>
      <c r="Y11" s="3725"/>
      <c r="Z11" s="350">
        <f t="shared" si="7"/>
        <v>111</v>
      </c>
      <c r="AA11" s="1325">
        <f t="shared" si="3"/>
        <v>1.0101010101010102</v>
      </c>
      <c r="AB11" s="1325">
        <f t="shared" si="4"/>
        <v>1.0204081632653061</v>
      </c>
      <c r="AC11" s="1325">
        <f t="shared" si="5"/>
        <v>1.0309278350515463</v>
      </c>
    </row>
    <row r="12" spans="1:29" s="412" customFormat="1" ht="15">
      <c r="A12" s="777"/>
      <c r="B12" s="1034">
        <v>111</v>
      </c>
      <c r="C12" s="1027">
        <v>111</v>
      </c>
      <c r="D12" s="779">
        <v>100</v>
      </c>
      <c r="E12" s="1361">
        <v>222</v>
      </c>
      <c r="F12" s="429">
        <f>SUMIF(57:57,E12,58:58)-SUMIF(57:57,C12,58:58)+100</f>
        <v>98</v>
      </c>
      <c r="G12" s="1361">
        <v>333</v>
      </c>
      <c r="H12" s="429">
        <f>SUMIF(57:57,G12,58:58)-SUMIF(57:57,C12,58:58)+100</f>
        <v>96</v>
      </c>
      <c r="I12" s="1361">
        <v>444</v>
      </c>
      <c r="J12" s="429">
        <f>SUMIF(57:57,I12,58:58)-SUMIF(57:57,C12,58:58)+100</f>
        <v>94</v>
      </c>
      <c r="K12" s="959"/>
      <c r="L12" s="2357"/>
      <c r="M12" s="2358"/>
      <c r="N12" s="2358"/>
      <c r="O12" s="2359"/>
      <c r="P12" s="3854"/>
      <c r="Q12" s="302">
        <f t="shared" si="6"/>
        <v>111</v>
      </c>
      <c r="R12" s="1322" t="s">
        <v>70</v>
      </c>
      <c r="S12" s="1323">
        <f t="shared" si="0"/>
        <v>98</v>
      </c>
      <c r="T12" s="1322" t="s">
        <v>70</v>
      </c>
      <c r="U12" s="1323">
        <f t="shared" si="1"/>
        <v>96</v>
      </c>
      <c r="V12" s="1322" t="s">
        <v>70</v>
      </c>
      <c r="W12" s="1323">
        <f t="shared" si="2"/>
        <v>94</v>
      </c>
      <c r="X12" s="1324"/>
      <c r="Y12" s="3725"/>
      <c r="Z12" s="350">
        <f t="shared" si="7"/>
        <v>111</v>
      </c>
      <c r="AA12" s="1325">
        <f>D12/F12</f>
        <v>1.0204081632653061</v>
      </c>
      <c r="AB12" s="1325">
        <f>D12/H12</f>
        <v>1.0416666666666667</v>
      </c>
      <c r="AC12" s="1325">
        <f>D12/J12</f>
        <v>1.0638297872340425</v>
      </c>
    </row>
    <row r="13" spans="1:29" ht="15.75" thickBot="1">
      <c r="A13" s="774"/>
      <c r="B13" s="1034">
        <v>111</v>
      </c>
      <c r="C13" s="93">
        <v>111</v>
      </c>
      <c r="D13" s="781">
        <v>100</v>
      </c>
      <c r="E13" s="1361">
        <v>222</v>
      </c>
      <c r="F13" s="429">
        <f>SUMIF(59:59,E13,60:60)-SUMIF(59:59,C13,60:60)+100</f>
        <v>97</v>
      </c>
      <c r="G13" s="1361">
        <v>333</v>
      </c>
      <c r="H13" s="781">
        <f>SUMIF(59:59,G13,60:60)-SUMIF(59:59,C13,60:60)+100</f>
        <v>94</v>
      </c>
      <c r="I13" s="1361">
        <v>444</v>
      </c>
      <c r="J13" s="781">
        <f>SUMIF(59:59,I13,60:60)-SUMIF(59:59,C13,60:60)+100</f>
        <v>91</v>
      </c>
      <c r="K13" s="959"/>
      <c r="L13" s="2365"/>
      <c r="M13" s="2356"/>
      <c r="N13" s="2356"/>
      <c r="O13" s="2364"/>
      <c r="P13" s="3854"/>
      <c r="Q13" s="302">
        <f t="shared" si="6"/>
        <v>111</v>
      </c>
      <c r="R13" s="1322" t="s">
        <v>70</v>
      </c>
      <c r="S13" s="1323">
        <f t="shared" si="0"/>
        <v>97</v>
      </c>
      <c r="T13" s="1322" t="s">
        <v>70</v>
      </c>
      <c r="U13" s="1323">
        <f t="shared" si="1"/>
        <v>94</v>
      </c>
      <c r="V13" s="1322" t="s">
        <v>70</v>
      </c>
      <c r="W13" s="1323">
        <f t="shared" si="2"/>
        <v>91</v>
      </c>
      <c r="X13" s="1324"/>
      <c r="Y13" s="3725"/>
      <c r="Z13" s="350">
        <f t="shared" si="7"/>
        <v>111</v>
      </c>
      <c r="AA13" s="1325">
        <f t="shared" si="3"/>
        <v>1.0309278350515463</v>
      </c>
      <c r="AB13" s="1325">
        <f t="shared" si="4"/>
        <v>1.0638297872340425</v>
      </c>
      <c r="AC13" s="1325">
        <f t="shared" si="5"/>
        <v>1.098901098901099</v>
      </c>
    </row>
    <row r="14" spans="1:29" ht="162">
      <c r="A14" s="786" t="s">
        <v>575</v>
      </c>
      <c r="B14" s="365" t="s">
        <v>645</v>
      </c>
      <c r="C14" s="212" t="str">
        <f>IF(B1="工业",估价对象房地状况!G4,估价对象房地状况!C6)</f>
        <v>估价对象周边有938、香河1路等公交线路，大香线等城市次干道，公共交通通达情况一般；项目自身有停车位、停车便捷程度一般，综合评价交通便捷度一般</v>
      </c>
      <c r="D14" s="787">
        <v>100</v>
      </c>
      <c r="E14" s="95"/>
      <c r="F14" s="789">
        <f>SUMIF(61:61,E15,62:62)-SUMIF(61:61,C15,62:62)+100</f>
        <v>102</v>
      </c>
      <c r="G14" s="96"/>
      <c r="H14" s="787">
        <f>SUMIF(61:61,G15,62:62)-SUMIF(61:61,C15,62:62)+100</f>
        <v>98</v>
      </c>
      <c r="I14" s="95"/>
      <c r="J14" s="787">
        <f>SUMIF(61:61,I15,62:62)-SUMIF(61:61,C15,62:62)+100</f>
        <v>96</v>
      </c>
      <c r="K14" s="960">
        <v>2</v>
      </c>
      <c r="L14" s="2365"/>
      <c r="M14" s="2356"/>
      <c r="N14" s="2356"/>
      <c r="O14" s="2364"/>
      <c r="P14" s="3869" t="s">
        <v>576</v>
      </c>
      <c r="Q14" s="1326" t="str">
        <f t="shared" si="6"/>
        <v>交通便捷度</v>
      </c>
      <c r="R14" s="1327" t="s">
        <v>70</v>
      </c>
      <c r="S14" s="1328">
        <f t="shared" si="0"/>
        <v>102</v>
      </c>
      <c r="T14" s="1327" t="s">
        <v>70</v>
      </c>
      <c r="U14" s="1328">
        <f t="shared" si="1"/>
        <v>98</v>
      </c>
      <c r="V14" s="1327" t="s">
        <v>70</v>
      </c>
      <c r="W14" s="1328">
        <f t="shared" si="2"/>
        <v>96</v>
      </c>
      <c r="X14" s="1321"/>
      <c r="Y14" s="3869" t="s">
        <v>576</v>
      </c>
      <c r="Z14" s="1329" t="str">
        <f t="shared" si="7"/>
        <v>交通便捷度</v>
      </c>
      <c r="AA14" s="1330">
        <f t="shared" si="3"/>
        <v>0.98039215686274506</v>
      </c>
      <c r="AB14" s="1330">
        <f t="shared" si="4"/>
        <v>1.0204081632653061</v>
      </c>
      <c r="AC14" s="1330">
        <f t="shared" si="5"/>
        <v>1.0416666666666667</v>
      </c>
    </row>
    <row r="15" spans="1:29" ht="15">
      <c r="A15" s="774"/>
      <c r="B15" s="792"/>
      <c r="C15" s="97" t="s">
        <v>2800</v>
      </c>
      <c r="D15" s="794"/>
      <c r="E15" s="793" t="s">
        <v>578</v>
      </c>
      <c r="F15" s="795"/>
      <c r="G15" s="793" t="s">
        <v>616</v>
      </c>
      <c r="H15" s="796"/>
      <c r="I15" s="793" t="s">
        <v>617</v>
      </c>
      <c r="J15" s="794"/>
      <c r="K15" s="961"/>
      <c r="L15" s="2365"/>
      <c r="M15" s="2356"/>
      <c r="N15" s="2356"/>
      <c r="O15" s="2364"/>
      <c r="P15" s="3870"/>
      <c r="Q15" s="1326"/>
      <c r="R15" s="1327"/>
      <c r="S15" s="1328"/>
      <c r="T15" s="1327"/>
      <c r="U15" s="1328"/>
      <c r="V15" s="1327"/>
      <c r="W15" s="1328"/>
      <c r="X15" s="1321"/>
      <c r="Y15" s="3870"/>
      <c r="Z15" s="1329"/>
      <c r="AA15" s="1330">
        <v>1</v>
      </c>
      <c r="AB15" s="1330">
        <v>1</v>
      </c>
      <c r="AC15" s="1330">
        <v>1</v>
      </c>
    </row>
    <row r="16" spans="1:29" ht="81">
      <c r="A16" s="774"/>
      <c r="B16" s="1359" t="s">
        <v>3067</v>
      </c>
      <c r="C16" s="158" t="str">
        <f>IF(B1="工业",估价对象房地状况!G5,估价对象房地状况!C7)</f>
        <v>估价对象所在区域公共配套，有银行、医院、邮局等，设施齐备度较好</v>
      </c>
      <c r="D16" s="801">
        <v>100</v>
      </c>
      <c r="E16" s="105"/>
      <c r="F16" s="804">
        <f>SUMIF(63:63,E17,64:64)-SUMIF(63:63,C17,64:64)+100</f>
        <v>98</v>
      </c>
      <c r="G16" s="106"/>
      <c r="H16" s="801">
        <f>SUMIF(63:63,G17,64:64)-SUMIF(63:63,C17,64:64)+100</f>
        <v>96</v>
      </c>
      <c r="I16" s="105"/>
      <c r="J16" s="801">
        <f>SUMIF(63:63,I17,64:64)-SUMIF(63:63,C17,64:64)+100</f>
        <v>102</v>
      </c>
      <c r="K16" s="960">
        <v>2</v>
      </c>
      <c r="L16" s="2365"/>
      <c r="M16" s="2356"/>
      <c r="N16" s="2356"/>
      <c r="O16" s="2364"/>
      <c r="P16" s="3870"/>
      <c r="Q16" s="1326" t="str">
        <f>B16</f>
        <v>公共配套设施</v>
      </c>
      <c r="R16" s="1327" t="s">
        <v>70</v>
      </c>
      <c r="S16" s="1328">
        <f>F16</f>
        <v>98</v>
      </c>
      <c r="T16" s="1327" t="s">
        <v>70</v>
      </c>
      <c r="U16" s="1328">
        <f>H16</f>
        <v>96</v>
      </c>
      <c r="V16" s="1327" t="s">
        <v>70</v>
      </c>
      <c r="W16" s="1328">
        <f>J16</f>
        <v>102</v>
      </c>
      <c r="X16" s="1321"/>
      <c r="Y16" s="3870"/>
      <c r="Z16" s="1329" t="str">
        <f>Q16</f>
        <v>公共配套设施</v>
      </c>
      <c r="AA16" s="1330">
        <f t="shared" si="3"/>
        <v>1.0204081632653061</v>
      </c>
      <c r="AB16" s="1330">
        <f t="shared" si="4"/>
        <v>1.0416666666666667</v>
      </c>
      <c r="AC16" s="1330">
        <f t="shared" si="5"/>
        <v>0.98039215686274506</v>
      </c>
    </row>
    <row r="17" spans="1:29" ht="15">
      <c r="A17" s="774"/>
      <c r="B17" s="802"/>
      <c r="C17" s="102" t="s">
        <v>2801</v>
      </c>
      <c r="D17" s="794"/>
      <c r="E17" s="793" t="s">
        <v>577</v>
      </c>
      <c r="F17" s="795"/>
      <c r="G17" s="793" t="s">
        <v>616</v>
      </c>
      <c r="H17" s="794"/>
      <c r="I17" s="793" t="s">
        <v>579</v>
      </c>
      <c r="J17" s="794"/>
      <c r="K17" s="961"/>
      <c r="L17" s="2365"/>
      <c r="M17" s="2356"/>
      <c r="N17" s="2356"/>
      <c r="O17" s="2364"/>
      <c r="P17" s="3870"/>
      <c r="Q17" s="1326"/>
      <c r="R17" s="1327"/>
      <c r="S17" s="1328"/>
      <c r="T17" s="1327"/>
      <c r="U17" s="1328"/>
      <c r="V17" s="1327"/>
      <c r="W17" s="1328"/>
      <c r="X17" s="1321"/>
      <c r="Y17" s="3870"/>
      <c r="Z17" s="1329"/>
      <c r="AA17" s="1330">
        <v>1</v>
      </c>
      <c r="AB17" s="1330">
        <v>1</v>
      </c>
      <c r="AC17" s="1330">
        <v>1</v>
      </c>
    </row>
    <row r="18" spans="1:29" ht="40.5">
      <c r="A18" s="774"/>
      <c r="B18" s="1415" t="s">
        <v>3069</v>
      </c>
      <c r="C18" s="158" t="str">
        <f>IF(B1="工业",估价对象房地状况!G6,估价对象房地状况!C8)</f>
        <v>估价对象所在区域基础设施水平七通一平</v>
      </c>
      <c r="D18" s="801">
        <v>100</v>
      </c>
      <c r="E18" s="100"/>
      <c r="F18" s="804">
        <f>SUMIF(65:65,E19,66:66)-SUMIF(65:65,C19,66:66)+100</f>
        <v>98.5</v>
      </c>
      <c r="G18" s="101"/>
      <c r="H18" s="801">
        <f>SUMIF(65:65,G19,66:66)-SUMIF(65:65,C19,66:66)+100</f>
        <v>97</v>
      </c>
      <c r="I18" s="105"/>
      <c r="J18" s="801">
        <f>SUMIF(65:65,I19,66:66)-SUMIF(65:65,C19,66:66)+100</f>
        <v>95.5</v>
      </c>
      <c r="K18" s="960">
        <v>1.5</v>
      </c>
      <c r="L18" s="2365"/>
      <c r="M18" s="2356"/>
      <c r="N18" s="2356"/>
      <c r="O18" s="2364"/>
      <c r="P18" s="3870"/>
      <c r="Q18" s="2765" t="str">
        <f>B18</f>
        <v>基础设施水平</v>
      </c>
      <c r="R18" s="1327" t="s">
        <v>70</v>
      </c>
      <c r="S18" s="1328">
        <f>F18</f>
        <v>98.5</v>
      </c>
      <c r="T18" s="1327" t="s">
        <v>70</v>
      </c>
      <c r="U18" s="1328">
        <f>H18</f>
        <v>97</v>
      </c>
      <c r="V18" s="1327" t="s">
        <v>70</v>
      </c>
      <c r="W18" s="1328">
        <f>J18</f>
        <v>95.5</v>
      </c>
      <c r="X18" s="2767"/>
      <c r="Y18" s="3870"/>
      <c r="Z18" s="2766" t="str">
        <f>Q18</f>
        <v>基础设施水平</v>
      </c>
      <c r="AA18" s="1330">
        <f t="shared" ref="AA18" si="8">D18/F18</f>
        <v>1.015228426395939</v>
      </c>
      <c r="AB18" s="1330">
        <f t="shared" ref="AB18" si="9">D18/H18</f>
        <v>1.0309278350515463</v>
      </c>
      <c r="AC18" s="1330">
        <f t="shared" ref="AC18" si="10">D18/J18</f>
        <v>1.0471204188481675</v>
      </c>
    </row>
    <row r="19" spans="1:29" ht="15">
      <c r="A19" s="774"/>
      <c r="B19" s="2785"/>
      <c r="C19" s="102" t="s">
        <v>56</v>
      </c>
      <c r="D19" s="796"/>
      <c r="E19" s="102" t="s">
        <v>161</v>
      </c>
      <c r="F19" s="799"/>
      <c r="G19" s="102" t="s">
        <v>162</v>
      </c>
      <c r="H19" s="794"/>
      <c r="I19" s="97" t="s">
        <v>258</v>
      </c>
      <c r="J19" s="794"/>
      <c r="K19" s="2783"/>
      <c r="L19" s="2365"/>
      <c r="M19" s="2356"/>
      <c r="N19" s="2356"/>
      <c r="O19" s="2364"/>
      <c r="P19" s="3870"/>
      <c r="Q19" s="2765"/>
      <c r="R19" s="1327"/>
      <c r="S19" s="1328"/>
      <c r="T19" s="1327"/>
      <c r="U19" s="1328"/>
      <c r="V19" s="1327"/>
      <c r="W19" s="1328"/>
      <c r="X19" s="2767"/>
      <c r="Y19" s="3870"/>
      <c r="Z19" s="2766"/>
      <c r="AA19" s="1330">
        <v>1</v>
      </c>
      <c r="AB19" s="1330">
        <v>1</v>
      </c>
      <c r="AC19" s="1330">
        <v>1</v>
      </c>
    </row>
    <row r="20" spans="1:29" ht="81">
      <c r="A20" s="774"/>
      <c r="B20" s="797" t="s">
        <v>646</v>
      </c>
      <c r="C20" s="158" t="str">
        <f>IF(B1="工业",估价对象房地状况!G7,估价对象房地状况!C9)</f>
        <v>区域自然环境：无；人文环境：亚太中医哮喘病研究所；综合评价环境状况一般</v>
      </c>
      <c r="D20" s="801">
        <v>100</v>
      </c>
      <c r="E20" s="105"/>
      <c r="F20" s="804">
        <f>SUMIF(67:67,E21,68:68)-SUMIF(67:67,C21,68:68)+100</f>
        <v>97</v>
      </c>
      <c r="G20" s="106"/>
      <c r="H20" s="796">
        <f>SUMIF(67:67,G21,68:68)-SUMIF(67:67,C21,68:68)+100</f>
        <v>103</v>
      </c>
      <c r="I20" s="100"/>
      <c r="J20" s="796">
        <f>SUMIF(67:67,I21,68:68)-SUMIF(67:67,C21,68:68)+100</f>
        <v>106</v>
      </c>
      <c r="K20" s="960">
        <v>3</v>
      </c>
      <c r="L20" s="2365"/>
      <c r="M20" s="2356"/>
      <c r="N20" s="2356"/>
      <c r="O20" s="2364"/>
      <c r="P20" s="3870"/>
      <c r="Q20" s="1326" t="str">
        <f>B20</f>
        <v>自然及人文环境</v>
      </c>
      <c r="R20" s="1327" t="s">
        <v>70</v>
      </c>
      <c r="S20" s="1328">
        <f>F20</f>
        <v>97</v>
      </c>
      <c r="T20" s="1327" t="s">
        <v>70</v>
      </c>
      <c r="U20" s="1328">
        <f>H20</f>
        <v>103</v>
      </c>
      <c r="V20" s="1327" t="s">
        <v>70</v>
      </c>
      <c r="W20" s="1328">
        <f>J20</f>
        <v>106</v>
      </c>
      <c r="X20" s="1321"/>
      <c r="Y20" s="3870"/>
      <c r="Z20" s="1329" t="str">
        <f>Q20</f>
        <v>自然及人文环境</v>
      </c>
      <c r="AA20" s="1330">
        <f t="shared" si="3"/>
        <v>1.0309278350515463</v>
      </c>
      <c r="AB20" s="1330">
        <f t="shared" si="4"/>
        <v>0.970873786407767</v>
      </c>
      <c r="AC20" s="1330">
        <f t="shared" si="5"/>
        <v>0.94339622641509435</v>
      </c>
    </row>
    <row r="21" spans="1:29" ht="15">
      <c r="A21" s="774"/>
      <c r="B21" s="802"/>
      <c r="C21" s="793" t="s">
        <v>577</v>
      </c>
      <c r="D21" s="794"/>
      <c r="E21" s="793" t="s">
        <v>616</v>
      </c>
      <c r="F21" s="795"/>
      <c r="G21" s="793" t="s">
        <v>578</v>
      </c>
      <c r="H21" s="794"/>
      <c r="I21" s="793" t="s">
        <v>579</v>
      </c>
      <c r="J21" s="794"/>
      <c r="K21" s="961"/>
      <c r="L21" s="2365"/>
      <c r="M21" s="2356"/>
      <c r="N21" s="2356"/>
      <c r="O21" s="2364"/>
      <c r="P21" s="3870"/>
      <c r="Q21" s="1326"/>
      <c r="R21" s="1327"/>
      <c r="S21" s="1328"/>
      <c r="T21" s="1327"/>
      <c r="U21" s="1328"/>
      <c r="V21" s="1327"/>
      <c r="W21" s="1328"/>
      <c r="X21" s="1321"/>
      <c r="Y21" s="3870"/>
      <c r="Z21" s="1329"/>
      <c r="AA21" s="1330">
        <v>1</v>
      </c>
      <c r="AB21" s="1330">
        <v>1</v>
      </c>
      <c r="AC21" s="1330">
        <v>1</v>
      </c>
    </row>
    <row r="22" spans="1:29" ht="15">
      <c r="A22" s="774"/>
      <c r="B22" s="797" t="s">
        <v>647</v>
      </c>
      <c r="C22" s="962" t="s">
        <v>619</v>
      </c>
      <c r="D22" s="796">
        <v>100</v>
      </c>
      <c r="E22" s="962" t="s">
        <v>648</v>
      </c>
      <c r="F22" s="807">
        <f>SUMIF(69:69,E22,70:70)-SUMIF(69:69,C22,70:70)+100</f>
        <v>98</v>
      </c>
      <c r="G22" s="962" t="s">
        <v>648</v>
      </c>
      <c r="H22" s="781">
        <f>SUMIF(69:69,G22,70:70)-SUMIF(69:69,C22,70:70)+100</f>
        <v>98</v>
      </c>
      <c r="I22" s="962" t="s">
        <v>619</v>
      </c>
      <c r="J22" s="781">
        <f>SUMIF(69:69,I22,70:70)-SUMIF(69:69,C22,70:70)+100</f>
        <v>100</v>
      </c>
      <c r="K22" s="958">
        <v>2</v>
      </c>
      <c r="L22" s="2365"/>
      <c r="M22" s="2356"/>
      <c r="N22" s="2356"/>
      <c r="O22" s="2364"/>
      <c r="P22" s="3870"/>
      <c r="Q22" s="1326" t="str">
        <f>B22</f>
        <v>楼层</v>
      </c>
      <c r="R22" s="1327" t="s">
        <v>70</v>
      </c>
      <c r="S22" s="1328">
        <f>F22</f>
        <v>98</v>
      </c>
      <c r="T22" s="1327" t="s">
        <v>70</v>
      </c>
      <c r="U22" s="1328">
        <f>H22</f>
        <v>98</v>
      </c>
      <c r="V22" s="1327" t="s">
        <v>70</v>
      </c>
      <c r="W22" s="1328">
        <f>J22</f>
        <v>100</v>
      </c>
      <c r="X22" s="1321"/>
      <c r="Y22" s="3870"/>
      <c r="Z22" s="1329" t="str">
        <f>Q22</f>
        <v>楼层</v>
      </c>
      <c r="AA22" s="1330">
        <f t="shared" si="3"/>
        <v>1.0204081632653061</v>
      </c>
      <c r="AB22" s="1330">
        <f t="shared" si="4"/>
        <v>1.0204081632653061</v>
      </c>
      <c r="AC22" s="1330">
        <f t="shared" si="5"/>
        <v>1</v>
      </c>
    </row>
    <row r="23" spans="1:29" ht="15">
      <c r="A23" s="750"/>
      <c r="B23" s="1034">
        <v>111</v>
      </c>
      <c r="C23" s="1027">
        <v>111</v>
      </c>
      <c r="D23" s="781">
        <v>100</v>
      </c>
      <c r="E23" s="93">
        <v>222</v>
      </c>
      <c r="F23" s="807">
        <f>SUMIF(71:71,E23,72:72)-SUMIF(71:71,C23,72:72)+100</f>
        <v>99</v>
      </c>
      <c r="G23" s="93">
        <v>333</v>
      </c>
      <c r="H23" s="781">
        <f>SUMIF(71:71,G23,72:72)-SUMIF(71:71,C23,72:72)+100</f>
        <v>98</v>
      </c>
      <c r="I23" s="93">
        <v>444</v>
      </c>
      <c r="J23" s="781">
        <f>SUMIF(71:71,I23,72:72)-SUMIF(71:71,C23,72:72)+100</f>
        <v>97</v>
      </c>
      <c r="K23" s="959"/>
      <c r="L23" s="2365"/>
      <c r="M23" s="2356"/>
      <c r="N23" s="2356"/>
      <c r="O23" s="2364"/>
      <c r="P23" s="3870"/>
      <c r="Q23" s="1326">
        <f>B23</f>
        <v>111</v>
      </c>
      <c r="R23" s="1327" t="s">
        <v>70</v>
      </c>
      <c r="S23" s="1328">
        <f>F23</f>
        <v>99</v>
      </c>
      <c r="T23" s="1327" t="s">
        <v>70</v>
      </c>
      <c r="U23" s="1328">
        <f>H23</f>
        <v>98</v>
      </c>
      <c r="V23" s="1327" t="s">
        <v>70</v>
      </c>
      <c r="W23" s="1328">
        <f>J23</f>
        <v>97</v>
      </c>
      <c r="X23" s="1321"/>
      <c r="Y23" s="3870"/>
      <c r="Z23" s="1329">
        <f>Q23</f>
        <v>111</v>
      </c>
      <c r="AA23" s="1330">
        <f t="shared" si="3"/>
        <v>1.0101010101010102</v>
      </c>
      <c r="AB23" s="1330">
        <f t="shared" si="4"/>
        <v>1.0204081632653061</v>
      </c>
      <c r="AC23" s="1330">
        <f t="shared" si="5"/>
        <v>1.0309278350515463</v>
      </c>
    </row>
    <row r="24" spans="1:29" ht="15">
      <c r="A24" s="774"/>
      <c r="B24" s="1034">
        <v>111</v>
      </c>
      <c r="C24" s="1027">
        <v>111</v>
      </c>
      <c r="D24" s="781">
        <v>100</v>
      </c>
      <c r="E24" s="93">
        <v>222</v>
      </c>
      <c r="F24" s="807">
        <f>SUMIF(73:73,E24,74:74)-SUMIF(73:73,C24,74:74)+100</f>
        <v>98</v>
      </c>
      <c r="G24" s="93">
        <v>333</v>
      </c>
      <c r="H24" s="781">
        <f>SUMIF(73:73,G24,74:74)-SUMIF(73:73,C24,74:74)+100</f>
        <v>96</v>
      </c>
      <c r="I24" s="93">
        <v>444</v>
      </c>
      <c r="J24" s="781">
        <f>SUMIF(73:73,I24,74:74)-SUMIF(73:73,C24,74:74)+100</f>
        <v>94</v>
      </c>
      <c r="K24" s="959"/>
      <c r="L24" s="2365"/>
      <c r="M24" s="2356"/>
      <c r="N24" s="2356"/>
      <c r="O24" s="2364"/>
      <c r="P24" s="3870"/>
      <c r="Q24" s="1326">
        <f t="shared" ref="Q24:Q34" si="11">B24</f>
        <v>111</v>
      </c>
      <c r="R24" s="1327" t="s">
        <v>70</v>
      </c>
      <c r="S24" s="1328">
        <f>F24</f>
        <v>98</v>
      </c>
      <c r="T24" s="1327" t="s">
        <v>70</v>
      </c>
      <c r="U24" s="1328">
        <f>H24</f>
        <v>96</v>
      </c>
      <c r="V24" s="1327" t="s">
        <v>70</v>
      </c>
      <c r="W24" s="1328">
        <f>J24</f>
        <v>94</v>
      </c>
      <c r="X24" s="1321"/>
      <c r="Y24" s="3870"/>
      <c r="Z24" s="1329">
        <f>Q24</f>
        <v>111</v>
      </c>
      <c r="AA24" s="1330">
        <f t="shared" si="3"/>
        <v>1.0204081632653061</v>
      </c>
      <c r="AB24" s="1330">
        <f t="shared" si="4"/>
        <v>1.0416666666666667</v>
      </c>
      <c r="AC24" s="1330">
        <f t="shared" si="5"/>
        <v>1.0638297872340425</v>
      </c>
    </row>
    <row r="25" spans="1:29" s="412" customFormat="1" ht="15.75" thickBot="1">
      <c r="A25" s="777"/>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57"/>
      <c r="M25" s="2358"/>
      <c r="N25" s="2358"/>
      <c r="O25" s="2359"/>
      <c r="P25" s="3870"/>
      <c r="Q25" s="302">
        <f t="shared" si="11"/>
        <v>111</v>
      </c>
      <c r="R25" s="1322" t="s">
        <v>70</v>
      </c>
      <c r="S25" s="1323">
        <f>F25</f>
        <v>97</v>
      </c>
      <c r="T25" s="1322" t="s">
        <v>70</v>
      </c>
      <c r="U25" s="1323">
        <f>H25</f>
        <v>94</v>
      </c>
      <c r="V25" s="1322" t="s">
        <v>70</v>
      </c>
      <c r="W25" s="1323">
        <f>J25</f>
        <v>91</v>
      </c>
      <c r="X25" s="1324"/>
      <c r="Y25" s="3870"/>
      <c r="Z25" s="350">
        <f>Q25</f>
        <v>111</v>
      </c>
      <c r="AA25" s="1330">
        <f>D25/F25</f>
        <v>1.0309278350515463</v>
      </c>
      <c r="AB25" s="1330">
        <f>D25/H25</f>
        <v>1.0638297872340425</v>
      </c>
      <c r="AC25" s="1330">
        <f>D25/J25</f>
        <v>1.098901098901099</v>
      </c>
    </row>
    <row r="26" spans="1:29" ht="15">
      <c r="A26" s="812" t="s">
        <v>580</v>
      </c>
      <c r="B26" s="367" t="s">
        <v>656</v>
      </c>
      <c r="C26" s="197" t="s">
        <v>132</v>
      </c>
      <c r="D26" s="813">
        <v>100</v>
      </c>
      <c r="E26" s="197" t="s">
        <v>304</v>
      </c>
      <c r="F26" s="1013">
        <f>SUMIF(77:77,E26,78:78)-SUMIF(77:77,C26,78:78)+100</f>
        <v>97</v>
      </c>
      <c r="G26" s="197" t="s">
        <v>132</v>
      </c>
      <c r="H26" s="813">
        <f>SUMIF(77:77,G26,78:78)-SUMIF(77:77,C26,78:78)+100</f>
        <v>100</v>
      </c>
      <c r="I26" s="197" t="s">
        <v>304</v>
      </c>
      <c r="J26" s="813">
        <f>SUMIF(77:77,I26,78:78)-SUMIF(77:77,C26,78:78)+100</f>
        <v>97</v>
      </c>
      <c r="K26" s="958">
        <v>3</v>
      </c>
      <c r="L26" s="2365"/>
      <c r="M26" s="2356"/>
      <c r="N26" s="2356"/>
      <c r="O26" s="2364"/>
      <c r="P26" s="3871" t="s">
        <v>688</v>
      </c>
      <c r="Q26" s="1326" t="str">
        <f t="shared" si="11"/>
        <v>公共部分装修</v>
      </c>
      <c r="R26" s="1327" t="s">
        <v>70</v>
      </c>
      <c r="S26" s="1328">
        <f t="shared" ref="S26:S34" si="12">F26</f>
        <v>97</v>
      </c>
      <c r="T26" s="1327" t="s">
        <v>70</v>
      </c>
      <c r="U26" s="1328">
        <f t="shared" ref="U26:U34" si="13">H26</f>
        <v>100</v>
      </c>
      <c r="V26" s="1327" t="s">
        <v>70</v>
      </c>
      <c r="W26" s="1328">
        <f t="shared" ref="W26:W34" si="14">J26</f>
        <v>97</v>
      </c>
      <c r="X26" s="1321"/>
      <c r="Y26" s="3872" t="s">
        <v>688</v>
      </c>
      <c r="Z26" s="1329" t="str">
        <f t="shared" ref="Z26:Z34" si="15">Q26</f>
        <v>公共部分装修</v>
      </c>
      <c r="AA26" s="1330">
        <f t="shared" si="3"/>
        <v>1.0309278350515463</v>
      </c>
      <c r="AB26" s="1330">
        <f t="shared" si="4"/>
        <v>1</v>
      </c>
      <c r="AC26" s="1330">
        <f t="shared" si="5"/>
        <v>1.0309278350515463</v>
      </c>
    </row>
    <row r="27" spans="1:29" s="817" customFormat="1" ht="15">
      <c r="A27" s="814"/>
      <c r="B27" s="768" t="s">
        <v>657</v>
      </c>
      <c r="C27" s="820">
        <v>0.85</v>
      </c>
      <c r="D27" s="429">
        <v>100</v>
      </c>
      <c r="E27" s="821">
        <v>0.9</v>
      </c>
      <c r="F27" s="807">
        <f>LOOKUP(E27,80:80,81:81)-LOOKUP(C27,80:80,81:81)+100</f>
        <v>102</v>
      </c>
      <c r="G27" s="822">
        <v>0.95</v>
      </c>
      <c r="H27" s="781">
        <f>LOOKUP(G27,80:80,81:81)-LOOKUP(C27,80:80,81:81)+100</f>
        <v>102</v>
      </c>
      <c r="I27" s="822">
        <v>0.8</v>
      </c>
      <c r="J27" s="781">
        <f>LOOKUP(I27,80:80,81:81)-LOOKUP(C27,80:80,81:81)+100</f>
        <v>100</v>
      </c>
      <c r="K27" s="958">
        <v>2</v>
      </c>
      <c r="L27" s="2363"/>
      <c r="M27" s="2366"/>
      <c r="N27" s="2366"/>
      <c r="O27" s="2367"/>
      <c r="P27" s="3872"/>
      <c r="Q27" s="1331" t="str">
        <f t="shared" si="11"/>
        <v>成新率</v>
      </c>
      <c r="R27" s="1332" t="s">
        <v>70</v>
      </c>
      <c r="S27" s="1333">
        <f t="shared" si="12"/>
        <v>102</v>
      </c>
      <c r="T27" s="1332" t="s">
        <v>70</v>
      </c>
      <c r="U27" s="1333">
        <f t="shared" si="13"/>
        <v>102</v>
      </c>
      <c r="V27" s="1332" t="s">
        <v>70</v>
      </c>
      <c r="W27" s="1333">
        <f t="shared" si="14"/>
        <v>100</v>
      </c>
      <c r="X27" s="1334"/>
      <c r="Y27" s="3872"/>
      <c r="Z27" s="1335" t="str">
        <f t="shared" si="15"/>
        <v>成新率</v>
      </c>
      <c r="AA27" s="1330">
        <f t="shared" si="3"/>
        <v>0.98039215686274506</v>
      </c>
      <c r="AB27" s="1330">
        <f t="shared" si="4"/>
        <v>0.98039215686274506</v>
      </c>
      <c r="AC27" s="1330">
        <f t="shared" si="5"/>
        <v>1</v>
      </c>
    </row>
    <row r="28" spans="1:29" ht="15">
      <c r="A28" s="818"/>
      <c r="B28" s="768" t="s">
        <v>658</v>
      </c>
      <c r="C28" s="107" t="s">
        <v>233</v>
      </c>
      <c r="D28" s="781">
        <v>100</v>
      </c>
      <c r="E28" s="107" t="s">
        <v>235</v>
      </c>
      <c r="F28" s="807">
        <f>SUMIF(82:82,E28,83:83)-SUMIF(82:82,C28,83:83)+100</f>
        <v>94</v>
      </c>
      <c r="G28" s="107" t="s">
        <v>234</v>
      </c>
      <c r="H28" s="781">
        <f>SUMIF(82:82,G28,83:83)-SUMIF(82:82,C28,83:83)+100</f>
        <v>97</v>
      </c>
      <c r="I28" s="107" t="s">
        <v>233</v>
      </c>
      <c r="J28" s="781">
        <f>SUMIF(82:82,I28,83:83)-SUMIF(82:82,C28,83:83)+100</f>
        <v>100</v>
      </c>
      <c r="K28" s="958">
        <v>3</v>
      </c>
      <c r="L28" s="2365"/>
      <c r="M28" s="2356"/>
      <c r="N28" s="2356"/>
      <c r="O28" s="2364"/>
      <c r="P28" s="3872"/>
      <c r="Q28" s="1326" t="str">
        <f t="shared" si="11"/>
        <v>物业等级</v>
      </c>
      <c r="R28" s="1327" t="s">
        <v>70</v>
      </c>
      <c r="S28" s="1328">
        <f t="shared" si="12"/>
        <v>94</v>
      </c>
      <c r="T28" s="1327" t="s">
        <v>70</v>
      </c>
      <c r="U28" s="1328">
        <f t="shared" si="13"/>
        <v>97</v>
      </c>
      <c r="V28" s="1327" t="s">
        <v>70</v>
      </c>
      <c r="W28" s="1328">
        <f t="shared" si="14"/>
        <v>100</v>
      </c>
      <c r="X28" s="1321"/>
      <c r="Y28" s="3872"/>
      <c r="Z28" s="1329" t="str">
        <f t="shared" si="15"/>
        <v>物业等级</v>
      </c>
      <c r="AA28" s="1330">
        <f t="shared" si="3"/>
        <v>1.0638297872340425</v>
      </c>
      <c r="AB28" s="1330">
        <f t="shared" si="4"/>
        <v>1.0309278350515463</v>
      </c>
      <c r="AC28" s="1330">
        <f t="shared" si="5"/>
        <v>1</v>
      </c>
    </row>
    <row r="29" spans="1:29" ht="15">
      <c r="A29" s="818"/>
      <c r="B29" s="768" t="s">
        <v>689</v>
      </c>
      <c r="C29" s="1416" t="s">
        <v>239</v>
      </c>
      <c r="D29" s="781">
        <v>100</v>
      </c>
      <c r="E29" s="1416" t="s">
        <v>240</v>
      </c>
      <c r="F29" s="807">
        <f>SUMIF(84:84,E29,85:85)-SUMIF(84:84,C29,85:85)+100</f>
        <v>98</v>
      </c>
      <c r="G29" s="1416" t="s">
        <v>239</v>
      </c>
      <c r="H29" s="781">
        <f>SUMIF(84:84,G29,85:85)-SUMIF(84:84,C29,85:85)+100</f>
        <v>100</v>
      </c>
      <c r="I29" s="1416" t="s">
        <v>240</v>
      </c>
      <c r="J29" s="781">
        <f>SUMIF(84:84,I29,85:85)-SUMIF(84:84,C29,85:85)+100</f>
        <v>98</v>
      </c>
      <c r="K29" s="958">
        <v>2</v>
      </c>
      <c r="L29" s="2365"/>
      <c r="M29" s="2356"/>
      <c r="N29" s="2356"/>
      <c r="O29" s="2364"/>
      <c r="P29" s="3872"/>
      <c r="Q29" s="1326" t="str">
        <f t="shared" si="11"/>
        <v>有无电梯</v>
      </c>
      <c r="R29" s="1327" t="s">
        <v>70</v>
      </c>
      <c r="S29" s="1328">
        <f t="shared" si="12"/>
        <v>98</v>
      </c>
      <c r="T29" s="1327" t="s">
        <v>70</v>
      </c>
      <c r="U29" s="1328">
        <f t="shared" si="13"/>
        <v>100</v>
      </c>
      <c r="V29" s="1327" t="s">
        <v>70</v>
      </c>
      <c r="W29" s="1328">
        <f t="shared" si="14"/>
        <v>98</v>
      </c>
      <c r="X29" s="1321"/>
      <c r="Y29" s="3872"/>
      <c r="Z29" s="1329" t="str">
        <f t="shared" si="15"/>
        <v>有无电梯</v>
      </c>
      <c r="AA29" s="1330">
        <f t="shared" si="3"/>
        <v>1.0204081632653061</v>
      </c>
      <c r="AB29" s="1330">
        <f t="shared" si="4"/>
        <v>1</v>
      </c>
      <c r="AC29" s="1330">
        <f t="shared" si="5"/>
        <v>1.0204081632653061</v>
      </c>
    </row>
    <row r="30" spans="1:29" ht="15">
      <c r="A30" s="818"/>
      <c r="B30" s="768" t="s">
        <v>690</v>
      </c>
      <c r="C30" s="815">
        <v>50</v>
      </c>
      <c r="D30" s="781">
        <v>100</v>
      </c>
      <c r="E30" s="815">
        <v>20</v>
      </c>
      <c r="F30" s="807">
        <f>LOOKUP(E30,87:87,88:88)-LOOKUP(C30,87:87,88:88)+100</f>
        <v>96</v>
      </c>
      <c r="G30" s="815">
        <v>35</v>
      </c>
      <c r="H30" s="781">
        <f>LOOKUP(G30,87:87,88:88)-LOOKUP(C30,87:87,88:88)+100</f>
        <v>98</v>
      </c>
      <c r="I30" s="815">
        <v>80</v>
      </c>
      <c r="J30" s="781">
        <f>LOOKUP(I30,87:87,88:88)-LOOKUP(C30,87:87,88:88)+100</f>
        <v>102</v>
      </c>
      <c r="K30" s="959"/>
      <c r="L30" s="2365"/>
      <c r="M30" s="2356"/>
      <c r="N30" s="2356"/>
      <c r="O30" s="2364"/>
      <c r="P30" s="3872"/>
      <c r="Q30" s="1326" t="str">
        <f t="shared" si="11"/>
        <v>建筑面积</v>
      </c>
      <c r="R30" s="1327" t="s">
        <v>70</v>
      </c>
      <c r="S30" s="1328">
        <f t="shared" si="12"/>
        <v>96</v>
      </c>
      <c r="T30" s="1327" t="s">
        <v>70</v>
      </c>
      <c r="U30" s="1328">
        <f t="shared" si="13"/>
        <v>98</v>
      </c>
      <c r="V30" s="1327" t="s">
        <v>70</v>
      </c>
      <c r="W30" s="1328">
        <f t="shared" si="14"/>
        <v>102</v>
      </c>
      <c r="X30" s="1321"/>
      <c r="Y30" s="3872"/>
      <c r="Z30" s="1329" t="str">
        <f t="shared" si="15"/>
        <v>建筑面积</v>
      </c>
      <c r="AA30" s="1330">
        <f t="shared" si="3"/>
        <v>1.0416666666666667</v>
      </c>
      <c r="AB30" s="1330">
        <f t="shared" si="4"/>
        <v>1.0204081632653061</v>
      </c>
      <c r="AC30" s="1330">
        <f t="shared" si="5"/>
        <v>0.98039215686274506</v>
      </c>
    </row>
    <row r="31" spans="1:29" s="412" customFormat="1" ht="15">
      <c r="A31" s="819"/>
      <c r="B31" s="768" t="s">
        <v>691</v>
      </c>
      <c r="C31" s="1416" t="s">
        <v>44</v>
      </c>
      <c r="D31" s="429">
        <v>100</v>
      </c>
      <c r="E31" s="1416" t="s">
        <v>39</v>
      </c>
      <c r="F31" s="807">
        <f>SUMIF(89:89,E31,90:90)-SUMIF(89:89,C31,90:90)+100</f>
        <v>102</v>
      </c>
      <c r="G31" s="1416" t="s">
        <v>39</v>
      </c>
      <c r="H31" s="781">
        <f>SUMIF(89:89,G31,90:90)-SUMIF(89:89,C31,90:90)+100</f>
        <v>102</v>
      </c>
      <c r="I31" s="1416" t="s">
        <v>44</v>
      </c>
      <c r="J31" s="781">
        <f>SUMIF(89:89,I31,90:90)-SUMIF(89:89,C31,90:90)+100</f>
        <v>100</v>
      </c>
      <c r="K31" s="958">
        <v>2</v>
      </c>
      <c r="L31" s="2357"/>
      <c r="M31" s="2358"/>
      <c r="N31" s="2358"/>
      <c r="O31" s="2359"/>
      <c r="P31" s="3872"/>
      <c r="Q31" s="302" t="str">
        <f t="shared" si="11"/>
        <v>是否封闭</v>
      </c>
      <c r="R31" s="1322" t="s">
        <v>70</v>
      </c>
      <c r="S31" s="1323">
        <f t="shared" si="12"/>
        <v>102</v>
      </c>
      <c r="T31" s="1322" t="s">
        <v>70</v>
      </c>
      <c r="U31" s="1323">
        <f t="shared" si="13"/>
        <v>102</v>
      </c>
      <c r="V31" s="1322" t="s">
        <v>70</v>
      </c>
      <c r="W31" s="1323">
        <f t="shared" si="14"/>
        <v>100</v>
      </c>
      <c r="X31" s="1324"/>
      <c r="Y31" s="3872"/>
      <c r="Z31" s="350" t="str">
        <f t="shared" si="15"/>
        <v>是否封闭</v>
      </c>
      <c r="AA31" s="1325">
        <f t="shared" si="3"/>
        <v>0.98039215686274506</v>
      </c>
      <c r="AB31" s="1325">
        <f t="shared" si="4"/>
        <v>0.98039215686274506</v>
      </c>
      <c r="AC31" s="1325">
        <f t="shared" si="5"/>
        <v>1</v>
      </c>
    </row>
    <row r="32" spans="1:29" ht="15">
      <c r="A32" s="818"/>
      <c r="B32" s="1034">
        <v>111</v>
      </c>
      <c r="C32" s="1027">
        <v>111</v>
      </c>
      <c r="D32" s="781">
        <v>100</v>
      </c>
      <c r="E32" s="1361">
        <v>222</v>
      </c>
      <c r="F32" s="807">
        <f>SUMIF(91:91,E32,92:92)-SUMIF(91:91,C32,92:92)+100</f>
        <v>99</v>
      </c>
      <c r="G32" s="1361">
        <v>333</v>
      </c>
      <c r="H32" s="781">
        <f>SUMIF(91:91,G32,92:92)-SUMIF(91:91,C32,92:92)+100</f>
        <v>98</v>
      </c>
      <c r="I32" s="1361">
        <v>444</v>
      </c>
      <c r="J32" s="781">
        <f>SUMIF(91:91,I32,92:92)-SUMIF(91:91,C32,92:92)+100</f>
        <v>97</v>
      </c>
      <c r="K32" s="959"/>
      <c r="L32" s="2365"/>
      <c r="M32" s="2356"/>
      <c r="N32" s="2356"/>
      <c r="O32" s="2364"/>
      <c r="P32" s="3872" t="s">
        <v>581</v>
      </c>
      <c r="Q32" s="1326">
        <f t="shared" si="11"/>
        <v>111</v>
      </c>
      <c r="R32" s="1327" t="s">
        <v>70</v>
      </c>
      <c r="S32" s="1328">
        <f t="shared" si="12"/>
        <v>99</v>
      </c>
      <c r="T32" s="1327" t="s">
        <v>70</v>
      </c>
      <c r="U32" s="1328">
        <f t="shared" si="13"/>
        <v>98</v>
      </c>
      <c r="V32" s="1327" t="s">
        <v>70</v>
      </c>
      <c r="W32" s="1328">
        <f t="shared" si="14"/>
        <v>97</v>
      </c>
      <c r="X32" s="1321"/>
      <c r="Y32" s="3872" t="s">
        <v>581</v>
      </c>
      <c r="Z32" s="1329">
        <f t="shared" si="15"/>
        <v>111</v>
      </c>
      <c r="AA32" s="1330">
        <f t="shared" si="3"/>
        <v>1.0101010101010102</v>
      </c>
      <c r="AB32" s="1330">
        <f t="shared" si="4"/>
        <v>1.0204081632653061</v>
      </c>
      <c r="AC32" s="1330">
        <f t="shared" si="5"/>
        <v>1.0309278350515463</v>
      </c>
    </row>
    <row r="33" spans="1:29" ht="15">
      <c r="A33" s="818"/>
      <c r="B33" s="1034">
        <v>111</v>
      </c>
      <c r="C33" s="1027">
        <v>111</v>
      </c>
      <c r="D33" s="781">
        <v>100</v>
      </c>
      <c r="E33" s="1361">
        <v>222</v>
      </c>
      <c r="F33" s="807">
        <f>SUMIF(93:93,E33,94:94)-SUMIF(93:93,C33,94:94)+100</f>
        <v>98</v>
      </c>
      <c r="G33" s="1361">
        <v>333</v>
      </c>
      <c r="H33" s="781">
        <f>SUMIF(93:93,G33,94:94)-SUMIF(93:93,C33,94:94)+100</f>
        <v>96</v>
      </c>
      <c r="I33" s="1361">
        <v>444</v>
      </c>
      <c r="J33" s="781">
        <f>SUMIF(93:93,I33,94:94)-SUMIF(93:93,C33,94:94)+100</f>
        <v>94</v>
      </c>
      <c r="K33" s="959"/>
      <c r="L33" s="2365"/>
      <c r="M33" s="2356"/>
      <c r="N33" s="2356"/>
      <c r="O33" s="2364"/>
      <c r="P33" s="3872"/>
      <c r="Q33" s="1326">
        <f t="shared" si="11"/>
        <v>111</v>
      </c>
      <c r="R33" s="1327" t="s">
        <v>70</v>
      </c>
      <c r="S33" s="1328">
        <f t="shared" si="12"/>
        <v>98</v>
      </c>
      <c r="T33" s="1327" t="s">
        <v>70</v>
      </c>
      <c r="U33" s="1328">
        <f t="shared" si="13"/>
        <v>96</v>
      </c>
      <c r="V33" s="1327" t="s">
        <v>70</v>
      </c>
      <c r="W33" s="1328">
        <f t="shared" si="14"/>
        <v>94</v>
      </c>
      <c r="X33" s="1321"/>
      <c r="Y33" s="3872"/>
      <c r="Z33" s="1329">
        <f t="shared" si="15"/>
        <v>111</v>
      </c>
      <c r="AA33" s="1330">
        <f t="shared" si="3"/>
        <v>1.0204081632653061</v>
      </c>
      <c r="AB33" s="1330">
        <f t="shared" si="4"/>
        <v>1.0416666666666667</v>
      </c>
      <c r="AC33" s="1330">
        <f t="shared" si="5"/>
        <v>1.0638297872340425</v>
      </c>
    </row>
    <row r="34" spans="1:29" ht="15.75" thickBot="1">
      <c r="A34" s="824"/>
      <c r="B34" s="1035">
        <v>111</v>
      </c>
      <c r="C34" s="94">
        <v>111</v>
      </c>
      <c r="D34" s="784">
        <v>100</v>
      </c>
      <c r="E34" s="1417">
        <v>222</v>
      </c>
      <c r="F34" s="785">
        <f>SUMIF(95:95,E34,96:96)-SUMIF(95:95,C34,96:96)+100</f>
        <v>97</v>
      </c>
      <c r="G34" s="1417">
        <v>333</v>
      </c>
      <c r="H34" s="784">
        <f>SUMIF(95:95,G34,96:96)-SUMIF(95:95,C34,96:96)+100</f>
        <v>94</v>
      </c>
      <c r="I34" s="1417">
        <v>444</v>
      </c>
      <c r="J34" s="784">
        <f>SUMIF(95:95,I34,96:96)-SUMIF(95:95,C34,96:96)+100</f>
        <v>91</v>
      </c>
      <c r="K34" s="959"/>
      <c r="L34" s="2365"/>
      <c r="M34" s="2356"/>
      <c r="N34" s="2356"/>
      <c r="O34" s="2364"/>
      <c r="P34" s="3872"/>
      <c r="Q34" s="1326">
        <f t="shared" si="11"/>
        <v>111</v>
      </c>
      <c r="R34" s="1327" t="s">
        <v>70</v>
      </c>
      <c r="S34" s="1328">
        <f t="shared" si="12"/>
        <v>97</v>
      </c>
      <c r="T34" s="1327" t="s">
        <v>70</v>
      </c>
      <c r="U34" s="1328">
        <f t="shared" si="13"/>
        <v>94</v>
      </c>
      <c r="V34" s="1327" t="s">
        <v>70</v>
      </c>
      <c r="W34" s="1328">
        <f t="shared" si="14"/>
        <v>91</v>
      </c>
      <c r="X34" s="1321"/>
      <c r="Y34" s="3872"/>
      <c r="Z34" s="1329">
        <f t="shared" si="15"/>
        <v>111</v>
      </c>
      <c r="AA34" s="1330">
        <f t="shared" si="3"/>
        <v>1.0309278350515463</v>
      </c>
      <c r="AB34" s="1330">
        <f t="shared" si="4"/>
        <v>1.0638297872340425</v>
      </c>
      <c r="AC34" s="1330">
        <f t="shared" si="5"/>
        <v>1.098901098901099</v>
      </c>
    </row>
    <row r="35" spans="1:29" ht="15">
      <c r="A35" s="825" t="s">
        <v>582</v>
      </c>
      <c r="B35" s="826"/>
      <c r="C35" s="2852" t="s">
        <v>23</v>
      </c>
      <c r="D35" s="2853"/>
      <c r="E35" s="2854">
        <v>30000</v>
      </c>
      <c r="F35" s="2855"/>
      <c r="G35" s="2856">
        <v>35000</v>
      </c>
      <c r="H35" s="2857"/>
      <c r="I35" s="2854">
        <v>32000</v>
      </c>
      <c r="J35" s="2857"/>
      <c r="K35" s="1403"/>
      <c r="L35" s="2368"/>
      <c r="M35" s="2369"/>
      <c r="N35" s="2356"/>
      <c r="O35" s="2369"/>
      <c r="P35" s="3854" t="str">
        <f>A35</f>
        <v>成交单价（元/平方米）</v>
      </c>
      <c r="Q35" s="3854"/>
      <c r="R35" s="3873">
        <f>E35</f>
        <v>30000</v>
      </c>
      <c r="S35" s="3873"/>
      <c r="T35" s="3873">
        <f>G35</f>
        <v>35000</v>
      </c>
      <c r="U35" s="3873"/>
      <c r="V35" s="3873">
        <f>I35</f>
        <v>32000</v>
      </c>
      <c r="W35" s="3873"/>
      <c r="X35" s="1310"/>
      <c r="Y35" s="1336"/>
      <c r="Z35" s="1310"/>
      <c r="AA35" s="1310"/>
      <c r="AB35" s="1310"/>
      <c r="AC35" s="1310"/>
    </row>
    <row r="36" spans="1:29" ht="15.75" thickBot="1">
      <c r="A36" s="832" t="s">
        <v>583</v>
      </c>
      <c r="B36" s="833"/>
      <c r="C36" s="2858">
        <f>R37</f>
        <v>58085</v>
      </c>
      <c r="D36" s="2859"/>
      <c r="E36" s="2860">
        <f>R36</f>
        <v>47958</v>
      </c>
      <c r="F36" s="2860"/>
      <c r="G36" s="2858">
        <f>T36</f>
        <v>60608</v>
      </c>
      <c r="H36" s="2859"/>
      <c r="I36" s="2860">
        <f>V36</f>
        <v>65690</v>
      </c>
      <c r="J36" s="2859"/>
      <c r="K36" s="1404"/>
      <c r="L36" s="2368"/>
      <c r="M36" s="2369"/>
      <c r="N36" s="2356"/>
      <c r="O36" s="2369"/>
      <c r="P36" s="3854" t="str">
        <f>A36</f>
        <v>比较价值（元/平方米）</v>
      </c>
      <c r="Q36" s="3854"/>
      <c r="R36" s="3873">
        <f>IF(F1="售价",ROUND(PRODUCT(R35,AA7:AA34),0),ROUND(PRODUCT(R35,AA7:AA34),1))</f>
        <v>47958</v>
      </c>
      <c r="S36" s="3873"/>
      <c r="T36" s="3873">
        <f>IF(F1="售价",ROUND(PRODUCT(T35,AB7:AB34),0),ROUND(PRODUCT(T35,AB7:AB34),1))</f>
        <v>60608</v>
      </c>
      <c r="U36" s="3873"/>
      <c r="V36" s="3873">
        <f>IF(F1="售价",ROUND(PRODUCT(V35,AC7:AC34),0),ROUND(PRODUCT(V35,AC7:AC34),1))</f>
        <v>65690</v>
      </c>
      <c r="W36" s="3873"/>
      <c r="X36" s="1310"/>
      <c r="Y36" s="1310"/>
      <c r="Z36" s="1310"/>
      <c r="AA36" s="1310"/>
      <c r="AB36" s="1310"/>
      <c r="AC36" s="1310"/>
    </row>
    <row r="37" spans="1:29" ht="15.75" thickBot="1">
      <c r="A37" s="115" t="s">
        <v>1443</v>
      </c>
      <c r="B37" s="839"/>
      <c r="C37" s="2862">
        <f>R37</f>
        <v>58085</v>
      </c>
      <c r="D37" s="2862"/>
      <c r="E37" s="2862"/>
      <c r="F37" s="2862"/>
      <c r="G37" s="2862"/>
      <c r="H37" s="2862"/>
      <c r="I37" s="2862"/>
      <c r="J37" s="2862"/>
      <c r="K37" s="1405"/>
      <c r="L37" s="2368"/>
      <c r="M37" s="2369"/>
      <c r="N37" s="2369"/>
      <c r="O37" s="2369"/>
      <c r="P37" s="3874" t="str">
        <f>A37</f>
        <v>估价对象XX用房的比较价值（楼面单价，元/平方米）</v>
      </c>
      <c r="Q37" s="3875"/>
      <c r="R37" s="3876">
        <f>IF(F1="售价",ROUND(AVERAGE(R36:V36),0),ROUND(AVERAGE(R36:V36),1))</f>
        <v>58085</v>
      </c>
      <c r="S37" s="3876"/>
      <c r="T37" s="3876"/>
      <c r="U37" s="3876"/>
      <c r="V37" s="3876"/>
      <c r="W37" s="3876"/>
      <c r="X37" s="1310"/>
      <c r="Y37" s="1310"/>
      <c r="Z37" s="1310"/>
      <c r="AA37" s="1310"/>
      <c r="AB37" s="1310"/>
      <c r="AC37" s="1310"/>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3" t="s">
        <v>585</v>
      </c>
      <c r="D40" s="844"/>
      <c r="E40" s="845">
        <f>IF(E35&lt;E36,E36/E35-1,E35/E36-1)</f>
        <v>0.59860000000000002</v>
      </c>
      <c r="F40" s="846" t="str">
        <f>IF(OR(E40&gt;=0.3,E40&lt;=-0.3),"超过30%","")</f>
        <v>超过30%</v>
      </c>
      <c r="G40" s="845">
        <f>IF(G35&lt;G36,G36/G35-1,G35/G36-1)</f>
        <v>0.73165714285714278</v>
      </c>
      <c r="H40" s="846" t="str">
        <f>IF(OR(G40&gt;=0.3,G40&lt;=-0.3),"超过30%","")</f>
        <v>超过30%</v>
      </c>
      <c r="I40" s="845">
        <f>IF(I35&lt;I36,I36/I35-1,I35/I36-1)</f>
        <v>1.0528124999999999</v>
      </c>
      <c r="J40" s="846" t="str">
        <f>IF(OR(I40&gt;=0.3,I40&lt;=-0.3),"超过30%","")</f>
        <v>超过30%</v>
      </c>
      <c r="K40" s="2194"/>
      <c r="L40" s="2195"/>
      <c r="M40" s="2369"/>
      <c r="N40" s="2369"/>
      <c r="O40" s="2369"/>
    </row>
    <row r="41" spans="1:29" ht="13.5" customHeight="1">
      <c r="A41" s="2369"/>
      <c r="B41" s="2369"/>
      <c r="C41" s="843" t="s">
        <v>586</v>
      </c>
      <c r="D41" s="847"/>
      <c r="E41" s="845">
        <f>IF(E36&lt;G36,G36/E36-1,E36/G36-1)</f>
        <v>0.26377246757579553</v>
      </c>
      <c r="F41" s="846" t="str">
        <f>IF(OR(E41&gt;=0.2,E41&lt;=-0.2),"超过20%","")</f>
        <v>超过20%</v>
      </c>
      <c r="G41" s="845">
        <f>IF(G36&lt;I36,I36/G36-1,G36/I36-1)</f>
        <v>8.3850316789862767E-2</v>
      </c>
      <c r="H41" s="846" t="str">
        <f>IF(OR(G41&gt;=0.2,G41&lt;=-0.2),"超过20%","")</f>
        <v/>
      </c>
      <c r="I41" s="845">
        <f>IF(I36&lt;E36,E36/I36-1,I36/E36-1)</f>
        <v>0.36974018933233244</v>
      </c>
      <c r="J41" s="846" t="str">
        <f>IF(OR(I41&gt;=0.2,I41&lt;=-0.2),"超过20%","")</f>
        <v>超过20%</v>
      </c>
      <c r="K41" s="2194"/>
      <c r="L41" s="2195"/>
      <c r="M41" s="2369"/>
      <c r="N41" s="2369"/>
      <c r="O41" s="2369"/>
    </row>
    <row r="42" spans="1:29" s="848" customFormat="1" ht="13.5" customHeight="1">
      <c r="A42" s="2370"/>
      <c r="B42" s="2370"/>
      <c r="C42" s="843" t="s">
        <v>587</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73"/>
      <c r="L42" s="2374"/>
      <c r="M42" s="2370"/>
      <c r="N42" s="2370"/>
      <c r="O42" s="2370"/>
    </row>
    <row r="43" spans="1:29" s="848"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4" t="s">
        <v>588</v>
      </c>
      <c r="B45" s="1310"/>
      <c r="C45" s="1315"/>
      <c r="D45" s="1315"/>
      <c r="E45" s="1315"/>
      <c r="F45" s="1316"/>
      <c r="G45" s="1316"/>
      <c r="H45" s="1315"/>
      <c r="I45" s="1315"/>
      <c r="J45" s="1315"/>
      <c r="K45" s="1317"/>
      <c r="L45" s="1318"/>
      <c r="M45" s="1315"/>
      <c r="N45" s="1315"/>
      <c r="O45" s="1315"/>
      <c r="P45" s="849"/>
      <c r="Q45" s="850"/>
    </row>
    <row r="46" spans="1:29" s="854" customFormat="1" ht="15">
      <c r="A46" s="851" t="s">
        <v>567</v>
      </c>
      <c r="B46" s="852"/>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3"/>
    </row>
    <row r="47" spans="1:29" s="412" customFormat="1" ht="15">
      <c r="A47" s="855"/>
      <c r="B47" s="856"/>
      <c r="C47" s="3060">
        <v>100</v>
      </c>
      <c r="D47" s="858">
        <v>99.5</v>
      </c>
      <c r="E47" s="858">
        <v>99</v>
      </c>
      <c r="F47" s="858">
        <v>98.5</v>
      </c>
      <c r="G47" s="858">
        <v>98</v>
      </c>
      <c r="H47" s="858">
        <v>97.5</v>
      </c>
      <c r="I47" s="858">
        <v>97</v>
      </c>
      <c r="J47" s="858">
        <v>96.5</v>
      </c>
      <c r="K47" s="858">
        <v>96</v>
      </c>
      <c r="L47" s="858">
        <v>95.5</v>
      </c>
      <c r="M47" s="859">
        <v>95</v>
      </c>
      <c r="N47" s="858">
        <v>94.5</v>
      </c>
      <c r="O47" s="860">
        <v>94</v>
      </c>
      <c r="P47" s="850"/>
    </row>
    <row r="48" spans="1:29" s="412" customFormat="1" ht="15.75" thickBot="1">
      <c r="A48" s="861" t="s">
        <v>589</v>
      </c>
      <c r="B48" s="862"/>
      <c r="C48" s="863"/>
      <c r="D48" s="864"/>
      <c r="E48" s="864"/>
      <c r="F48" s="864"/>
      <c r="G48" s="864"/>
      <c r="H48" s="864"/>
      <c r="I48" s="864"/>
      <c r="J48" s="864"/>
      <c r="K48" s="864"/>
      <c r="L48" s="864"/>
      <c r="M48" s="865"/>
      <c r="N48" s="864"/>
      <c r="O48" s="866"/>
      <c r="P48" s="850"/>
      <c r="Q48" s="850"/>
    </row>
    <row r="49" spans="1:17" s="412" customFormat="1" ht="15">
      <c r="A49" s="867" t="s">
        <v>569</v>
      </c>
      <c r="B49" s="856"/>
      <c r="C49" s="868" t="s">
        <v>590</v>
      </c>
      <c r="D49" s="140" t="s">
        <v>1444</v>
      </c>
      <c r="E49" s="140"/>
      <c r="F49" s="140"/>
      <c r="G49" s="140"/>
      <c r="H49" s="140"/>
      <c r="I49" s="140"/>
      <c r="J49" s="140"/>
      <c r="K49" s="140"/>
      <c r="L49" s="141"/>
      <c r="M49" s="1055"/>
      <c r="N49" s="2376"/>
      <c r="O49" s="2376"/>
      <c r="P49" s="872"/>
      <c r="Q49" s="850"/>
    </row>
    <row r="50" spans="1:17" s="412" customFormat="1" ht="15.75" thickBot="1">
      <c r="A50" s="867"/>
      <c r="B50" s="856"/>
      <c r="C50" s="985">
        <v>100</v>
      </c>
      <c r="D50" s="858">
        <v>95</v>
      </c>
      <c r="E50" s="858"/>
      <c r="F50" s="858"/>
      <c r="G50" s="858"/>
      <c r="H50" s="858"/>
      <c r="I50" s="858"/>
      <c r="J50" s="858"/>
      <c r="K50" s="858"/>
      <c r="L50" s="858"/>
      <c r="M50" s="860"/>
      <c r="N50" s="2376"/>
      <c r="O50" s="2376"/>
      <c r="P50" s="850"/>
      <c r="Q50" s="850"/>
    </row>
    <row r="51" spans="1:17">
      <c r="A51" s="873" t="s">
        <v>592</v>
      </c>
      <c r="B51" s="874" t="s">
        <v>593</v>
      </c>
      <c r="C51" s="875" t="str">
        <f>C9</f>
        <v>仓储</v>
      </c>
      <c r="D51" s="122"/>
      <c r="E51" s="122"/>
      <c r="F51" s="122"/>
      <c r="G51" s="122"/>
      <c r="H51" s="122"/>
      <c r="I51" s="122"/>
      <c r="J51" s="122"/>
      <c r="K51" s="123"/>
      <c r="L51" s="124"/>
      <c r="M51" s="125"/>
      <c r="N51" s="2377"/>
      <c r="O51" s="2377"/>
      <c r="P51" s="340"/>
      <c r="Q51" s="850"/>
    </row>
    <row r="52" spans="1:17" ht="15.75" thickBot="1">
      <c r="A52" s="880"/>
      <c r="B52" s="881"/>
      <c r="C52" s="882">
        <v>100</v>
      </c>
      <c r="D52" s="882"/>
      <c r="E52" s="882"/>
      <c r="F52" s="882"/>
      <c r="G52" s="882"/>
      <c r="H52" s="882"/>
      <c r="I52" s="882"/>
      <c r="J52" s="882"/>
      <c r="K52" s="882"/>
      <c r="L52" s="882"/>
      <c r="M52" s="883"/>
      <c r="N52" s="2378"/>
      <c r="O52" s="2378"/>
      <c r="P52" s="340"/>
      <c r="Q52" s="850"/>
    </row>
    <row r="53" spans="1:17" ht="27.75" thickTop="1">
      <c r="A53" s="880"/>
      <c r="B53" s="884" t="s">
        <v>573</v>
      </c>
      <c r="C53" s="885" t="s">
        <v>594</v>
      </c>
      <c r="D53" s="885" t="s">
        <v>595</v>
      </c>
      <c r="E53" s="885" t="s">
        <v>596</v>
      </c>
      <c r="F53" s="885" t="s">
        <v>597</v>
      </c>
      <c r="G53" s="885" t="s">
        <v>621</v>
      </c>
      <c r="H53" s="885" t="s">
        <v>622</v>
      </c>
      <c r="I53" s="885" t="s">
        <v>623</v>
      </c>
      <c r="J53" s="885"/>
      <c r="K53" s="886"/>
      <c r="L53" s="887"/>
      <c r="M53" s="888"/>
      <c r="N53" s="2377"/>
      <c r="O53" s="2377"/>
      <c r="P53" s="340"/>
      <c r="Q53" s="850"/>
    </row>
    <row r="54" spans="1:17" ht="15.75" thickBot="1">
      <c r="A54" s="880"/>
      <c r="B54" s="889"/>
      <c r="C54" s="890" t="s">
        <v>207</v>
      </c>
      <c r="D54" s="890" t="s">
        <v>208</v>
      </c>
      <c r="E54" s="890">
        <v>100</v>
      </c>
      <c r="F54" s="890">
        <f>E54-$K10</f>
        <v>97</v>
      </c>
      <c r="G54" s="890">
        <f>F54-$K10</f>
        <v>94</v>
      </c>
      <c r="H54" s="890">
        <f>G54-$K10</f>
        <v>91</v>
      </c>
      <c r="I54" s="890">
        <f>H54-$K10</f>
        <v>88</v>
      </c>
      <c r="J54" s="890"/>
      <c r="K54" s="890"/>
      <c r="L54" s="890"/>
      <c r="M54" s="891"/>
      <c r="N54" s="2378"/>
      <c r="O54" s="2378"/>
      <c r="P54" s="340"/>
      <c r="Q54" s="850"/>
    </row>
    <row r="55" spans="1:17" ht="15.75" thickTop="1">
      <c r="A55" s="880"/>
      <c r="B55" s="213">
        <f>B11</f>
        <v>111</v>
      </c>
      <c r="C55" s="126">
        <v>111</v>
      </c>
      <c r="D55" s="126">
        <v>222</v>
      </c>
      <c r="E55" s="126">
        <v>333</v>
      </c>
      <c r="F55" s="126">
        <v>444</v>
      </c>
      <c r="G55" s="126"/>
      <c r="H55" s="126"/>
      <c r="I55" s="126"/>
      <c r="J55" s="126"/>
      <c r="K55" s="127"/>
      <c r="L55" s="128"/>
      <c r="M55" s="129"/>
      <c r="N55" s="2377"/>
      <c r="O55" s="2377"/>
      <c r="P55" s="340"/>
      <c r="Q55" s="850"/>
    </row>
    <row r="56" spans="1:17" ht="15.75" thickBot="1">
      <c r="A56" s="880"/>
      <c r="B56" s="1057"/>
      <c r="C56" s="906">
        <v>100</v>
      </c>
      <c r="D56" s="882">
        <v>99</v>
      </c>
      <c r="E56" s="882">
        <v>98</v>
      </c>
      <c r="F56" s="882">
        <v>97</v>
      </c>
      <c r="G56" s="882"/>
      <c r="H56" s="882"/>
      <c r="I56" s="882"/>
      <c r="J56" s="882"/>
      <c r="K56" s="882"/>
      <c r="L56" s="882"/>
      <c r="M56" s="883"/>
      <c r="N56" s="2378"/>
      <c r="O56" s="2378"/>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79"/>
      <c r="O57" s="2379"/>
      <c r="P57" s="904"/>
      <c r="Q57" s="905"/>
    </row>
    <row r="58" spans="1:17" s="817" customFormat="1" ht="15.75" thickBot="1">
      <c r="A58" s="899"/>
      <c r="B58" s="1059"/>
      <c r="C58" s="906">
        <v>100</v>
      </c>
      <c r="D58" s="882">
        <v>98</v>
      </c>
      <c r="E58" s="882">
        <v>96</v>
      </c>
      <c r="F58" s="882">
        <v>94</v>
      </c>
      <c r="G58" s="882"/>
      <c r="H58" s="882"/>
      <c r="I58" s="882"/>
      <c r="J58" s="882"/>
      <c r="K58" s="882"/>
      <c r="L58" s="882"/>
      <c r="M58" s="883"/>
      <c r="N58" s="2378"/>
      <c r="O58" s="2378"/>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79"/>
      <c r="O59" s="2379"/>
      <c r="P59" s="816"/>
      <c r="Q59" s="907"/>
    </row>
    <row r="60" spans="1:17" s="817" customFormat="1" ht="15.75" thickBot="1">
      <c r="A60" s="899"/>
      <c r="B60" s="1059"/>
      <c r="C60" s="906">
        <v>100</v>
      </c>
      <c r="D60" s="906">
        <v>97</v>
      </c>
      <c r="E60" s="906">
        <v>94</v>
      </c>
      <c r="F60" s="906">
        <v>91</v>
      </c>
      <c r="G60" s="906"/>
      <c r="H60" s="908"/>
      <c r="I60" s="908"/>
      <c r="J60" s="908"/>
      <c r="K60" s="908"/>
      <c r="L60" s="908"/>
      <c r="M60" s="909"/>
      <c r="N60" s="2379"/>
      <c r="O60" s="2379"/>
      <c r="P60" s="904"/>
      <c r="Q60" s="905"/>
    </row>
    <row r="61" spans="1:17" ht="15" thickTop="1">
      <c r="A61" s="873" t="s">
        <v>575</v>
      </c>
      <c r="B61" s="874" t="s">
        <v>604</v>
      </c>
      <c r="C61" s="919" t="s">
        <v>599</v>
      </c>
      <c r="D61" s="919" t="s">
        <v>600</v>
      </c>
      <c r="E61" s="919" t="s">
        <v>601</v>
      </c>
      <c r="F61" s="919" t="s">
        <v>602</v>
      </c>
      <c r="G61" s="919" t="s">
        <v>603</v>
      </c>
      <c r="H61" s="875"/>
      <c r="I61" s="875"/>
      <c r="J61" s="875"/>
      <c r="K61" s="920"/>
      <c r="L61" s="921"/>
      <c r="M61" s="922"/>
      <c r="N61" s="2377"/>
      <c r="O61" s="2377"/>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78"/>
      <c r="O62" s="2378"/>
      <c r="P62" s="340"/>
      <c r="Q62" s="850"/>
    </row>
    <row r="63" spans="1:17" ht="27.75" thickTop="1">
      <c r="A63" s="880"/>
      <c r="B63" s="884" t="s">
        <v>605</v>
      </c>
      <c r="C63" s="924" t="s">
        <v>599</v>
      </c>
      <c r="D63" s="924" t="s">
        <v>600</v>
      </c>
      <c r="E63" s="924" t="s">
        <v>601</v>
      </c>
      <c r="F63" s="924" t="s">
        <v>602</v>
      </c>
      <c r="G63" s="924" t="s">
        <v>603</v>
      </c>
      <c r="H63" s="885"/>
      <c r="I63" s="885"/>
      <c r="J63" s="885"/>
      <c r="K63" s="886"/>
      <c r="L63" s="887"/>
      <c r="M63" s="888"/>
      <c r="N63" s="2377"/>
      <c r="O63" s="2377"/>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78"/>
      <c r="O64" s="2378"/>
      <c r="P64" s="340"/>
      <c r="Q64" s="850"/>
    </row>
    <row r="65" spans="1:17" ht="15.75" thickTop="1">
      <c r="A65" s="880"/>
      <c r="B65" s="1060" t="s">
        <v>3068</v>
      </c>
      <c r="C65" s="213" t="s">
        <v>3058</v>
      </c>
      <c r="D65" s="213" t="s">
        <v>3059</v>
      </c>
      <c r="E65" s="213" t="s">
        <v>3060</v>
      </c>
      <c r="F65" s="213" t="s">
        <v>3061</v>
      </c>
      <c r="G65" s="213" t="s">
        <v>3062</v>
      </c>
      <c r="H65" s="885"/>
      <c r="I65" s="885"/>
      <c r="J65" s="885"/>
      <c r="K65" s="885"/>
      <c r="L65" s="885"/>
      <c r="M65" s="2781"/>
      <c r="N65" s="2378"/>
      <c r="O65" s="2378"/>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6"/>
      <c r="N66" s="2378"/>
      <c r="O66" s="2378"/>
      <c r="P66" s="340"/>
      <c r="Q66" s="850"/>
    </row>
    <row r="67" spans="1:17" ht="15.75" thickTop="1">
      <c r="A67" s="880"/>
      <c r="B67" s="884" t="s">
        <v>606</v>
      </c>
      <c r="C67" s="924" t="s">
        <v>599</v>
      </c>
      <c r="D67" s="924" t="s">
        <v>600</v>
      </c>
      <c r="E67" s="924" t="s">
        <v>601</v>
      </c>
      <c r="F67" s="924" t="s">
        <v>602</v>
      </c>
      <c r="G67" s="924" t="s">
        <v>603</v>
      </c>
      <c r="H67" s="885"/>
      <c r="I67" s="885"/>
      <c r="J67" s="885"/>
      <c r="K67" s="886"/>
      <c r="L67" s="887"/>
      <c r="M67" s="888"/>
      <c r="N67" s="2377"/>
      <c r="O67" s="2377"/>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78"/>
      <c r="O68" s="2378"/>
      <c r="P68" s="340"/>
      <c r="Q68" s="850"/>
    </row>
    <row r="69" spans="1:17" ht="15.75" thickTop="1">
      <c r="A69" s="880"/>
      <c r="B69" s="884" t="s">
        <v>607</v>
      </c>
      <c r="C69" s="139" t="s">
        <v>1445</v>
      </c>
      <c r="D69" s="139" t="s">
        <v>1446</v>
      </c>
      <c r="E69" s="139"/>
      <c r="F69" s="139"/>
      <c r="G69" s="139"/>
      <c r="H69" s="131"/>
      <c r="I69" s="131"/>
      <c r="J69" s="131"/>
      <c r="K69" s="132"/>
      <c r="L69" s="133"/>
      <c r="M69" s="134"/>
      <c r="N69" s="2377"/>
      <c r="O69" s="2377"/>
      <c r="P69" s="340"/>
      <c r="Q69" s="850"/>
    </row>
    <row r="70" spans="1:17" ht="15.75" thickBot="1">
      <c r="A70" s="880"/>
      <c r="B70" s="889"/>
      <c r="C70" s="890">
        <v>100</v>
      </c>
      <c r="D70" s="890">
        <f>C70-$K22</f>
        <v>98</v>
      </c>
      <c r="E70" s="890"/>
      <c r="F70" s="890"/>
      <c r="G70" s="890"/>
      <c r="H70" s="890"/>
      <c r="I70" s="890"/>
      <c r="J70" s="890"/>
      <c r="K70" s="890"/>
      <c r="L70" s="890"/>
      <c r="M70" s="891"/>
      <c r="N70" s="2378"/>
      <c r="O70" s="2378"/>
      <c r="P70" s="340"/>
      <c r="Q70" s="850"/>
    </row>
    <row r="71" spans="1:17" s="412" customFormat="1" ht="15.75" thickTop="1">
      <c r="A71" s="925"/>
      <c r="B71" s="1058">
        <f>B23</f>
        <v>111</v>
      </c>
      <c r="C71" s="126">
        <v>111</v>
      </c>
      <c r="D71" s="126">
        <v>222</v>
      </c>
      <c r="E71" s="126">
        <v>333</v>
      </c>
      <c r="F71" s="126">
        <v>444</v>
      </c>
      <c r="G71" s="139"/>
      <c r="H71" s="139"/>
      <c r="I71" s="139"/>
      <c r="J71" s="139"/>
      <c r="K71" s="139"/>
      <c r="L71" s="1387"/>
      <c r="M71" s="1388"/>
      <c r="N71" s="2376"/>
      <c r="O71" s="2376"/>
      <c r="P71" s="340"/>
      <c r="Q71" s="850"/>
    </row>
    <row r="72" spans="1:17" s="412" customFormat="1" ht="15.75" thickBot="1">
      <c r="A72" s="925"/>
      <c r="B72" s="1059"/>
      <c r="C72" s="906">
        <v>100</v>
      </c>
      <c r="D72" s="882">
        <v>99</v>
      </c>
      <c r="E72" s="882">
        <v>98</v>
      </c>
      <c r="F72" s="882">
        <v>97</v>
      </c>
      <c r="G72" s="882"/>
      <c r="H72" s="882"/>
      <c r="I72" s="882"/>
      <c r="J72" s="882"/>
      <c r="K72" s="882"/>
      <c r="L72" s="882"/>
      <c r="M72" s="883"/>
      <c r="N72" s="2378"/>
      <c r="O72" s="2378"/>
      <c r="P72" s="340"/>
      <c r="Q72" s="850"/>
    </row>
    <row r="73" spans="1:17" s="412" customFormat="1" ht="15.75" thickTop="1">
      <c r="A73" s="925"/>
      <c r="B73" s="1058">
        <f>B24</f>
        <v>111</v>
      </c>
      <c r="C73" s="126">
        <v>111</v>
      </c>
      <c r="D73" s="126">
        <v>222</v>
      </c>
      <c r="E73" s="126">
        <v>333</v>
      </c>
      <c r="F73" s="126">
        <v>444</v>
      </c>
      <c r="G73" s="139"/>
      <c r="H73" s="139"/>
      <c r="I73" s="139"/>
      <c r="J73" s="139"/>
      <c r="K73" s="139"/>
      <c r="L73" s="139"/>
      <c r="M73" s="1388"/>
      <c r="N73" s="2376"/>
      <c r="O73" s="2376"/>
      <c r="P73" s="340"/>
      <c r="Q73" s="850"/>
    </row>
    <row r="74" spans="1:17" s="412" customFormat="1" ht="15.75" thickBot="1">
      <c r="A74" s="925"/>
      <c r="B74" s="1059"/>
      <c r="C74" s="906">
        <v>100</v>
      </c>
      <c r="D74" s="882">
        <v>98</v>
      </c>
      <c r="E74" s="882">
        <v>96</v>
      </c>
      <c r="F74" s="882">
        <v>94</v>
      </c>
      <c r="G74" s="882"/>
      <c r="H74" s="882"/>
      <c r="I74" s="882"/>
      <c r="J74" s="882"/>
      <c r="K74" s="882"/>
      <c r="L74" s="882"/>
      <c r="M74" s="883"/>
      <c r="N74" s="2378"/>
      <c r="O74" s="2378"/>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79"/>
      <c r="O75" s="2379"/>
      <c r="P75" s="904"/>
      <c r="Q75" s="905"/>
    </row>
    <row r="76" spans="1:17" s="817" customFormat="1" ht="15.75" thickBot="1">
      <c r="A76" s="899"/>
      <c r="B76" s="1059"/>
      <c r="C76" s="906">
        <v>100</v>
      </c>
      <c r="D76" s="906">
        <v>97</v>
      </c>
      <c r="E76" s="906">
        <v>94</v>
      </c>
      <c r="F76" s="906">
        <v>91</v>
      </c>
      <c r="G76" s="882"/>
      <c r="H76" s="882"/>
      <c r="I76" s="882"/>
      <c r="J76" s="882"/>
      <c r="K76" s="882"/>
      <c r="L76" s="882"/>
      <c r="M76" s="883"/>
      <c r="N76" s="2379"/>
      <c r="O76" s="2379"/>
      <c r="P76" s="904"/>
      <c r="Q76" s="905"/>
    </row>
    <row r="77" spans="1:17" ht="15" thickTop="1">
      <c r="A77" s="873" t="s">
        <v>580</v>
      </c>
      <c r="B77" s="874" t="s">
        <v>608</v>
      </c>
      <c r="C77" s="139" t="s">
        <v>1447</v>
      </c>
      <c r="D77" s="139" t="s">
        <v>1448</v>
      </c>
      <c r="E77" s="122"/>
      <c r="F77" s="122"/>
      <c r="G77" s="122"/>
      <c r="H77" s="122"/>
      <c r="I77" s="122"/>
      <c r="J77" s="122"/>
      <c r="K77" s="123"/>
      <c r="L77" s="124"/>
      <c r="M77" s="125"/>
      <c r="N77" s="2377"/>
      <c r="O77" s="2377"/>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78"/>
      <c r="O78" s="2378"/>
      <c r="P78" s="340"/>
      <c r="Q78" s="850"/>
    </row>
    <row r="79" spans="1:17" ht="15.75" thickTop="1">
      <c r="A79" s="880"/>
      <c r="B79" s="884" t="s">
        <v>675</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76"/>
      <c r="O79" s="2376"/>
      <c r="P79" s="340"/>
      <c r="Q79" s="850"/>
    </row>
    <row r="80" spans="1:17" ht="15">
      <c r="A80" s="880"/>
      <c r="B80" s="892"/>
      <c r="C80" s="949">
        <v>0.5</v>
      </c>
      <c r="D80" s="949">
        <v>0.6</v>
      </c>
      <c r="E80" s="949">
        <v>0.7</v>
      </c>
      <c r="F80" s="949">
        <v>0.8</v>
      </c>
      <c r="G80" s="949">
        <v>0.9</v>
      </c>
      <c r="H80" s="949">
        <v>1.0001</v>
      </c>
      <c r="I80" s="1006"/>
      <c r="J80" s="1006"/>
      <c r="K80" s="1014"/>
      <c r="L80" s="1015"/>
      <c r="M80" s="1016"/>
      <c r="N80" s="2376"/>
      <c r="O80" s="2376"/>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78"/>
      <c r="O81" s="2378"/>
      <c r="P81" s="904"/>
      <c r="Q81" s="905"/>
    </row>
    <row r="82" spans="1:17" ht="15" thickTop="1">
      <c r="A82" s="945"/>
      <c r="B82" s="892" t="s">
        <v>676</v>
      </c>
      <c r="C82" s="139" t="s">
        <v>1449</v>
      </c>
      <c r="D82" s="139" t="s">
        <v>1450</v>
      </c>
      <c r="E82" s="131" t="s">
        <v>1451</v>
      </c>
      <c r="F82" s="131"/>
      <c r="G82" s="131"/>
      <c r="H82" s="131"/>
      <c r="I82" s="131"/>
      <c r="J82" s="131"/>
      <c r="K82" s="132"/>
      <c r="L82" s="133"/>
      <c r="M82" s="134"/>
      <c r="N82" s="2377"/>
      <c r="O82" s="2377"/>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78"/>
      <c r="O83" s="2378"/>
      <c r="P83" s="340"/>
      <c r="Q83" s="850"/>
    </row>
    <row r="84" spans="1:17" ht="15" thickTop="1">
      <c r="A84" s="945"/>
      <c r="B84" s="884" t="s">
        <v>692</v>
      </c>
      <c r="C84" s="139" t="s">
        <v>241</v>
      </c>
      <c r="D84" s="139" t="s">
        <v>242</v>
      </c>
      <c r="E84" s="139"/>
      <c r="F84" s="139"/>
      <c r="G84" s="139"/>
      <c r="H84" s="139"/>
      <c r="I84" s="131"/>
      <c r="J84" s="131"/>
      <c r="K84" s="132"/>
      <c r="L84" s="133"/>
      <c r="M84" s="134"/>
      <c r="N84" s="2377"/>
      <c r="O84" s="2377"/>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78"/>
      <c r="O85" s="2378"/>
      <c r="P85" s="340"/>
      <c r="Q85" s="850"/>
    </row>
    <row r="86" spans="1:17" ht="15" thickTop="1">
      <c r="A86" s="945"/>
      <c r="B86" s="892" t="s">
        <v>693</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77"/>
      <c r="O86" s="2377"/>
      <c r="P86" s="340"/>
      <c r="Q86" s="850"/>
    </row>
    <row r="87" spans="1:17">
      <c r="A87" s="945"/>
      <c r="B87" s="892"/>
      <c r="C87" s="941">
        <v>0</v>
      </c>
      <c r="D87" s="941">
        <v>30</v>
      </c>
      <c r="E87" s="941">
        <v>50</v>
      </c>
      <c r="F87" s="941">
        <v>80</v>
      </c>
      <c r="G87" s="941">
        <v>100</v>
      </c>
      <c r="H87" s="941"/>
      <c r="I87" s="941"/>
      <c r="J87" s="942"/>
      <c r="K87" s="942"/>
      <c r="L87" s="943"/>
      <c r="M87" s="944"/>
      <c r="N87" s="2377"/>
      <c r="O87" s="2377"/>
      <c r="P87" s="340"/>
      <c r="Q87" s="850"/>
    </row>
    <row r="88" spans="1:17" ht="15.75" thickBot="1">
      <c r="A88" s="880"/>
      <c r="B88" s="889"/>
      <c r="C88" s="906">
        <v>100</v>
      </c>
      <c r="D88" s="882">
        <v>102</v>
      </c>
      <c r="E88" s="882">
        <v>104</v>
      </c>
      <c r="F88" s="882">
        <v>106</v>
      </c>
      <c r="G88" s="882"/>
      <c r="H88" s="882"/>
      <c r="I88" s="882"/>
      <c r="J88" s="882"/>
      <c r="K88" s="882"/>
      <c r="L88" s="882"/>
      <c r="M88" s="882"/>
      <c r="N88" s="2378"/>
      <c r="O88" s="2378"/>
      <c r="P88" s="340"/>
      <c r="Q88" s="850"/>
    </row>
    <row r="89" spans="1:17" s="817" customFormat="1" ht="15" thickTop="1">
      <c r="A89" s="939"/>
      <c r="B89" s="884" t="s">
        <v>694</v>
      </c>
      <c r="C89" s="139" t="s">
        <v>238</v>
      </c>
      <c r="D89" s="139" t="s">
        <v>237</v>
      </c>
      <c r="E89" s="139"/>
      <c r="F89" s="139"/>
      <c r="G89" s="139"/>
      <c r="H89" s="139"/>
      <c r="I89" s="139"/>
      <c r="J89" s="139"/>
      <c r="K89" s="139"/>
      <c r="L89" s="139"/>
      <c r="M89" s="1388"/>
      <c r="N89" s="2379"/>
      <c r="O89" s="2379"/>
      <c r="P89" s="904"/>
      <c r="Q89" s="905"/>
    </row>
    <row r="90" spans="1:17" s="817" customFormat="1" ht="15.75" thickBot="1">
      <c r="A90" s="899"/>
      <c r="B90" s="889"/>
      <c r="C90" s="906">
        <v>100</v>
      </c>
      <c r="D90" s="882">
        <v>102</v>
      </c>
      <c r="E90" s="882"/>
      <c r="F90" s="882"/>
      <c r="G90" s="882"/>
      <c r="H90" s="882"/>
      <c r="I90" s="882"/>
      <c r="J90" s="882"/>
      <c r="K90" s="882"/>
      <c r="L90" s="882"/>
      <c r="M90" s="883"/>
      <c r="N90" s="2379"/>
      <c r="O90" s="2379"/>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77"/>
      <c r="O91" s="2377"/>
      <c r="P91" s="340"/>
      <c r="Q91" s="850"/>
    </row>
    <row r="92" spans="1:17" ht="15.75" thickBot="1">
      <c r="A92" s="880"/>
      <c r="B92" s="1059"/>
      <c r="C92" s="906">
        <v>100</v>
      </c>
      <c r="D92" s="882">
        <v>99</v>
      </c>
      <c r="E92" s="882">
        <v>98</v>
      </c>
      <c r="F92" s="882">
        <v>97</v>
      </c>
      <c r="G92" s="906"/>
      <c r="H92" s="908"/>
      <c r="I92" s="908"/>
      <c r="J92" s="908"/>
      <c r="K92" s="908"/>
      <c r="L92" s="908"/>
      <c r="M92" s="909"/>
      <c r="N92" s="2378"/>
      <c r="O92" s="2378"/>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77"/>
      <c r="O93" s="2377"/>
      <c r="P93" s="340"/>
      <c r="Q93" s="850"/>
    </row>
    <row r="94" spans="1:17" ht="15.75" thickBot="1">
      <c r="A94" s="880"/>
      <c r="B94" s="1059"/>
      <c r="C94" s="906">
        <v>100</v>
      </c>
      <c r="D94" s="882">
        <v>98</v>
      </c>
      <c r="E94" s="882">
        <v>96</v>
      </c>
      <c r="F94" s="882">
        <v>94</v>
      </c>
      <c r="G94" s="906"/>
      <c r="H94" s="908"/>
      <c r="I94" s="908"/>
      <c r="J94" s="908"/>
      <c r="K94" s="908"/>
      <c r="L94" s="908"/>
      <c r="M94" s="909"/>
      <c r="N94" s="2378"/>
      <c r="O94" s="2378"/>
      <c r="P94" s="340"/>
      <c r="Q94" s="850"/>
    </row>
    <row r="95" spans="1:17" ht="15" thickTop="1">
      <c r="A95" s="945"/>
      <c r="B95" s="211">
        <f>B34</f>
        <v>111</v>
      </c>
      <c r="C95" s="126">
        <v>111</v>
      </c>
      <c r="D95" s="126">
        <v>222</v>
      </c>
      <c r="E95" s="126">
        <v>333</v>
      </c>
      <c r="F95" s="126">
        <v>444</v>
      </c>
      <c r="G95" s="139"/>
      <c r="H95" s="1063"/>
      <c r="I95" s="1063"/>
      <c r="J95" s="1063"/>
      <c r="K95" s="1063"/>
      <c r="L95" s="1064"/>
      <c r="M95" s="1065"/>
      <c r="N95" s="2378"/>
      <c r="O95" s="2378"/>
      <c r="P95" s="983"/>
      <c r="Q95" s="984"/>
    </row>
    <row r="96" spans="1:17" ht="15.75" thickBot="1">
      <c r="A96" s="880"/>
      <c r="B96" s="1059"/>
      <c r="C96" s="906">
        <v>100</v>
      </c>
      <c r="D96" s="906">
        <v>97</v>
      </c>
      <c r="E96" s="906">
        <v>94</v>
      </c>
      <c r="F96" s="906">
        <v>91</v>
      </c>
      <c r="G96" s="906"/>
      <c r="H96" s="908"/>
      <c r="I96" s="908"/>
      <c r="J96" s="908"/>
      <c r="K96" s="908"/>
      <c r="L96" s="908"/>
      <c r="M96" s="909"/>
      <c r="N96" s="2378"/>
      <c r="O96" s="2378"/>
      <c r="P96" s="340"/>
      <c r="Q96" s="850"/>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M41" sqref="M41"/>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695</v>
      </c>
      <c r="B1" s="741"/>
      <c r="C1" s="742" t="s">
        <v>696</v>
      </c>
      <c r="D1" s="1306"/>
      <c r="E1" s="1306"/>
      <c r="F1" s="1305" t="s">
        <v>553</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c r="AD1" s="743"/>
    </row>
    <row r="2" spans="1:30" s="744" customFormat="1" ht="28.5" customHeight="1">
      <c r="A2" s="580" t="s">
        <v>509</v>
      </c>
      <c r="B2" s="1084">
        <f>F66</f>
        <v>222511</v>
      </c>
      <c r="C2" s="2349"/>
      <c r="D2" s="2349"/>
      <c r="E2" s="2350"/>
      <c r="F2" s="2351"/>
      <c r="G2" s="2350"/>
      <c r="H2" s="2350"/>
      <c r="I2" s="2350"/>
      <c r="J2" s="2350"/>
      <c r="K2" s="2352"/>
      <c r="L2" s="2353"/>
      <c r="M2" s="2354"/>
      <c r="N2" s="2354"/>
      <c r="O2" s="2354"/>
      <c r="P2" s="1319"/>
      <c r="Q2" s="1319"/>
      <c r="R2" s="1319"/>
      <c r="S2" s="1319"/>
      <c r="T2" s="1319"/>
      <c r="U2" s="1319"/>
      <c r="V2" s="1319"/>
      <c r="W2" s="1319"/>
      <c r="X2" s="1319"/>
      <c r="Y2" s="1319"/>
      <c r="Z2" s="1319"/>
      <c r="AA2" s="1319"/>
      <c r="AB2" s="1319"/>
      <c r="AC2" s="1320"/>
      <c r="AD2" s="743"/>
    </row>
    <row r="3" spans="1:30" s="744" customFormat="1" ht="28.5" customHeight="1" thickBot="1">
      <c r="A3" s="582" t="s">
        <v>510</v>
      </c>
      <c r="B3" s="955">
        <f>ROUND(IF(D3="",B2*10000/'数据-汇总表'!E3,B2*10000/D3),0)</f>
        <v>4497</v>
      </c>
      <c r="C3" s="582" t="s">
        <v>3296</v>
      </c>
      <c r="D3" s="3074"/>
      <c r="E3" s="2350"/>
      <c r="F3" s="2351"/>
      <c r="G3" s="2350"/>
      <c r="H3" s="2350"/>
      <c r="I3" s="2350"/>
      <c r="J3" s="2350"/>
      <c r="K3" s="2352"/>
      <c r="L3" s="2353"/>
      <c r="M3" s="2354"/>
      <c r="N3" s="2354"/>
      <c r="O3" s="2354"/>
      <c r="P3" s="1319"/>
      <c r="Q3" s="1319"/>
      <c r="R3" s="1319"/>
      <c r="S3" s="1319"/>
      <c r="T3" s="1319"/>
      <c r="U3" s="1319"/>
      <c r="V3" s="1319"/>
      <c r="W3" s="1319"/>
      <c r="X3" s="1319"/>
      <c r="Y3" s="1319"/>
      <c r="Z3" s="1319"/>
      <c r="AA3" s="1319"/>
      <c r="AB3" s="1412"/>
      <c r="AC3" s="1402"/>
    </row>
    <row r="4" spans="1:30" ht="15">
      <c r="A4" s="747" t="s">
        <v>554</v>
      </c>
      <c r="B4" s="748"/>
      <c r="C4" s="3855" t="s">
        <v>555</v>
      </c>
      <c r="D4" s="3856"/>
      <c r="E4" s="3857" t="s">
        <v>556</v>
      </c>
      <c r="F4" s="3858"/>
      <c r="G4" s="3855" t="s">
        <v>557</v>
      </c>
      <c r="H4" s="3856"/>
      <c r="I4" s="3855" t="s">
        <v>558</v>
      </c>
      <c r="J4" s="3856"/>
      <c r="K4" s="956" t="s">
        <v>559</v>
      </c>
      <c r="L4" s="2355"/>
      <c r="M4" s="2356"/>
      <c r="N4" s="2356"/>
      <c r="O4" s="2356"/>
      <c r="P4" s="3859" t="s">
        <v>560</v>
      </c>
      <c r="Q4" s="3860"/>
      <c r="R4" s="3842" t="s">
        <v>556</v>
      </c>
      <c r="S4" s="3843"/>
      <c r="T4" s="3842" t="s">
        <v>557</v>
      </c>
      <c r="U4" s="3843"/>
      <c r="V4" s="3867" t="s">
        <v>558</v>
      </c>
      <c r="W4" s="3867"/>
      <c r="X4" s="1321"/>
      <c r="Y4" s="3842" t="s">
        <v>560</v>
      </c>
      <c r="Z4" s="3843"/>
      <c r="AA4" s="3837" t="s">
        <v>556</v>
      </c>
      <c r="AB4" s="3838" t="s">
        <v>557</v>
      </c>
      <c r="AC4" s="3837" t="s">
        <v>558</v>
      </c>
    </row>
    <row r="5" spans="1:30" ht="15">
      <c r="A5" s="750"/>
      <c r="B5" s="751"/>
      <c r="C5" s="3786" t="s">
        <v>1438</v>
      </c>
      <c r="D5" s="3787"/>
      <c r="E5" s="3784" t="str">
        <f>Sheet3!A2</f>
        <v>大香线西侧、规划纬二路南侧</v>
      </c>
      <c r="F5" s="3785"/>
      <c r="G5" s="3786" t="str">
        <f>Sheet3!A3</f>
        <v>绣水街南侧、规划E5路西侧</v>
      </c>
      <c r="H5" s="3787"/>
      <c r="I5" s="3786" t="str">
        <f>Sheet3!A4</f>
        <v>新开大街北侧、永明路西侧</v>
      </c>
      <c r="J5" s="3787"/>
      <c r="K5" s="956"/>
      <c r="L5" s="2355"/>
      <c r="M5" s="2356"/>
      <c r="N5" s="2356"/>
      <c r="O5" s="2356"/>
      <c r="P5" s="3861"/>
      <c r="Q5" s="3862"/>
      <c r="R5" s="3844"/>
      <c r="S5" s="3845"/>
      <c r="T5" s="3844"/>
      <c r="U5" s="3845"/>
      <c r="V5" s="3867"/>
      <c r="W5" s="3867"/>
      <c r="X5" s="1321"/>
      <c r="Y5" s="3844"/>
      <c r="Z5" s="3845"/>
      <c r="AA5" s="3838"/>
      <c r="AB5" s="3838"/>
      <c r="AC5" s="3838"/>
    </row>
    <row r="6" spans="1:30" ht="15.75" thickBot="1">
      <c r="A6" s="752"/>
      <c r="B6" s="753"/>
      <c r="C6" s="3788" t="s">
        <v>1441</v>
      </c>
      <c r="D6" s="3789"/>
      <c r="E6" s="3790" t="str">
        <f>E5</f>
        <v>大香线西侧、规划纬二路南侧</v>
      </c>
      <c r="F6" s="3791"/>
      <c r="G6" s="3788" t="str">
        <f>G5</f>
        <v>绣水街南侧、规划E5路西侧</v>
      </c>
      <c r="H6" s="3789"/>
      <c r="I6" s="3788" t="str">
        <f>I5</f>
        <v>新开大街北侧、永明路西侧</v>
      </c>
      <c r="J6" s="3789"/>
      <c r="K6" s="956" t="s">
        <v>566</v>
      </c>
      <c r="L6" s="2355"/>
      <c r="M6" s="2356"/>
      <c r="N6" s="2356"/>
      <c r="O6" s="2356"/>
      <c r="P6" s="3863"/>
      <c r="Q6" s="3864"/>
      <c r="R6" s="3844"/>
      <c r="S6" s="3845"/>
      <c r="T6" s="3865"/>
      <c r="U6" s="3866"/>
      <c r="V6" s="3867"/>
      <c r="W6" s="3867"/>
      <c r="X6" s="1321"/>
      <c r="Y6" s="3865"/>
      <c r="Z6" s="3866"/>
      <c r="AA6" s="3839"/>
      <c r="AB6" s="3839"/>
      <c r="AC6" s="3839"/>
    </row>
    <row r="7" spans="1:30" s="412" customFormat="1" ht="15.75" thickBot="1">
      <c r="A7" s="754" t="s">
        <v>567</v>
      </c>
      <c r="B7" s="755"/>
      <c r="C7" s="756">
        <f>'数据-取费表'!B2</f>
        <v>42906</v>
      </c>
      <c r="D7" s="757">
        <v>100</v>
      </c>
      <c r="E7" s="1020" t="str">
        <f>Sheet3!T2</f>
        <v>2017-01-03</v>
      </c>
      <c r="F7" s="759">
        <f>SUMIF(70:70,YEAR(E7)&amp;"-"&amp;INT((MONTH(E7)+2)/3),71:71)</f>
        <v>99.5</v>
      </c>
      <c r="G7" s="1021" t="str">
        <f>Sheet3!T3</f>
        <v>2017-01-03</v>
      </c>
      <c r="H7" s="757">
        <f>SUMIF(70:70,YEAR(G7)&amp;"-"&amp;INT((MONTH(G7)+2)/3),71:71)</f>
        <v>99.5</v>
      </c>
      <c r="I7" s="1021" t="str">
        <f>Sheet3!T4</f>
        <v>2016-07-08</v>
      </c>
      <c r="J7" s="757">
        <f>SUMIF(70:70,YEAR(I7)&amp;"-"&amp;INT((MONTH(I7)+2)/3),71:71)</f>
        <v>98.5</v>
      </c>
      <c r="K7" s="957"/>
      <c r="L7" s="2357"/>
      <c r="M7" s="2358"/>
      <c r="N7" s="2358"/>
      <c r="O7" s="2358"/>
      <c r="P7" s="3840" t="s">
        <v>568</v>
      </c>
      <c r="Q7" s="3868"/>
      <c r="R7" s="1322" t="s">
        <v>70</v>
      </c>
      <c r="S7" s="1323">
        <f t="shared" ref="S7:S15" si="0">F7</f>
        <v>99.5</v>
      </c>
      <c r="T7" s="1322" t="s">
        <v>70</v>
      </c>
      <c r="U7" s="1323">
        <f t="shared" ref="U7:U15" si="1">H7</f>
        <v>99.5</v>
      </c>
      <c r="V7" s="1322" t="s">
        <v>70</v>
      </c>
      <c r="W7" s="1323">
        <f t="shared" ref="W7:W15" si="2">J7</f>
        <v>98.5</v>
      </c>
      <c r="X7" s="1324"/>
      <c r="Y7" s="3840" t="s">
        <v>568</v>
      </c>
      <c r="Z7" s="3841"/>
      <c r="AA7" s="1325">
        <f>D7/F7</f>
        <v>1.0050251256281406</v>
      </c>
      <c r="AB7" s="1325">
        <f>D7/H7</f>
        <v>1.0050251256281406</v>
      </c>
      <c r="AC7" s="1325">
        <f>D7/J7</f>
        <v>1.015228426395939</v>
      </c>
    </row>
    <row r="8" spans="1:30" s="412" customFormat="1" ht="15.75" thickBot="1">
      <c r="A8" s="754" t="s">
        <v>569</v>
      </c>
      <c r="B8" s="755"/>
      <c r="C8" s="1023" t="s">
        <v>260</v>
      </c>
      <c r="D8" s="757">
        <v>100</v>
      </c>
      <c r="E8" s="1023" t="s">
        <v>260</v>
      </c>
      <c r="F8" s="759">
        <f>SUMIF(73:73,E8,74:74)-SUMIF(73:73,C8,74:74)+100</f>
        <v>100</v>
      </c>
      <c r="G8" s="1023" t="s">
        <v>260</v>
      </c>
      <c r="H8" s="757">
        <f>SUMIF(73:73,G8,74:74)-SUMIF(73:73,C8,74:74)+100</f>
        <v>100</v>
      </c>
      <c r="I8" s="1023" t="s">
        <v>260</v>
      </c>
      <c r="J8" s="757">
        <f>SUMIF(73:73,I8,74:74)-SUMIF(73:73,C8,74:74)+100</f>
        <v>100</v>
      </c>
      <c r="K8" s="957"/>
      <c r="L8" s="2357"/>
      <c r="M8" s="2358"/>
      <c r="N8" s="2358"/>
      <c r="O8" s="2358"/>
      <c r="P8" s="3840" t="s">
        <v>611</v>
      </c>
      <c r="Q8" s="3841"/>
      <c r="R8" s="1322" t="s">
        <v>70</v>
      </c>
      <c r="S8" s="1323">
        <f t="shared" si="0"/>
        <v>100</v>
      </c>
      <c r="T8" s="1322" t="s">
        <v>70</v>
      </c>
      <c r="U8" s="1323">
        <f t="shared" si="1"/>
        <v>100</v>
      </c>
      <c r="V8" s="1322" t="s">
        <v>70</v>
      </c>
      <c r="W8" s="1323">
        <f t="shared" si="2"/>
        <v>100</v>
      </c>
      <c r="X8" s="1324"/>
      <c r="Y8" s="3840" t="s">
        <v>611</v>
      </c>
      <c r="Z8" s="3841"/>
      <c r="AA8" s="1325">
        <f t="shared" ref="AA8:AA45" si="3">D8/F8</f>
        <v>1</v>
      </c>
      <c r="AB8" s="1325">
        <f t="shared" ref="AB8:AB45" si="4">D8/H8</f>
        <v>1</v>
      </c>
      <c r="AC8" s="1325">
        <f t="shared" ref="AC8:AC45" si="5">D8/J8</f>
        <v>1</v>
      </c>
    </row>
    <row r="9" spans="1:30" s="412" customFormat="1">
      <c r="A9" s="761" t="s">
        <v>570</v>
      </c>
      <c r="B9" s="367" t="s">
        <v>593</v>
      </c>
      <c r="C9" s="3482" t="s">
        <v>4033</v>
      </c>
      <c r="D9" s="428">
        <v>100</v>
      </c>
      <c r="E9" s="1025" t="s">
        <v>43</v>
      </c>
      <c r="F9" s="3483">
        <f>SUMIF(75:75,E9,76:76)-SUMIF(75:75,C9,76:76)+100</f>
        <v>105</v>
      </c>
      <c r="G9" s="3482" t="s">
        <v>43</v>
      </c>
      <c r="H9" s="3483">
        <f>SUMIF(75:75,G9,76:76)-SUMIF(75:75,C9,76:76)+100</f>
        <v>105</v>
      </c>
      <c r="I9" s="3482" t="s">
        <v>43</v>
      </c>
      <c r="J9" s="3483">
        <f>SUMIF(75:75,I9,76:76)-SUMIF(75:75,C9,76:76)+100</f>
        <v>105</v>
      </c>
      <c r="K9" s="957"/>
      <c r="L9" s="2357"/>
      <c r="M9" s="2358"/>
      <c r="N9" s="2358"/>
      <c r="O9" s="2359"/>
      <c r="P9" s="3854" t="s">
        <v>571</v>
      </c>
      <c r="Q9" s="302" t="str">
        <f t="shared" ref="Q9:Q15" si="6">B9</f>
        <v>用途</v>
      </c>
      <c r="R9" s="1322" t="s">
        <v>70</v>
      </c>
      <c r="S9" s="1323">
        <f t="shared" si="0"/>
        <v>105</v>
      </c>
      <c r="T9" s="1322" t="s">
        <v>70</v>
      </c>
      <c r="U9" s="1323">
        <f t="shared" si="1"/>
        <v>105</v>
      </c>
      <c r="V9" s="1322" t="s">
        <v>70</v>
      </c>
      <c r="W9" s="1323">
        <f t="shared" si="2"/>
        <v>105</v>
      </c>
      <c r="X9" s="1324"/>
      <c r="Y9" s="3725" t="s">
        <v>572</v>
      </c>
      <c r="Z9" s="350" t="str">
        <f t="shared" ref="Z9:Z15" si="7">Q9</f>
        <v>用途</v>
      </c>
      <c r="AA9" s="1325">
        <f t="shared" si="3"/>
        <v>0.95238095238095233</v>
      </c>
      <c r="AB9" s="1325">
        <f t="shared" si="4"/>
        <v>0.95238095238095233</v>
      </c>
      <c r="AC9" s="1325">
        <f t="shared" si="5"/>
        <v>0.95238095238095233</v>
      </c>
    </row>
    <row r="10" spans="1:30" s="773" customFormat="1" ht="27">
      <c r="A10" s="767"/>
      <c r="B10" s="768" t="s">
        <v>573</v>
      </c>
      <c r="C10" s="778">
        <f>项目基本情况!E15</f>
        <v>40</v>
      </c>
      <c r="D10" s="429">
        <v>100</v>
      </c>
      <c r="E10" s="811" t="s">
        <v>3677</v>
      </c>
      <c r="F10" s="429">
        <f>ROUND(100/'数据-取费表'!G16,0)</f>
        <v>100</v>
      </c>
      <c r="G10" s="809" t="s">
        <v>3677</v>
      </c>
      <c r="H10" s="429">
        <f>ROUND(100/'数据-取费表'!G16,0)</f>
        <v>100</v>
      </c>
      <c r="I10" s="809" t="s">
        <v>3677</v>
      </c>
      <c r="J10" s="429">
        <f>ROUND(100/'数据-取费表'!G16,0)</f>
        <v>100</v>
      </c>
      <c r="K10" s="1085"/>
      <c r="L10" s="2360"/>
      <c r="M10" s="2361"/>
      <c r="N10" s="2361"/>
      <c r="O10" s="2362"/>
      <c r="P10" s="3854"/>
      <c r="Q10" s="302" t="str">
        <f t="shared" si="6"/>
        <v>土地使用年限（年）</v>
      </c>
      <c r="R10" s="1322" t="s">
        <v>70</v>
      </c>
      <c r="S10" s="1323">
        <f t="shared" si="0"/>
        <v>100</v>
      </c>
      <c r="T10" s="1322" t="s">
        <v>70</v>
      </c>
      <c r="U10" s="1323">
        <f t="shared" si="1"/>
        <v>100</v>
      </c>
      <c r="V10" s="1322" t="s">
        <v>70</v>
      </c>
      <c r="W10" s="1323">
        <f t="shared" si="2"/>
        <v>100</v>
      </c>
      <c r="X10" s="1324"/>
      <c r="Y10" s="3725"/>
      <c r="Z10" s="350" t="str">
        <f t="shared" si="7"/>
        <v>土地使用年限（年）</v>
      </c>
      <c r="AA10" s="1325">
        <f t="shared" si="3"/>
        <v>1</v>
      </c>
      <c r="AB10" s="1325">
        <f t="shared" si="4"/>
        <v>1</v>
      </c>
      <c r="AC10" s="1325">
        <f t="shared" si="5"/>
        <v>1</v>
      </c>
    </row>
    <row r="11" spans="1:30" ht="15">
      <c r="A11" s="774"/>
      <c r="B11" s="768" t="s">
        <v>574</v>
      </c>
      <c r="C11" s="775">
        <f>'数据-汇总表'!I6</f>
        <v>0.8</v>
      </c>
      <c r="D11" s="429">
        <v>100</v>
      </c>
      <c r="E11" s="775">
        <v>1</v>
      </c>
      <c r="F11" s="429">
        <f>LOOKUP(E11,80:80,81:81)-LOOKUP(C11,80:80,81:81)+100</f>
        <v>101</v>
      </c>
      <c r="G11" s="776">
        <v>1</v>
      </c>
      <c r="H11" s="429">
        <f>LOOKUP(G11,80:80,81:81)-LOOKUP(C11,80:80,81:81)+100</f>
        <v>101</v>
      </c>
      <c r="I11" s="775">
        <v>1</v>
      </c>
      <c r="J11" s="429">
        <f>LOOKUP(I11,80:80,81:81)-LOOKUP(C11,80:80,81:81)+100</f>
        <v>101</v>
      </c>
      <c r="K11" s="1086">
        <f>'[48]比较法-住宅、综合'!$K$13</f>
        <v>1</v>
      </c>
      <c r="L11" s="2363"/>
      <c r="M11" s="2356"/>
      <c r="N11" s="2356"/>
      <c r="O11" s="2364"/>
      <c r="P11" s="3854"/>
      <c r="Q11" s="302" t="str">
        <f t="shared" si="6"/>
        <v>容积率</v>
      </c>
      <c r="R11" s="1322" t="s">
        <v>70</v>
      </c>
      <c r="S11" s="1323">
        <f t="shared" si="0"/>
        <v>101</v>
      </c>
      <c r="T11" s="1322" t="s">
        <v>70</v>
      </c>
      <c r="U11" s="1323">
        <f t="shared" si="1"/>
        <v>101</v>
      </c>
      <c r="V11" s="1322" t="s">
        <v>70</v>
      </c>
      <c r="W11" s="1323">
        <f t="shared" si="2"/>
        <v>101</v>
      </c>
      <c r="X11" s="1324"/>
      <c r="Y11" s="3725"/>
      <c r="Z11" s="350" t="str">
        <f t="shared" si="7"/>
        <v>容积率</v>
      </c>
      <c r="AA11" s="1325">
        <f t="shared" si="3"/>
        <v>0.99009900990099009</v>
      </c>
      <c r="AB11" s="1325">
        <f t="shared" si="4"/>
        <v>0.99009900990099009</v>
      </c>
      <c r="AC11" s="1325">
        <f t="shared" si="5"/>
        <v>0.99009900990099009</v>
      </c>
    </row>
    <row r="12" spans="1:30" s="412" customFormat="1" ht="15">
      <c r="A12" s="777"/>
      <c r="B12" s="1034"/>
      <c r="C12" s="1027"/>
      <c r="D12" s="779">
        <v>100</v>
      </c>
      <c r="E12" s="1029"/>
      <c r="F12" s="429">
        <f>SUMIF(82:82,E12,83:83)-SUMIF(82:82,C12,83:83)+100</f>
        <v>100</v>
      </c>
      <c r="G12" s="1030"/>
      <c r="H12" s="429">
        <f>SUMIF(82:82,G12,83:83)-SUMIF(82:82,C12,83:83)+100</f>
        <v>100</v>
      </c>
      <c r="I12" s="1029"/>
      <c r="J12" s="429">
        <f>SUMIF(82:82,I12,83:83)-SUMIF(82:82,C12,83:83)+100</f>
        <v>100</v>
      </c>
      <c r="K12" s="1085"/>
      <c r="L12" s="2357"/>
      <c r="M12" s="2358"/>
      <c r="N12" s="2358"/>
      <c r="O12" s="2359"/>
      <c r="P12" s="3854"/>
      <c r="Q12" s="302">
        <f t="shared" si="6"/>
        <v>0</v>
      </c>
      <c r="R12" s="1322" t="s">
        <v>70</v>
      </c>
      <c r="S12" s="1323">
        <f t="shared" si="0"/>
        <v>100</v>
      </c>
      <c r="T12" s="1322" t="s">
        <v>70</v>
      </c>
      <c r="U12" s="1323">
        <f t="shared" si="1"/>
        <v>100</v>
      </c>
      <c r="V12" s="1322" t="s">
        <v>70</v>
      </c>
      <c r="W12" s="1323">
        <f t="shared" si="2"/>
        <v>100</v>
      </c>
      <c r="X12" s="1324"/>
      <c r="Y12" s="3725"/>
      <c r="Z12" s="350">
        <f t="shared" si="7"/>
        <v>0</v>
      </c>
      <c r="AA12" s="1325">
        <f>D12/F12</f>
        <v>1</v>
      </c>
      <c r="AB12" s="1325">
        <f>D12/H12</f>
        <v>1</v>
      </c>
      <c r="AC12" s="1325">
        <f>D12/J12</f>
        <v>1</v>
      </c>
    </row>
    <row r="13" spans="1:30" ht="15">
      <c r="A13" s="774"/>
      <c r="B13" s="1034"/>
      <c r="C13" s="93"/>
      <c r="D13" s="781">
        <v>100</v>
      </c>
      <c r="E13" s="126"/>
      <c r="F13" s="429">
        <f>SUMIF(84:84,E13,85:85)-SUMIF(84:84,C13,85:85)+100</f>
        <v>100</v>
      </c>
      <c r="G13" s="203"/>
      <c r="H13" s="781">
        <f>SUMIF(84:84,G13,85:85)-SUMIF(84:84,C13,85:85)+100</f>
        <v>100</v>
      </c>
      <c r="I13" s="203"/>
      <c r="J13" s="781">
        <f>SUMIF(84:84,I13,85:85)-SUMIF(84:84,C13,85:85)+100</f>
        <v>100</v>
      </c>
      <c r="K13" s="1085"/>
      <c r="L13" s="2365"/>
      <c r="M13" s="2356"/>
      <c r="N13" s="2356"/>
      <c r="O13" s="2364"/>
      <c r="P13" s="3854"/>
      <c r="Q13" s="302">
        <f t="shared" si="6"/>
        <v>0</v>
      </c>
      <c r="R13" s="1322" t="s">
        <v>70</v>
      </c>
      <c r="S13" s="1323">
        <f t="shared" si="0"/>
        <v>100</v>
      </c>
      <c r="T13" s="1322" t="s">
        <v>70</v>
      </c>
      <c r="U13" s="1323">
        <f t="shared" si="1"/>
        <v>100</v>
      </c>
      <c r="V13" s="1322" t="s">
        <v>70</v>
      </c>
      <c r="W13" s="1323">
        <f t="shared" si="2"/>
        <v>100</v>
      </c>
      <c r="X13" s="1324"/>
      <c r="Y13" s="3725"/>
      <c r="Z13" s="350">
        <f t="shared" si="7"/>
        <v>0</v>
      </c>
      <c r="AA13" s="1325">
        <f>D13/F13</f>
        <v>1</v>
      </c>
      <c r="AB13" s="1325">
        <f>D13/H13</f>
        <v>1</v>
      </c>
      <c r="AC13" s="1325">
        <f>D13/J13</f>
        <v>1</v>
      </c>
    </row>
    <row r="14" spans="1:30" ht="15.75" thickBot="1">
      <c r="A14" s="782"/>
      <c r="B14" s="1035"/>
      <c r="C14" s="94"/>
      <c r="D14" s="784">
        <v>100</v>
      </c>
      <c r="E14" s="126"/>
      <c r="F14" s="784">
        <f>SUMIF(86:86,E14,87:87)-SUMIF(86:86,C14,87:87)+100</f>
        <v>100</v>
      </c>
      <c r="G14" s="203"/>
      <c r="H14" s="784">
        <f>SUMIF(86:86,G14,87:87)-SUMIF(86:86,C14,87:87)+100</f>
        <v>100</v>
      </c>
      <c r="I14" s="203"/>
      <c r="J14" s="784">
        <f>SUMIF(86:86,I14,87:87)-SUMIF(86:86,C14,87:87)+100</f>
        <v>100</v>
      </c>
      <c r="K14" s="1085"/>
      <c r="L14" s="2365"/>
      <c r="M14" s="2356"/>
      <c r="N14" s="2356"/>
      <c r="O14" s="2364"/>
      <c r="P14" s="3854"/>
      <c r="Q14" s="302">
        <f t="shared" si="6"/>
        <v>0</v>
      </c>
      <c r="R14" s="1322" t="s">
        <v>70</v>
      </c>
      <c r="S14" s="1323">
        <f t="shared" si="0"/>
        <v>100</v>
      </c>
      <c r="T14" s="1322" t="s">
        <v>70</v>
      </c>
      <c r="U14" s="1323">
        <f t="shared" si="1"/>
        <v>100</v>
      </c>
      <c r="V14" s="1322" t="s">
        <v>70</v>
      </c>
      <c r="W14" s="1323">
        <f t="shared" si="2"/>
        <v>100</v>
      </c>
      <c r="X14" s="1324"/>
      <c r="Y14" s="3725"/>
      <c r="Z14" s="350">
        <f t="shared" si="7"/>
        <v>0</v>
      </c>
      <c r="AA14" s="1325">
        <f>D14/F14</f>
        <v>1</v>
      </c>
      <c r="AB14" s="1325">
        <f>D14/H14</f>
        <v>1</v>
      </c>
      <c r="AC14" s="1325">
        <f>D14/J14</f>
        <v>1</v>
      </c>
    </row>
    <row r="15" spans="1:30" ht="15">
      <c r="A15" s="786" t="s">
        <v>575</v>
      </c>
      <c r="B15" s="365" t="s">
        <v>449</v>
      </c>
      <c r="C15" s="157">
        <f>估价对象房地状况!C15</f>
        <v>0</v>
      </c>
      <c r="D15" s="787">
        <v>100</v>
      </c>
      <c r="E15" s="788"/>
      <c r="F15" s="787">
        <f>SUMIF(88:88,E16,89:89)-SUMIF(88:88,C16,89:89)+100</f>
        <v>100</v>
      </c>
      <c r="G15" s="788"/>
      <c r="H15" s="787">
        <f>SUMIF(88:88,G16,89:89)-SUMIF(88:88,C16,89:89)+100</f>
        <v>100</v>
      </c>
      <c r="I15" s="790"/>
      <c r="J15" s="787">
        <f>SUMIF(88:88,I16,89:89)-SUMIF(88:88,C16,89:89)+100</f>
        <v>100</v>
      </c>
      <c r="K15" s="1086"/>
      <c r="L15" s="2365"/>
      <c r="M15" s="2356"/>
      <c r="N15" s="2356"/>
      <c r="O15" s="2364"/>
      <c r="P15" s="3869" t="s">
        <v>576</v>
      </c>
      <c r="Q15" s="1326" t="str">
        <f t="shared" si="6"/>
        <v>居住社区成熟度</v>
      </c>
      <c r="R15" s="1327" t="s">
        <v>70</v>
      </c>
      <c r="S15" s="1328">
        <f t="shared" si="0"/>
        <v>100</v>
      </c>
      <c r="T15" s="1327" t="s">
        <v>70</v>
      </c>
      <c r="U15" s="1328">
        <f t="shared" si="1"/>
        <v>100</v>
      </c>
      <c r="V15" s="1327" t="s">
        <v>70</v>
      </c>
      <c r="W15" s="1328">
        <f t="shared" si="2"/>
        <v>100</v>
      </c>
      <c r="X15" s="1321"/>
      <c r="Y15" s="3869" t="s">
        <v>576</v>
      </c>
      <c r="Z15" s="1329" t="str">
        <f t="shared" si="7"/>
        <v>居住社区成熟度</v>
      </c>
      <c r="AA15" s="1330">
        <f t="shared" si="3"/>
        <v>1</v>
      </c>
      <c r="AB15" s="1330">
        <f t="shared" si="4"/>
        <v>1</v>
      </c>
      <c r="AC15" s="1330">
        <f t="shared" si="5"/>
        <v>1</v>
      </c>
    </row>
    <row r="16" spans="1:30" ht="15">
      <c r="A16" s="774"/>
      <c r="B16" s="792"/>
      <c r="C16" s="97"/>
      <c r="D16" s="794"/>
      <c r="E16" s="98"/>
      <c r="F16" s="794"/>
      <c r="G16" s="98"/>
      <c r="H16" s="796"/>
      <c r="I16" s="99"/>
      <c r="J16" s="794"/>
      <c r="K16" s="1085"/>
      <c r="L16" s="2365"/>
      <c r="M16" s="2356"/>
      <c r="N16" s="2356"/>
      <c r="O16" s="2364"/>
      <c r="P16" s="3870"/>
      <c r="Q16" s="1326"/>
      <c r="R16" s="1327"/>
      <c r="S16" s="1328"/>
      <c r="T16" s="1327"/>
      <c r="U16" s="1328"/>
      <c r="V16" s="1327"/>
      <c r="W16" s="1328"/>
      <c r="X16" s="1321"/>
      <c r="Y16" s="3870"/>
      <c r="Z16" s="1329"/>
      <c r="AA16" s="1330">
        <v>1</v>
      </c>
      <c r="AB16" s="1330">
        <v>1</v>
      </c>
      <c r="AC16" s="1330">
        <v>1</v>
      </c>
    </row>
    <row r="17" spans="1:29" ht="135.75" customHeight="1">
      <c r="A17" s="774"/>
      <c r="B17" s="797" t="s">
        <v>615</v>
      </c>
      <c r="C17" s="190" t="str">
        <f>估价对象房地状况!C16</f>
        <v>估价对象自身商业用地较多，周边较少，周边仅有平安超市等住宅配套商业，商业规模较小，综合评价商业繁华度较差</v>
      </c>
      <c r="D17" s="796">
        <v>100</v>
      </c>
      <c r="E17" s="3348" t="s">
        <v>3678</v>
      </c>
      <c r="F17" s="796">
        <f>SUMIF(90:90,E18,91:91)-SUMIF(90:90,C18,91:91)+100</f>
        <v>100</v>
      </c>
      <c r="G17" s="3348" t="s">
        <v>3684</v>
      </c>
      <c r="H17" s="801">
        <f>SUMIF(90:90,G18,91:91)-SUMIF(90:90,C18,91:91)+100</f>
        <v>104</v>
      </c>
      <c r="I17" s="3348" t="s">
        <v>3684</v>
      </c>
      <c r="J17" s="801">
        <f>SUMIF(90:90,I18,91:91)-SUMIF(90:90,C18,91:91)+100</f>
        <v>104</v>
      </c>
      <c r="K17" s="1086">
        <f>'[48]比较法-住宅、综合'!$K$19</f>
        <v>2</v>
      </c>
      <c r="L17" s="2365"/>
      <c r="M17" s="2356"/>
      <c r="N17" s="2356"/>
      <c r="O17" s="2364"/>
      <c r="P17" s="3870"/>
      <c r="Q17" s="1326" t="str">
        <f>B17</f>
        <v>商业繁华度</v>
      </c>
      <c r="R17" s="1327" t="s">
        <v>70</v>
      </c>
      <c r="S17" s="1328">
        <f>F17</f>
        <v>100</v>
      </c>
      <c r="T17" s="1327" t="s">
        <v>70</v>
      </c>
      <c r="U17" s="1328">
        <f>H17</f>
        <v>104</v>
      </c>
      <c r="V17" s="1327" t="s">
        <v>70</v>
      </c>
      <c r="W17" s="1328">
        <f>J17</f>
        <v>104</v>
      </c>
      <c r="X17" s="1321"/>
      <c r="Y17" s="3870"/>
      <c r="Z17" s="1329" t="str">
        <f>Q17</f>
        <v>商业繁华度</v>
      </c>
      <c r="AA17" s="1330">
        <f t="shared" si="3"/>
        <v>1</v>
      </c>
      <c r="AB17" s="1330">
        <f t="shared" si="4"/>
        <v>0.96153846153846156</v>
      </c>
      <c r="AC17" s="1330">
        <f t="shared" si="5"/>
        <v>0.96153846153846156</v>
      </c>
    </row>
    <row r="18" spans="1:29" ht="15">
      <c r="A18" s="774"/>
      <c r="B18" s="802"/>
      <c r="C18" s="102" t="s">
        <v>153</v>
      </c>
      <c r="D18" s="796"/>
      <c r="E18" s="103" t="s">
        <v>153</v>
      </c>
      <c r="F18" s="796"/>
      <c r="G18" s="103" t="s">
        <v>123</v>
      </c>
      <c r="H18" s="794"/>
      <c r="I18" s="103" t="s">
        <v>123</v>
      </c>
      <c r="J18" s="794"/>
      <c r="K18" s="1085"/>
      <c r="L18" s="2365"/>
      <c r="M18" s="2356"/>
      <c r="N18" s="2356"/>
      <c r="O18" s="2364"/>
      <c r="P18" s="3870"/>
      <c r="Q18" s="1326"/>
      <c r="R18" s="1327"/>
      <c r="S18" s="1328"/>
      <c r="T18" s="1327"/>
      <c r="U18" s="1328"/>
      <c r="V18" s="1327"/>
      <c r="W18" s="1328"/>
      <c r="X18" s="1321"/>
      <c r="Y18" s="3870"/>
      <c r="Z18" s="1329"/>
      <c r="AA18" s="1330">
        <v>1</v>
      </c>
      <c r="AB18" s="1330">
        <v>1</v>
      </c>
      <c r="AC18" s="1330">
        <v>1</v>
      </c>
    </row>
    <row r="19" spans="1:29" ht="15">
      <c r="A19" s="774"/>
      <c r="B19" s="797" t="s">
        <v>625</v>
      </c>
      <c r="C19" s="190">
        <f>估价对象房地状况!C17</f>
        <v>0</v>
      </c>
      <c r="D19" s="801">
        <v>100</v>
      </c>
      <c r="E19" s="803"/>
      <c r="F19" s="801">
        <f>SUMIF(92:92,E20,93:93)-SUMIF(92:92,C20,93:93)+100</f>
        <v>100</v>
      </c>
      <c r="G19" s="803"/>
      <c r="H19" s="796">
        <f>SUMIF(92:92,G20,93:93)-SUMIF(92:92,C20,93:93)+100</f>
        <v>100</v>
      </c>
      <c r="I19" s="805"/>
      <c r="J19" s="796">
        <f>SUMIF(92:92,I20,93:93)-SUMIF(92:92,C20,93:93)+100</f>
        <v>100</v>
      </c>
      <c r="K19" s="1086">
        <v>0</v>
      </c>
      <c r="L19" s="2365"/>
      <c r="M19" s="2356"/>
      <c r="N19" s="2356"/>
      <c r="O19" s="2364"/>
      <c r="P19" s="3870"/>
      <c r="Q19" s="1326" t="str">
        <f>B19</f>
        <v>办公集聚程度</v>
      </c>
      <c r="R19" s="1327" t="s">
        <v>70</v>
      </c>
      <c r="S19" s="1328">
        <f>F19</f>
        <v>100</v>
      </c>
      <c r="T19" s="1327" t="s">
        <v>70</v>
      </c>
      <c r="U19" s="1328">
        <f>H19</f>
        <v>100</v>
      </c>
      <c r="V19" s="1327" t="s">
        <v>70</v>
      </c>
      <c r="W19" s="1328">
        <f>J19</f>
        <v>100</v>
      </c>
      <c r="X19" s="1321"/>
      <c r="Y19" s="3870"/>
      <c r="Z19" s="1329" t="str">
        <f>Q19</f>
        <v>办公集聚程度</v>
      </c>
      <c r="AA19" s="1330">
        <f t="shared" si="3"/>
        <v>1</v>
      </c>
      <c r="AB19" s="1330">
        <f t="shared" si="4"/>
        <v>1</v>
      </c>
      <c r="AC19" s="1330">
        <f t="shared" si="5"/>
        <v>1</v>
      </c>
    </row>
    <row r="20" spans="1:29" ht="15">
      <c r="A20" s="774"/>
      <c r="B20" s="802"/>
      <c r="C20" s="97"/>
      <c r="D20" s="794"/>
      <c r="E20" s="98"/>
      <c r="F20" s="794"/>
      <c r="G20" s="98"/>
      <c r="H20" s="794"/>
      <c r="I20" s="99"/>
      <c r="J20" s="794"/>
      <c r="K20" s="1085"/>
      <c r="L20" s="2365"/>
      <c r="M20" s="2356"/>
      <c r="N20" s="2356"/>
      <c r="O20" s="2364"/>
      <c r="P20" s="3870"/>
      <c r="Q20" s="1326"/>
      <c r="R20" s="1327"/>
      <c r="S20" s="1328"/>
      <c r="T20" s="1327"/>
      <c r="U20" s="1328"/>
      <c r="V20" s="1327"/>
      <c r="W20" s="1328"/>
      <c r="X20" s="1321"/>
      <c r="Y20" s="3870"/>
      <c r="Z20" s="1329"/>
      <c r="AA20" s="1330">
        <v>1</v>
      </c>
      <c r="AB20" s="1330">
        <v>1</v>
      </c>
      <c r="AC20" s="1330">
        <v>1</v>
      </c>
    </row>
    <row r="21" spans="1:29" ht="162" customHeight="1">
      <c r="A21" s="774"/>
      <c r="B21" s="797" t="s">
        <v>645</v>
      </c>
      <c r="C21" s="158" t="str">
        <f>估价对象房地状况!C18</f>
        <v>估价对象周边有938、香河1路等公交线路，大香线等城市次干道，公共交通通达情况一般；项目自身有停车位、停车便捷程度一般，综合评价交通便捷度一般</v>
      </c>
      <c r="D21" s="796">
        <v>100</v>
      </c>
      <c r="E21" s="798" t="s">
        <v>3681</v>
      </c>
      <c r="F21" s="801">
        <f>SUMIF(94:94,E22,95:95)-SUMIF(94:94,C22,95:95)+100</f>
        <v>97.5</v>
      </c>
      <c r="G21" s="3348" t="s">
        <v>3685</v>
      </c>
      <c r="H21" s="796">
        <f>SUMIF(94:94,G22,95:95)-SUMIF(94:94,C22,95:95)+100</f>
        <v>97.5</v>
      </c>
      <c r="I21" s="3348" t="s">
        <v>3685</v>
      </c>
      <c r="J21" s="796">
        <f>SUMIF(94:94,I22,95:95)-SUMIF(94:94,C22,95:95)+100</f>
        <v>97.5</v>
      </c>
      <c r="K21" s="1086">
        <f>'[48]比较法-住宅、综合'!$K$23</f>
        <v>2.5</v>
      </c>
      <c r="L21" s="2365"/>
      <c r="M21" s="2356"/>
      <c r="N21" s="2356"/>
      <c r="O21" s="2364"/>
      <c r="P21" s="3870"/>
      <c r="Q21" s="1326" t="str">
        <f>B21</f>
        <v>交通便捷度</v>
      </c>
      <c r="R21" s="1327" t="s">
        <v>70</v>
      </c>
      <c r="S21" s="1328">
        <f>F21</f>
        <v>97.5</v>
      </c>
      <c r="T21" s="1327" t="s">
        <v>70</v>
      </c>
      <c r="U21" s="1328">
        <f>H21</f>
        <v>97.5</v>
      </c>
      <c r="V21" s="1327" t="s">
        <v>70</v>
      </c>
      <c r="W21" s="1328">
        <f>J21</f>
        <v>97.5</v>
      </c>
      <c r="X21" s="1321"/>
      <c r="Y21" s="3870"/>
      <c r="Z21" s="1329" t="str">
        <f>Q21</f>
        <v>交通便捷度</v>
      </c>
      <c r="AA21" s="1330">
        <f t="shared" si="3"/>
        <v>1.0256410256410255</v>
      </c>
      <c r="AB21" s="1330">
        <f t="shared" si="4"/>
        <v>1.0256410256410255</v>
      </c>
      <c r="AC21" s="1330">
        <f t="shared" si="5"/>
        <v>1.0256410256410255</v>
      </c>
    </row>
    <row r="22" spans="1:29" ht="15">
      <c r="A22" s="774"/>
      <c r="B22" s="2785"/>
      <c r="C22" s="97" t="s">
        <v>124</v>
      </c>
      <c r="D22" s="796"/>
      <c r="E22" s="98" t="s">
        <v>153</v>
      </c>
      <c r="F22" s="794"/>
      <c r="G22" s="98" t="s">
        <v>153</v>
      </c>
      <c r="H22" s="794"/>
      <c r="I22" s="98" t="s">
        <v>153</v>
      </c>
      <c r="J22" s="794"/>
      <c r="K22" s="1085"/>
      <c r="L22" s="2365"/>
      <c r="M22" s="2356"/>
      <c r="N22" s="2356"/>
      <c r="O22" s="2364"/>
      <c r="P22" s="3870"/>
      <c r="Q22" s="1326"/>
      <c r="R22" s="1327"/>
      <c r="S22" s="1328"/>
      <c r="T22" s="1327"/>
      <c r="U22" s="1328"/>
      <c r="V22" s="1327"/>
      <c r="W22" s="1328"/>
      <c r="X22" s="1321"/>
      <c r="Y22" s="3870"/>
      <c r="Z22" s="1329"/>
      <c r="AA22" s="1330">
        <v>1</v>
      </c>
      <c r="AB22" s="1330">
        <v>1</v>
      </c>
      <c r="AC22" s="1330">
        <v>1</v>
      </c>
    </row>
    <row r="23" spans="1:29" ht="58.5" customHeight="1">
      <c r="A23" s="750"/>
      <c r="B23" s="797" t="s">
        <v>697</v>
      </c>
      <c r="C23" s="2790" t="str">
        <f>估价对象房地状况!C19</f>
        <v>零星有其他用地，基本不影响本宗地</v>
      </c>
      <c r="D23" s="801">
        <v>100</v>
      </c>
      <c r="E23" s="798" t="s">
        <v>2200</v>
      </c>
      <c r="F23" s="801">
        <f>SUMIF(96:96,E24,97:97)-SUMIF(96:96,C24,97:97)+100</f>
        <v>100</v>
      </c>
      <c r="G23" s="798" t="s">
        <v>2200</v>
      </c>
      <c r="H23" s="801">
        <f>SUMIF(96:96,G24,97:97)-SUMIF(96:96,C24,97:97)+100</f>
        <v>100</v>
      </c>
      <c r="I23" s="798" t="s">
        <v>2200</v>
      </c>
      <c r="J23" s="801">
        <f>SUMIF(96:96,I24,97:97)-SUMIF(96:96,C24,97:97)+100</f>
        <v>100</v>
      </c>
      <c r="K23" s="1086">
        <f>'[48]比较法-住宅、综合'!$K$25</f>
        <v>1.5</v>
      </c>
      <c r="L23" s="2365"/>
      <c r="M23" s="2356"/>
      <c r="N23" s="2356"/>
      <c r="O23" s="2364"/>
      <c r="P23" s="3870"/>
      <c r="Q23" s="1326" t="str">
        <f t="shared" ref="Q23:Q37" si="8">B23</f>
        <v>区域土地利用方向</v>
      </c>
      <c r="R23" s="1327" t="s">
        <v>70</v>
      </c>
      <c r="S23" s="1328">
        <f>F23</f>
        <v>100</v>
      </c>
      <c r="T23" s="1327" t="s">
        <v>70</v>
      </c>
      <c r="U23" s="1328">
        <f>H23</f>
        <v>100</v>
      </c>
      <c r="V23" s="1327" t="s">
        <v>70</v>
      </c>
      <c r="W23" s="1328">
        <f>J23</f>
        <v>100</v>
      </c>
      <c r="X23" s="1321"/>
      <c r="Y23" s="3870"/>
      <c r="Z23" s="1329" t="str">
        <f>Q23</f>
        <v>区域土地利用方向</v>
      </c>
      <c r="AA23" s="1330">
        <f t="shared" si="3"/>
        <v>1</v>
      </c>
      <c r="AB23" s="1330">
        <f t="shared" si="4"/>
        <v>1</v>
      </c>
      <c r="AC23" s="1330">
        <f t="shared" si="5"/>
        <v>1</v>
      </c>
    </row>
    <row r="24" spans="1:29" ht="15">
      <c r="A24" s="750"/>
      <c r="B24" s="802"/>
      <c r="C24" s="182" t="s">
        <v>123</v>
      </c>
      <c r="D24" s="794"/>
      <c r="E24" s="98" t="s">
        <v>123</v>
      </c>
      <c r="F24" s="794"/>
      <c r="G24" s="98" t="s">
        <v>123</v>
      </c>
      <c r="H24" s="794"/>
      <c r="I24" s="98" t="s">
        <v>123</v>
      </c>
      <c r="J24" s="794"/>
      <c r="K24" s="1489"/>
      <c r="L24" s="2365"/>
      <c r="M24" s="2356"/>
      <c r="N24" s="2356"/>
      <c r="O24" s="2364"/>
      <c r="P24" s="3870"/>
      <c r="Q24" s="1473"/>
      <c r="R24" s="1327"/>
      <c r="S24" s="1328"/>
      <c r="T24" s="1327"/>
      <c r="U24" s="1328"/>
      <c r="V24" s="1327"/>
      <c r="W24" s="1328"/>
      <c r="X24" s="1472"/>
      <c r="Y24" s="3870"/>
      <c r="Z24" s="1474"/>
      <c r="AA24" s="1330"/>
      <c r="AB24" s="1330"/>
      <c r="AC24" s="1330"/>
    </row>
    <row r="25" spans="1:29" ht="95.25" customHeight="1">
      <c r="A25" s="750"/>
      <c r="B25" s="2785" t="s">
        <v>698</v>
      </c>
      <c r="C25" s="3484" t="str">
        <f>估价对象房地状况!C20</f>
        <v>区域自然环境：无；人文环境：亚太中医哮喘病研究所；综合评价环境状况一般</v>
      </c>
      <c r="D25" s="796">
        <v>100</v>
      </c>
      <c r="E25" s="3348" t="s">
        <v>3679</v>
      </c>
      <c r="F25" s="796">
        <f>SUMIF(98:98,E26,99:99)-SUMIF(98:98,C26,99:99)+100</f>
        <v>100</v>
      </c>
      <c r="G25" s="3348" t="s">
        <v>3686</v>
      </c>
      <c r="H25" s="796">
        <f>SUMIF(98:98,G26,99:99)-SUMIF(98:98,C26,99:99)+100</f>
        <v>101.5</v>
      </c>
      <c r="I25" s="3348" t="s">
        <v>3686</v>
      </c>
      <c r="J25" s="796">
        <f>SUMIF(98:98,I26,99:99)-SUMIF(98:98,C26,99:99)+100</f>
        <v>101.5</v>
      </c>
      <c r="K25" s="1086">
        <f>'[48]比较法-住宅、综合'!$K$27</f>
        <v>1.5</v>
      </c>
      <c r="L25" s="2365"/>
      <c r="M25" s="2356"/>
      <c r="N25" s="2356"/>
      <c r="O25" s="2364"/>
      <c r="P25" s="3870"/>
      <c r="Q25" s="1326" t="str">
        <f t="shared" si="8"/>
        <v>自然及人文环境状况</v>
      </c>
      <c r="R25" s="1327" t="s">
        <v>70</v>
      </c>
      <c r="S25" s="1328">
        <f>F25</f>
        <v>100</v>
      </c>
      <c r="T25" s="1327" t="s">
        <v>70</v>
      </c>
      <c r="U25" s="1328">
        <f>H25</f>
        <v>101.5</v>
      </c>
      <c r="V25" s="1327" t="s">
        <v>70</v>
      </c>
      <c r="W25" s="1328">
        <f>J25</f>
        <v>101.5</v>
      </c>
      <c r="X25" s="1321"/>
      <c r="Y25" s="3870"/>
      <c r="Z25" s="1329" t="str">
        <f>Q25</f>
        <v>自然及人文环境状况</v>
      </c>
      <c r="AA25" s="1330">
        <f t="shared" si="3"/>
        <v>1</v>
      </c>
      <c r="AB25" s="1330">
        <f t="shared" si="4"/>
        <v>0.98522167487684731</v>
      </c>
      <c r="AC25" s="1330">
        <f t="shared" si="5"/>
        <v>0.98522167487684731</v>
      </c>
    </row>
    <row r="26" spans="1:29" ht="15">
      <c r="A26" s="750"/>
      <c r="B26" s="802"/>
      <c r="C26" s="97" t="s">
        <v>124</v>
      </c>
      <c r="D26" s="794"/>
      <c r="E26" s="192" t="s">
        <v>124</v>
      </c>
      <c r="F26" s="794"/>
      <c r="G26" s="192" t="s">
        <v>123</v>
      </c>
      <c r="H26" s="794"/>
      <c r="I26" s="192" t="s">
        <v>123</v>
      </c>
      <c r="J26" s="794"/>
      <c r="K26" s="1085"/>
      <c r="L26" s="2365"/>
      <c r="M26" s="2356"/>
      <c r="N26" s="2356"/>
      <c r="O26" s="2364"/>
      <c r="P26" s="3870"/>
      <c r="Q26" s="1326"/>
      <c r="R26" s="1327"/>
      <c r="S26" s="1328"/>
      <c r="T26" s="1327"/>
      <c r="U26" s="1328"/>
      <c r="V26" s="1327"/>
      <c r="W26" s="1328"/>
      <c r="X26" s="1321"/>
      <c r="Y26" s="3870"/>
      <c r="Z26" s="1329"/>
      <c r="AA26" s="1330">
        <v>1</v>
      </c>
      <c r="AB26" s="1330">
        <v>1</v>
      </c>
      <c r="AC26" s="1330">
        <v>1</v>
      </c>
    </row>
    <row r="27" spans="1:29" s="412" customFormat="1" ht="73.5" customHeight="1">
      <c r="A27" s="995"/>
      <c r="B27" s="1415" t="s">
        <v>3070</v>
      </c>
      <c r="C27" s="158" t="str">
        <f>估价对象房地状况!C21</f>
        <v>估价对象所在区域公共配套，有银行、医院、邮局等，设施齐备度较好</v>
      </c>
      <c r="D27" s="796">
        <v>100</v>
      </c>
      <c r="E27" s="3348" t="s">
        <v>3680</v>
      </c>
      <c r="F27" s="796">
        <f>SUMIF(100:100,E28,101:101)-SUMIF(100:100,C28,101:101)+100</f>
        <v>96</v>
      </c>
      <c r="G27" s="798" t="s">
        <v>3687</v>
      </c>
      <c r="H27" s="796">
        <f>SUMIF(100:100,G28,101:101)-SUMIF(100:100,C28,101:101)+100</f>
        <v>100</v>
      </c>
      <c r="I27" s="798" t="s">
        <v>3687</v>
      </c>
      <c r="J27" s="796">
        <f>SUMIF(100:100,I28,101:101)-SUMIF(100:100,C28,101:101)+100</f>
        <v>100</v>
      </c>
      <c r="K27" s="1086">
        <f>'[48]比较法-住宅、综合'!$K$29</f>
        <v>2</v>
      </c>
      <c r="L27" s="2357"/>
      <c r="M27" s="2358"/>
      <c r="N27" s="2358"/>
      <c r="O27" s="2359"/>
      <c r="P27" s="3870"/>
      <c r="Q27" s="302" t="str">
        <f t="shared" si="8"/>
        <v>公共配套设施</v>
      </c>
      <c r="R27" s="1322" t="s">
        <v>70</v>
      </c>
      <c r="S27" s="1323">
        <f>F27</f>
        <v>96</v>
      </c>
      <c r="T27" s="1322" t="s">
        <v>70</v>
      </c>
      <c r="U27" s="1323">
        <f>H27</f>
        <v>100</v>
      </c>
      <c r="V27" s="1322" t="s">
        <v>70</v>
      </c>
      <c r="W27" s="1323">
        <f>J27</f>
        <v>100</v>
      </c>
      <c r="X27" s="1324"/>
      <c r="Y27" s="3870"/>
      <c r="Z27" s="350" t="str">
        <f>Q27</f>
        <v>公共配套设施</v>
      </c>
      <c r="AA27" s="1330">
        <f>D27/F27</f>
        <v>1.0416666666666667</v>
      </c>
      <c r="AB27" s="1330">
        <f>D27/H27</f>
        <v>1</v>
      </c>
      <c r="AC27" s="1330">
        <f>D27/J27</f>
        <v>1</v>
      </c>
    </row>
    <row r="28" spans="1:29" s="412" customFormat="1" ht="15">
      <c r="A28" s="995"/>
      <c r="B28" s="802"/>
      <c r="C28" s="2791" t="s">
        <v>123</v>
      </c>
      <c r="D28" s="794"/>
      <c r="E28" s="192" t="s">
        <v>153</v>
      </c>
      <c r="F28" s="794"/>
      <c r="G28" s="192" t="s">
        <v>123</v>
      </c>
      <c r="H28" s="794"/>
      <c r="I28" s="192" t="s">
        <v>123</v>
      </c>
      <c r="J28" s="794"/>
      <c r="K28" s="1085"/>
      <c r="L28" s="2357"/>
      <c r="M28" s="2358"/>
      <c r="N28" s="2358"/>
      <c r="O28" s="2359"/>
      <c r="P28" s="3870"/>
      <c r="Q28" s="302"/>
      <c r="R28" s="1322"/>
      <c r="S28" s="1323"/>
      <c r="T28" s="1322"/>
      <c r="U28" s="1323"/>
      <c r="V28" s="1322"/>
      <c r="W28" s="1323"/>
      <c r="X28" s="1324"/>
      <c r="Y28" s="3870"/>
      <c r="Z28" s="350"/>
      <c r="AA28" s="1330">
        <v>1</v>
      </c>
      <c r="AB28" s="1330">
        <v>1</v>
      </c>
      <c r="AC28" s="1330">
        <v>1</v>
      </c>
    </row>
    <row r="29" spans="1:29" s="412" customFormat="1" ht="69" customHeight="1">
      <c r="A29" s="995"/>
      <c r="B29" s="1415" t="s">
        <v>3071</v>
      </c>
      <c r="C29" s="158" t="str">
        <f>估价对象房地状况!C22</f>
        <v>估价对象所在区域基础设施水平七通一平</v>
      </c>
      <c r="D29" s="796">
        <v>100</v>
      </c>
      <c r="E29" s="798" t="s">
        <v>3683</v>
      </c>
      <c r="F29" s="796">
        <f>SUMIF(102:102,E30,103:103)-SUMIF(102:102,C30,103:103)+100</f>
        <v>100</v>
      </c>
      <c r="G29" s="798" t="s">
        <v>3683</v>
      </c>
      <c r="H29" s="796">
        <f>SUMIF(102:102,G30,103:103)-SUMIF(102:102,C30,103:103)+100</f>
        <v>100</v>
      </c>
      <c r="I29" s="798" t="s">
        <v>3683</v>
      </c>
      <c r="J29" s="796">
        <f>SUMIF(102:102,I30,103:103)-SUMIF(102:102,C30,103:103)+100</f>
        <v>100</v>
      </c>
      <c r="K29" s="1086">
        <f>'[48]比较法-住宅、综合'!$K$31</f>
        <v>1</v>
      </c>
      <c r="L29" s="2357"/>
      <c r="M29" s="2358"/>
      <c r="N29" s="2358"/>
      <c r="O29" s="2359"/>
      <c r="P29" s="3870"/>
      <c r="Q29" s="2760" t="str">
        <f t="shared" ref="Q29" si="9">B29</f>
        <v>基础设施水平</v>
      </c>
      <c r="R29" s="1322" t="s">
        <v>70</v>
      </c>
      <c r="S29" s="1323">
        <f>F29</f>
        <v>100</v>
      </c>
      <c r="T29" s="1322" t="s">
        <v>70</v>
      </c>
      <c r="U29" s="1323">
        <f>H29</f>
        <v>100</v>
      </c>
      <c r="V29" s="1322" t="s">
        <v>70</v>
      </c>
      <c r="W29" s="1323">
        <f>J29</f>
        <v>100</v>
      </c>
      <c r="X29" s="1324"/>
      <c r="Y29" s="3870"/>
      <c r="Z29" s="350" t="str">
        <f>Q29</f>
        <v>基础设施水平</v>
      </c>
      <c r="AA29" s="1330">
        <f>D29/F29</f>
        <v>1</v>
      </c>
      <c r="AB29" s="1330">
        <f>D29/H29</f>
        <v>1</v>
      </c>
      <c r="AC29" s="1330">
        <f>D29/J29</f>
        <v>1</v>
      </c>
    </row>
    <row r="30" spans="1:29" s="412" customFormat="1" ht="15">
      <c r="A30" s="995"/>
      <c r="B30" s="802"/>
      <c r="C30" s="2791" t="s">
        <v>56</v>
      </c>
      <c r="D30" s="794"/>
      <c r="E30" s="1040" t="s">
        <v>56</v>
      </c>
      <c r="F30" s="794"/>
      <c r="G30" s="1040" t="s">
        <v>56</v>
      </c>
      <c r="H30" s="794"/>
      <c r="I30" s="1040" t="s">
        <v>56</v>
      </c>
      <c r="J30" s="794"/>
      <c r="K30" s="1085"/>
      <c r="L30" s="2357"/>
      <c r="M30" s="2358"/>
      <c r="N30" s="2358"/>
      <c r="O30" s="2359"/>
      <c r="P30" s="3870"/>
      <c r="Q30" s="2760"/>
      <c r="R30" s="1322"/>
      <c r="S30" s="1323"/>
      <c r="T30" s="1322"/>
      <c r="U30" s="1323"/>
      <c r="V30" s="1322"/>
      <c r="W30" s="1323"/>
      <c r="X30" s="1324"/>
      <c r="Y30" s="3870"/>
      <c r="Z30" s="350"/>
      <c r="AA30" s="1330">
        <v>1</v>
      </c>
      <c r="AB30" s="1330">
        <v>1</v>
      </c>
      <c r="AC30" s="1330">
        <v>1</v>
      </c>
    </row>
    <row r="31" spans="1:29" ht="15">
      <c r="A31" s="774"/>
      <c r="B31" s="802" t="s">
        <v>618</v>
      </c>
      <c r="C31" s="3485" t="s">
        <v>273</v>
      </c>
      <c r="D31" s="781">
        <v>100</v>
      </c>
      <c r="E31" s="195" t="s">
        <v>261</v>
      </c>
      <c r="F31" s="781">
        <f>SUMIF(104:104,E31,105:105)-SUMIF(104:104,C31,105:105)+100</f>
        <v>99</v>
      </c>
      <c r="G31" s="195" t="s">
        <v>261</v>
      </c>
      <c r="H31" s="781">
        <f>SUMIF(104:104,G31,105:105)-SUMIF(104:104,C31,105:105)+100</f>
        <v>99</v>
      </c>
      <c r="I31" s="195" t="s">
        <v>261</v>
      </c>
      <c r="J31" s="781">
        <f>SUMIF(104:104,I31,105:105)-SUMIF(104:104,C31,105:105)+100</f>
        <v>99</v>
      </c>
      <c r="K31" s="1086">
        <f>'[48]比较法-住宅、综合'!$K$33</f>
        <v>1</v>
      </c>
      <c r="L31" s="2365"/>
      <c r="M31" s="2356"/>
      <c r="N31" s="2356"/>
      <c r="O31" s="2364"/>
      <c r="P31" s="3870"/>
      <c r="Q31" s="1326" t="str">
        <f t="shared" si="8"/>
        <v>临街状况</v>
      </c>
      <c r="R31" s="1327" t="s">
        <v>70</v>
      </c>
      <c r="S31" s="1328">
        <f t="shared" ref="S31:S45" si="10">F31</f>
        <v>99</v>
      </c>
      <c r="T31" s="1327" t="s">
        <v>70</v>
      </c>
      <c r="U31" s="1328">
        <f t="shared" ref="U31:U45" si="11">H31</f>
        <v>99</v>
      </c>
      <c r="V31" s="1327" t="s">
        <v>70</v>
      </c>
      <c r="W31" s="1328">
        <f t="shared" ref="W31:W45" si="12">J31</f>
        <v>99</v>
      </c>
      <c r="X31" s="1321"/>
      <c r="Y31" s="3870"/>
      <c r="Z31" s="1329" t="str">
        <f t="shared" ref="Z31:Z45" si="13">Q31</f>
        <v>临街状况</v>
      </c>
      <c r="AA31" s="1330">
        <f t="shared" si="3"/>
        <v>1.0101010101010102</v>
      </c>
      <c r="AB31" s="1330">
        <f t="shared" si="4"/>
        <v>1.0101010101010102</v>
      </c>
      <c r="AC31" s="1330">
        <f t="shared" si="5"/>
        <v>1.0101010101010102</v>
      </c>
    </row>
    <row r="32" spans="1:29" ht="27.75">
      <c r="A32" s="774"/>
      <c r="B32" s="2785" t="s">
        <v>626</v>
      </c>
      <c r="C32" s="800" t="s">
        <v>3675</v>
      </c>
      <c r="D32" s="796">
        <v>100</v>
      </c>
      <c r="E32" s="800" t="s">
        <v>3682</v>
      </c>
      <c r="F32" s="796">
        <f>SUMIF(106:106,E33,107:107)-SUMIF(106:106,C33,107:107)+100</f>
        <v>100</v>
      </c>
      <c r="G32" s="800" t="s">
        <v>3688</v>
      </c>
      <c r="H32" s="796">
        <f>SUMIF(106:106,G33,107:107)-SUMIF(106:106,C33,107:107)+100</f>
        <v>100</v>
      </c>
      <c r="I32" s="800" t="s">
        <v>3689</v>
      </c>
      <c r="J32" s="796">
        <f>SUMIF(106:106,I33,107:107)-SUMIF(106:106,C33,107:107)+100</f>
        <v>100</v>
      </c>
      <c r="K32" s="1086">
        <f>'[48]比较法-住宅、综合'!$K$34</f>
        <v>1</v>
      </c>
      <c r="L32" s="2365"/>
      <c r="M32" s="2356"/>
      <c r="N32" s="2356"/>
      <c r="O32" s="2364"/>
      <c r="P32" s="3870"/>
      <c r="Q32" s="1326" t="str">
        <f t="shared" si="8"/>
        <v>毗邻道路的类型与等级</v>
      </c>
      <c r="R32" s="1327" t="s">
        <v>70</v>
      </c>
      <c r="S32" s="1328">
        <f t="shared" si="10"/>
        <v>100</v>
      </c>
      <c r="T32" s="1327" t="s">
        <v>70</v>
      </c>
      <c r="U32" s="1328">
        <f t="shared" si="11"/>
        <v>100</v>
      </c>
      <c r="V32" s="1327" t="s">
        <v>70</v>
      </c>
      <c r="W32" s="1328">
        <f t="shared" si="12"/>
        <v>100</v>
      </c>
      <c r="X32" s="1321"/>
      <c r="Y32" s="3870"/>
      <c r="Z32" s="1329" t="str">
        <f t="shared" si="13"/>
        <v>毗邻道路的类型与等级</v>
      </c>
      <c r="AA32" s="1330">
        <f t="shared" si="3"/>
        <v>1</v>
      </c>
      <c r="AB32" s="1330">
        <f t="shared" si="4"/>
        <v>1</v>
      </c>
      <c r="AC32" s="1330">
        <f t="shared" si="5"/>
        <v>1</v>
      </c>
    </row>
    <row r="33" spans="1:29" ht="15">
      <c r="A33" s="774"/>
      <c r="B33" s="802"/>
      <c r="C33" s="97" t="s">
        <v>257</v>
      </c>
      <c r="D33" s="794"/>
      <c r="E33" s="97" t="s">
        <v>257</v>
      </c>
      <c r="F33" s="794"/>
      <c r="G33" s="97" t="s">
        <v>257</v>
      </c>
      <c r="H33" s="794"/>
      <c r="I33" s="97" t="s">
        <v>257</v>
      </c>
      <c r="J33" s="794"/>
      <c r="K33" s="959"/>
      <c r="L33" s="2365"/>
      <c r="M33" s="2356"/>
      <c r="N33" s="2356"/>
      <c r="O33" s="2364"/>
      <c r="P33" s="3870"/>
      <c r="Q33" s="1326"/>
      <c r="R33" s="1327"/>
      <c r="S33" s="1328"/>
      <c r="T33" s="1327"/>
      <c r="U33" s="1328"/>
      <c r="V33" s="1327"/>
      <c r="W33" s="1328"/>
      <c r="X33" s="1321"/>
      <c r="Y33" s="3870"/>
      <c r="Z33" s="1329"/>
      <c r="AA33" s="1330">
        <v>1</v>
      </c>
      <c r="AB33" s="1330">
        <v>1</v>
      </c>
      <c r="AC33" s="1330">
        <v>1</v>
      </c>
    </row>
    <row r="34" spans="1:29" ht="15">
      <c r="A34" s="774"/>
      <c r="B34" s="768" t="s">
        <v>699</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8">
        <v>0</v>
      </c>
      <c r="L34" s="2365"/>
      <c r="M34" s="2356"/>
      <c r="N34" s="2356"/>
      <c r="O34" s="2364"/>
      <c r="P34" s="3870"/>
      <c r="Q34" s="1326" t="str">
        <f t="shared" si="8"/>
        <v>土地级别</v>
      </c>
      <c r="R34" s="1327" t="s">
        <v>70</v>
      </c>
      <c r="S34" s="1328">
        <f t="shared" si="10"/>
        <v>100</v>
      </c>
      <c r="T34" s="1327" t="s">
        <v>70</v>
      </c>
      <c r="U34" s="1328">
        <f t="shared" si="11"/>
        <v>100</v>
      </c>
      <c r="V34" s="1327" t="s">
        <v>70</v>
      </c>
      <c r="W34" s="1328">
        <f t="shared" si="12"/>
        <v>100</v>
      </c>
      <c r="X34" s="1321"/>
      <c r="Y34" s="3870"/>
      <c r="Z34" s="1329" t="str">
        <f t="shared" si="13"/>
        <v>土地级别</v>
      </c>
      <c r="AA34" s="1330">
        <f t="shared" si="3"/>
        <v>1</v>
      </c>
      <c r="AB34" s="1330">
        <f t="shared" si="4"/>
        <v>1</v>
      </c>
      <c r="AC34" s="1330">
        <f t="shared" si="5"/>
        <v>1</v>
      </c>
    </row>
    <row r="35" spans="1:29" ht="15">
      <c r="A35" s="750"/>
      <c r="B35" s="2787"/>
      <c r="C35" s="1087"/>
      <c r="D35" s="781">
        <v>100</v>
      </c>
      <c r="E35" s="823"/>
      <c r="F35" s="781">
        <f>SUMIF(110:110,E35,111:111)-SUMIF(110:110,C35,111:111)+100</f>
        <v>100</v>
      </c>
      <c r="G35" s="823"/>
      <c r="H35" s="781">
        <f>SUMIF(110:110,G35,111:111)-SUMIF(110:110,C35,111:111)+100</f>
        <v>100</v>
      </c>
      <c r="I35" s="1087"/>
      <c r="J35" s="781">
        <f>SUMIF(110:110,I35,111:111)-SUMIF(110:110,C35,111:111)+100</f>
        <v>100</v>
      </c>
      <c r="K35" s="959"/>
      <c r="L35" s="2365"/>
      <c r="M35" s="2356"/>
      <c r="N35" s="2356"/>
      <c r="O35" s="2364"/>
      <c r="P35" s="3870"/>
      <c r="Q35" s="1326">
        <f t="shared" si="8"/>
        <v>0</v>
      </c>
      <c r="R35" s="1327" t="s">
        <v>70</v>
      </c>
      <c r="S35" s="1328">
        <f t="shared" si="10"/>
        <v>100</v>
      </c>
      <c r="T35" s="1327" t="s">
        <v>70</v>
      </c>
      <c r="U35" s="1328">
        <f t="shared" si="11"/>
        <v>100</v>
      </c>
      <c r="V35" s="1327" t="s">
        <v>70</v>
      </c>
      <c r="W35" s="1328">
        <f t="shared" si="12"/>
        <v>100</v>
      </c>
      <c r="X35" s="1321"/>
      <c r="Y35" s="3870"/>
      <c r="Z35" s="1329">
        <f t="shared" si="13"/>
        <v>0</v>
      </c>
      <c r="AA35" s="1330">
        <f t="shared" si="3"/>
        <v>1</v>
      </c>
      <c r="AB35" s="1330">
        <f t="shared" si="4"/>
        <v>1</v>
      </c>
      <c r="AC35" s="1330">
        <f t="shared" si="5"/>
        <v>1</v>
      </c>
    </row>
    <row r="36" spans="1:29" ht="15">
      <c r="A36" s="1088"/>
      <c r="B36" s="2788"/>
      <c r="C36" s="1087"/>
      <c r="D36" s="781">
        <v>100</v>
      </c>
      <c r="E36" s="823"/>
      <c r="F36" s="781">
        <f>SUMIF(112:112,E37,113:113)-SUMIF(112:112,C37,113:113)+100</f>
        <v>100</v>
      </c>
      <c r="G36" s="823"/>
      <c r="H36" s="781">
        <f>SUMIF(112:112,G36,113:113)-SUMIF(112:112,C36,113:113)+100</f>
        <v>100</v>
      </c>
      <c r="I36" s="1087"/>
      <c r="J36" s="781">
        <f>SUMIF(112:112,I36,113:113)-SUMIF(112:112,C36,113:113)+100</f>
        <v>100</v>
      </c>
      <c r="K36" s="959"/>
      <c r="L36" s="2365"/>
      <c r="M36" s="2356"/>
      <c r="N36" s="2356"/>
      <c r="O36" s="2364"/>
      <c r="P36" s="3871" t="s">
        <v>581</v>
      </c>
      <c r="Q36" s="1326">
        <f t="shared" si="8"/>
        <v>0</v>
      </c>
      <c r="R36" s="1327" t="s">
        <v>70</v>
      </c>
      <c r="S36" s="1328">
        <f t="shared" si="10"/>
        <v>100</v>
      </c>
      <c r="T36" s="1327" t="s">
        <v>70</v>
      </c>
      <c r="U36" s="1328">
        <f t="shared" si="11"/>
        <v>100</v>
      </c>
      <c r="V36" s="1327" t="s">
        <v>70</v>
      </c>
      <c r="W36" s="1328">
        <f t="shared" si="12"/>
        <v>100</v>
      </c>
      <c r="X36" s="1321"/>
      <c r="Y36" s="3872" t="s">
        <v>581</v>
      </c>
      <c r="Z36" s="1329">
        <f t="shared" si="13"/>
        <v>0</v>
      </c>
      <c r="AA36" s="1330">
        <f t="shared" si="3"/>
        <v>1</v>
      </c>
      <c r="AB36" s="1330">
        <f t="shared" si="4"/>
        <v>1</v>
      </c>
      <c r="AC36" s="1330">
        <f t="shared" si="5"/>
        <v>1</v>
      </c>
    </row>
    <row r="37" spans="1:29" s="817" customFormat="1" ht="15.75" thickBot="1">
      <c r="A37" s="1089"/>
      <c r="B37" s="2789"/>
      <c r="C37" s="1091"/>
      <c r="D37" s="430">
        <v>100</v>
      </c>
      <c r="E37" s="1114"/>
      <c r="F37" s="784">
        <f>SUMIF(114:114,E37,115:115)-SUMIF(114:114,C37,115:115)+100</f>
        <v>100</v>
      </c>
      <c r="G37" s="1114"/>
      <c r="H37" s="784">
        <f>SUMIF(114:114,G37,115:115)-SUMIF(114:114,C37,115:115)+100</f>
        <v>100</v>
      </c>
      <c r="I37" s="1091"/>
      <c r="J37" s="784">
        <f>SUMIF(114:114,I37,115:115)-SUMIF(114:114,C37,115:115)+100</f>
        <v>100</v>
      </c>
      <c r="K37" s="959"/>
      <c r="L37" s="2363"/>
      <c r="M37" s="2366"/>
      <c r="N37" s="2366"/>
      <c r="O37" s="2367"/>
      <c r="P37" s="3872"/>
      <c r="Q37" s="1326">
        <f t="shared" si="8"/>
        <v>0</v>
      </c>
      <c r="R37" s="1332" t="s">
        <v>70</v>
      </c>
      <c r="S37" s="1333">
        <f t="shared" si="10"/>
        <v>100</v>
      </c>
      <c r="T37" s="1332" t="s">
        <v>70</v>
      </c>
      <c r="U37" s="1333">
        <f t="shared" si="11"/>
        <v>100</v>
      </c>
      <c r="V37" s="1332" t="s">
        <v>70</v>
      </c>
      <c r="W37" s="1333">
        <f t="shared" si="12"/>
        <v>100</v>
      </c>
      <c r="X37" s="1334"/>
      <c r="Y37" s="3872"/>
      <c r="Z37" s="1335">
        <f t="shared" si="13"/>
        <v>0</v>
      </c>
      <c r="AA37" s="1330">
        <f t="shared" si="3"/>
        <v>1</v>
      </c>
      <c r="AB37" s="1330">
        <f t="shared" si="4"/>
        <v>1</v>
      </c>
      <c r="AC37" s="1330">
        <f t="shared" si="5"/>
        <v>1</v>
      </c>
    </row>
    <row r="38" spans="1:29" ht="15">
      <c r="A38" s="818" t="s">
        <v>580</v>
      </c>
      <c r="B38" s="802" t="s">
        <v>700</v>
      </c>
      <c r="C38" s="1092">
        <f>'数据-基础表'!A3</f>
        <v>619634</v>
      </c>
      <c r="D38" s="813">
        <v>100</v>
      </c>
      <c r="E38" s="3486">
        <f>Sheet3!K2</f>
        <v>3191.28</v>
      </c>
      <c r="F38" s="3483">
        <f>LOOKUP(E38,117:117,118:118)-LOOKUP(C38,117:117,118:118)+100</f>
        <v>92</v>
      </c>
      <c r="G38" s="3486">
        <f>Sheet3!K3</f>
        <v>2621.23</v>
      </c>
      <c r="H38" s="3483">
        <f>LOOKUP(G38,117:117,118:118)-LOOKUP(C38,117:117,118:118)+100</f>
        <v>92</v>
      </c>
      <c r="I38" s="3487">
        <f>Sheet3!K4</f>
        <v>1154.98</v>
      </c>
      <c r="J38" s="3483">
        <f>LOOKUP(I38,117:117,118:118)-LOOKUP(C38,117:117,118:118)+100</f>
        <v>92</v>
      </c>
      <c r="K38" s="959"/>
      <c r="L38" s="2365"/>
      <c r="M38" s="2356"/>
      <c r="N38" s="2356"/>
      <c r="O38" s="2364"/>
      <c r="P38" s="3872"/>
      <c r="Q38" s="1326" t="str">
        <f>B38</f>
        <v>宗地面积</v>
      </c>
      <c r="R38" s="1327" t="s">
        <v>70</v>
      </c>
      <c r="S38" s="1328">
        <f t="shared" si="10"/>
        <v>92</v>
      </c>
      <c r="T38" s="1327" t="s">
        <v>70</v>
      </c>
      <c r="U38" s="1328">
        <f t="shared" si="11"/>
        <v>92</v>
      </c>
      <c r="V38" s="1327" t="s">
        <v>70</v>
      </c>
      <c r="W38" s="1328">
        <f t="shared" si="12"/>
        <v>92</v>
      </c>
      <c r="X38" s="1321"/>
      <c r="Y38" s="3872"/>
      <c r="Z38" s="1329" t="str">
        <f t="shared" si="13"/>
        <v>宗地面积</v>
      </c>
      <c r="AA38" s="1330">
        <f t="shared" si="3"/>
        <v>1.0869565217391304</v>
      </c>
      <c r="AB38" s="1330">
        <f t="shared" si="4"/>
        <v>1.0869565217391304</v>
      </c>
      <c r="AC38" s="1330">
        <f t="shared" si="5"/>
        <v>1.0869565217391304</v>
      </c>
    </row>
    <row r="39" spans="1:29" ht="15">
      <c r="A39" s="818"/>
      <c r="B39" s="768" t="s">
        <v>701</v>
      </c>
      <c r="C39" s="109" t="s">
        <v>57</v>
      </c>
      <c r="D39" s="781">
        <v>100</v>
      </c>
      <c r="E39" s="109" t="s">
        <v>57</v>
      </c>
      <c r="F39" s="781">
        <f>SUMIF(119:119,E39,120:120)-SUMIF(119:119,C39,120:120)+100</f>
        <v>100</v>
      </c>
      <c r="G39" s="109" t="s">
        <v>57</v>
      </c>
      <c r="H39" s="781">
        <f>SUMIF(119:119,G39,120:120)-SUMIF(119:119,C39,120:120)+100</f>
        <v>100</v>
      </c>
      <c r="I39" s="109" t="s">
        <v>57</v>
      </c>
      <c r="J39" s="781">
        <f>SUMIF(119:119,I39,120:120)-SUMIF(119:119,C39,120:120)+100</f>
        <v>100</v>
      </c>
      <c r="K39" s="958">
        <f>'[48]比较法-住宅、综合'!K41</f>
        <v>1</v>
      </c>
      <c r="L39" s="2365"/>
      <c r="M39" s="2356"/>
      <c r="N39" s="2356"/>
      <c r="O39" s="2364"/>
      <c r="P39" s="3872"/>
      <c r="Q39" s="1326" t="str">
        <f t="shared" ref="Q39:Q45" si="14">B39</f>
        <v>宗地形状</v>
      </c>
      <c r="R39" s="1327" t="s">
        <v>70</v>
      </c>
      <c r="S39" s="1328">
        <f t="shared" si="10"/>
        <v>100</v>
      </c>
      <c r="T39" s="1327" t="s">
        <v>70</v>
      </c>
      <c r="U39" s="1328">
        <f t="shared" si="11"/>
        <v>100</v>
      </c>
      <c r="V39" s="1327" t="s">
        <v>70</v>
      </c>
      <c r="W39" s="1328">
        <f t="shared" si="12"/>
        <v>100</v>
      </c>
      <c r="X39" s="1321"/>
      <c r="Y39" s="3872"/>
      <c r="Z39" s="1329" t="str">
        <f t="shared" si="13"/>
        <v>宗地形状</v>
      </c>
      <c r="AA39" s="1330">
        <f t="shared" si="3"/>
        <v>1</v>
      </c>
      <c r="AB39" s="1330">
        <f t="shared" si="4"/>
        <v>1</v>
      </c>
      <c r="AC39" s="1330">
        <f t="shared" si="5"/>
        <v>1</v>
      </c>
    </row>
    <row r="40" spans="1:29" ht="15">
      <c r="A40" s="818"/>
      <c r="B40" s="768" t="s">
        <v>702</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8">
        <f>'[48]比较法-住宅、综合'!K42</f>
        <v>0</v>
      </c>
      <c r="L40" s="2365"/>
      <c r="M40" s="2356"/>
      <c r="N40" s="2356"/>
      <c r="O40" s="2364"/>
      <c r="P40" s="3872"/>
      <c r="Q40" s="1326" t="str">
        <f t="shared" si="14"/>
        <v>临街宽度及深度</v>
      </c>
      <c r="R40" s="1327" t="s">
        <v>70</v>
      </c>
      <c r="S40" s="1328">
        <f t="shared" si="10"/>
        <v>100</v>
      </c>
      <c r="T40" s="1327" t="s">
        <v>70</v>
      </c>
      <c r="U40" s="1328">
        <f t="shared" si="11"/>
        <v>100</v>
      </c>
      <c r="V40" s="1327" t="s">
        <v>70</v>
      </c>
      <c r="W40" s="1328">
        <f t="shared" si="12"/>
        <v>100</v>
      </c>
      <c r="X40" s="1321"/>
      <c r="Y40" s="3872"/>
      <c r="Z40" s="1329" t="str">
        <f t="shared" si="13"/>
        <v>临街宽度及深度</v>
      </c>
      <c r="AA40" s="1330">
        <f t="shared" si="3"/>
        <v>1</v>
      </c>
      <c r="AB40" s="1330">
        <f t="shared" si="4"/>
        <v>1</v>
      </c>
      <c r="AC40" s="1330">
        <f t="shared" si="5"/>
        <v>1</v>
      </c>
    </row>
    <row r="41" spans="1:29" s="412" customFormat="1" ht="15">
      <c r="A41" s="819"/>
      <c r="B41" s="2625" t="s">
        <v>2899</v>
      </c>
      <c r="C41" s="1046"/>
      <c r="D41" s="429">
        <v>100</v>
      </c>
      <c r="E41" s="1046"/>
      <c r="F41" s="781">
        <f>SUMIF(123:123,E41,124:124)-SUMIF(123:123,C41,124:124)+100</f>
        <v>100</v>
      </c>
      <c r="G41" s="1046"/>
      <c r="H41" s="781">
        <f>SUMIF(123:123,G41,124:124)-SUMIF(123:123,C41,124:124)+100</f>
        <v>100</v>
      </c>
      <c r="I41" s="1046"/>
      <c r="J41" s="781">
        <f>SUMIF(123:123,I41,124:124)-SUMIF(123:123,C41,124:124)+100</f>
        <v>100</v>
      </c>
      <c r="K41" s="958">
        <f>'[48]比较法-住宅、综合'!K43</f>
        <v>1</v>
      </c>
      <c r="L41" s="2357"/>
      <c r="M41" s="2358"/>
      <c r="N41" s="2358"/>
      <c r="O41" s="2359"/>
      <c r="P41" s="3872"/>
      <c r="Q41" s="1326" t="str">
        <f t="shared" si="14"/>
        <v>宗地开发程度</v>
      </c>
      <c r="R41" s="1322" t="s">
        <v>70</v>
      </c>
      <c r="S41" s="1323">
        <f t="shared" si="10"/>
        <v>100</v>
      </c>
      <c r="T41" s="1322" t="s">
        <v>70</v>
      </c>
      <c r="U41" s="1323">
        <f t="shared" si="11"/>
        <v>100</v>
      </c>
      <c r="V41" s="1322" t="s">
        <v>70</v>
      </c>
      <c r="W41" s="1323">
        <f t="shared" si="12"/>
        <v>100</v>
      </c>
      <c r="X41" s="1324"/>
      <c r="Y41" s="3872"/>
      <c r="Z41" s="350" t="str">
        <f t="shared" si="13"/>
        <v>宗地开发程度</v>
      </c>
      <c r="AA41" s="1325">
        <f t="shared" si="3"/>
        <v>1</v>
      </c>
      <c r="AB41" s="1325">
        <f t="shared" si="4"/>
        <v>1</v>
      </c>
      <c r="AC41" s="1325">
        <f t="shared" si="5"/>
        <v>1</v>
      </c>
    </row>
    <row r="42" spans="1:29" ht="15">
      <c r="A42" s="818"/>
      <c r="B42" s="768" t="s">
        <v>703</v>
      </c>
      <c r="C42" s="109" t="s">
        <v>123</v>
      </c>
      <c r="D42" s="781">
        <v>100</v>
      </c>
      <c r="E42" s="109" t="s">
        <v>123</v>
      </c>
      <c r="F42" s="781">
        <f>SUMIF(125:125,E42,126:126)-SUMIF(125:125,C42,126:126)+100</f>
        <v>100</v>
      </c>
      <c r="G42" s="109" t="s">
        <v>123</v>
      </c>
      <c r="H42" s="781">
        <f>SUMIF(125:125,G42,126:126)-SUMIF(125:125,C42,126:126)+100</f>
        <v>100</v>
      </c>
      <c r="I42" s="109" t="s">
        <v>123</v>
      </c>
      <c r="J42" s="781">
        <f>SUMIF(125:125,I42,126:126)-SUMIF(125:125,C42,126:126)+100</f>
        <v>100</v>
      </c>
      <c r="K42" s="958">
        <f>'[48]比较法-住宅、综合'!K44</f>
        <v>1</v>
      </c>
      <c r="L42" s="2365"/>
      <c r="M42" s="2356"/>
      <c r="N42" s="2356"/>
      <c r="O42" s="2364"/>
      <c r="P42" s="3872" t="s">
        <v>581</v>
      </c>
      <c r="Q42" s="1326" t="str">
        <f t="shared" si="14"/>
        <v>工程地质条件</v>
      </c>
      <c r="R42" s="1327" t="s">
        <v>70</v>
      </c>
      <c r="S42" s="1328">
        <f t="shared" si="10"/>
        <v>100</v>
      </c>
      <c r="T42" s="1327" t="s">
        <v>70</v>
      </c>
      <c r="U42" s="1328">
        <f t="shared" si="11"/>
        <v>100</v>
      </c>
      <c r="V42" s="1327" t="s">
        <v>70</v>
      </c>
      <c r="W42" s="1328">
        <f t="shared" si="12"/>
        <v>100</v>
      </c>
      <c r="X42" s="1321"/>
      <c r="Y42" s="3872" t="s">
        <v>581</v>
      </c>
      <c r="Z42" s="1329" t="str">
        <f t="shared" si="13"/>
        <v>工程地质条件</v>
      </c>
      <c r="AA42" s="1330">
        <f t="shared" si="3"/>
        <v>1</v>
      </c>
      <c r="AB42" s="1330">
        <f t="shared" si="4"/>
        <v>1</v>
      </c>
      <c r="AC42" s="1330">
        <f t="shared" si="5"/>
        <v>1</v>
      </c>
    </row>
    <row r="43" spans="1:29" ht="15">
      <c r="A43" s="818"/>
      <c r="B43" s="206"/>
      <c r="C43" s="203"/>
      <c r="D43" s="781">
        <v>100</v>
      </c>
      <c r="E43" s="203"/>
      <c r="F43" s="781">
        <f>SUMIF(127:127,E43,128:128)-SUMIF(127:127,C43,128:128)+100</f>
        <v>100</v>
      </c>
      <c r="G43" s="203"/>
      <c r="H43" s="781">
        <f>SUMIF(127:127,G43,128:128)-SUMIF(127:127,C43,128:128)+100</f>
        <v>100</v>
      </c>
      <c r="I43" s="126"/>
      <c r="J43" s="781">
        <f>SUMIF(127:127,I43,128:128)-SUMIF(127:127,C43,128:128)+100</f>
        <v>100</v>
      </c>
      <c r="K43" s="959"/>
      <c r="L43" s="2365"/>
      <c r="M43" s="2356"/>
      <c r="N43" s="2356"/>
      <c r="O43" s="2364"/>
      <c r="P43" s="3872"/>
      <c r="Q43" s="1326">
        <f t="shared" si="14"/>
        <v>0</v>
      </c>
      <c r="R43" s="1327" t="s">
        <v>70</v>
      </c>
      <c r="S43" s="1328">
        <f t="shared" si="10"/>
        <v>100</v>
      </c>
      <c r="T43" s="1327" t="s">
        <v>70</v>
      </c>
      <c r="U43" s="1328">
        <f t="shared" si="11"/>
        <v>100</v>
      </c>
      <c r="V43" s="1327" t="s">
        <v>70</v>
      </c>
      <c r="W43" s="1328">
        <f t="shared" si="12"/>
        <v>100</v>
      </c>
      <c r="X43" s="1321"/>
      <c r="Y43" s="3872"/>
      <c r="Z43" s="1329">
        <f t="shared" si="13"/>
        <v>0</v>
      </c>
      <c r="AA43" s="1330">
        <f t="shared" si="3"/>
        <v>1</v>
      </c>
      <c r="AB43" s="1330">
        <f t="shared" si="4"/>
        <v>1</v>
      </c>
      <c r="AC43" s="1330">
        <f t="shared" si="5"/>
        <v>1</v>
      </c>
    </row>
    <row r="44" spans="1:29" ht="15">
      <c r="A44" s="818"/>
      <c r="B44" s="206"/>
      <c r="C44" s="203"/>
      <c r="D44" s="781">
        <v>100</v>
      </c>
      <c r="E44" s="203"/>
      <c r="F44" s="781">
        <f>SUMIF(129:129,E44,130:130)-SUMIF(129:129,C44,130:130)+100</f>
        <v>100</v>
      </c>
      <c r="G44" s="203"/>
      <c r="H44" s="781">
        <f>SUMIF(129:129,G44,130:130)-SUMIF(129:129,C44,130:130)+100</f>
        <v>100</v>
      </c>
      <c r="I44" s="126"/>
      <c r="J44" s="781">
        <f>SUMIF(129:129,I44,130:130)-SUMIF(129:129,C44,130:130)+100</f>
        <v>100</v>
      </c>
      <c r="K44" s="959"/>
      <c r="L44" s="2365"/>
      <c r="M44" s="2356"/>
      <c r="N44" s="2356"/>
      <c r="O44" s="2364"/>
      <c r="P44" s="3872"/>
      <c r="Q44" s="1326">
        <f t="shared" si="14"/>
        <v>0</v>
      </c>
      <c r="R44" s="1327" t="s">
        <v>70</v>
      </c>
      <c r="S44" s="1328">
        <f t="shared" si="10"/>
        <v>100</v>
      </c>
      <c r="T44" s="1327" t="s">
        <v>70</v>
      </c>
      <c r="U44" s="1328">
        <f t="shared" si="11"/>
        <v>100</v>
      </c>
      <c r="V44" s="1327" t="s">
        <v>70</v>
      </c>
      <c r="W44" s="1328">
        <f t="shared" si="12"/>
        <v>100</v>
      </c>
      <c r="X44" s="1321"/>
      <c r="Y44" s="3872"/>
      <c r="Z44" s="1329">
        <f t="shared" si="13"/>
        <v>0</v>
      </c>
      <c r="AA44" s="1330">
        <f t="shared" si="3"/>
        <v>1</v>
      </c>
      <c r="AB44" s="1330">
        <f t="shared" si="4"/>
        <v>1</v>
      </c>
      <c r="AC44" s="1330">
        <f t="shared" si="5"/>
        <v>1</v>
      </c>
    </row>
    <row r="45" spans="1:29" s="817" customFormat="1" ht="15.75" thickBot="1">
      <c r="A45" s="814"/>
      <c r="B45" s="206"/>
      <c r="C45" s="1048"/>
      <c r="D45" s="1093">
        <v>100</v>
      </c>
      <c r="E45" s="203"/>
      <c r="F45" s="784">
        <f>SUMIF(131:131,E45,132:132)-SUMIF(131:131,C45,132:132)+100</f>
        <v>100</v>
      </c>
      <c r="G45" s="203"/>
      <c r="H45" s="784">
        <f>SUMIF(131:131,G45,132:132)-SUMIF(131:131,C45,132:132)+100</f>
        <v>100</v>
      </c>
      <c r="I45" s="203"/>
      <c r="J45" s="784">
        <f>SUMIF(131:131,I45,132:132)-SUMIF(131:131,C45,132:132)+100</f>
        <v>100</v>
      </c>
      <c r="K45" s="1094"/>
      <c r="L45" s="2363"/>
      <c r="M45" s="2366"/>
      <c r="N45" s="2366"/>
      <c r="O45" s="2367"/>
      <c r="P45" s="3872"/>
      <c r="Q45" s="1326">
        <f t="shared" si="14"/>
        <v>0</v>
      </c>
      <c r="R45" s="1332" t="s">
        <v>70</v>
      </c>
      <c r="S45" s="1333">
        <f t="shared" si="10"/>
        <v>100</v>
      </c>
      <c r="T45" s="1332" t="s">
        <v>70</v>
      </c>
      <c r="U45" s="1333">
        <f t="shared" si="11"/>
        <v>100</v>
      </c>
      <c r="V45" s="1332" t="s">
        <v>70</v>
      </c>
      <c r="W45" s="1333">
        <f t="shared" si="12"/>
        <v>100</v>
      </c>
      <c r="X45" s="1334"/>
      <c r="Y45" s="3872"/>
      <c r="Z45" s="1335">
        <f t="shared" si="13"/>
        <v>0</v>
      </c>
      <c r="AA45" s="1330">
        <f t="shared" si="3"/>
        <v>1</v>
      </c>
      <c r="AB45" s="1330">
        <f t="shared" si="4"/>
        <v>1</v>
      </c>
      <c r="AC45" s="1330">
        <f t="shared" si="5"/>
        <v>1</v>
      </c>
    </row>
    <row r="46" spans="1:29" ht="15">
      <c r="A46" s="825" t="s">
        <v>704</v>
      </c>
      <c r="B46" s="207" t="s">
        <v>2802</v>
      </c>
      <c r="C46" s="1095" t="s">
        <v>23</v>
      </c>
      <c r="D46" s="827"/>
      <c r="E46" s="828">
        <f>ROUND(Sheet3!Z2,0)</f>
        <v>3159</v>
      </c>
      <c r="F46" s="829"/>
      <c r="G46" s="830">
        <f>ROUND(Sheet3!AB3,0)</f>
        <v>3929</v>
      </c>
      <c r="H46" s="831"/>
      <c r="I46" s="830">
        <f>ROUND(Sheet3!AB4,0)</f>
        <v>3221</v>
      </c>
      <c r="J46" s="831"/>
      <c r="K46" s="1403"/>
      <c r="L46" s="2368"/>
      <c r="M46" s="2369"/>
      <c r="N46" s="2356"/>
      <c r="O46" s="2369"/>
      <c r="P46" s="3854" t="str">
        <f>A46</f>
        <v>成交单价</v>
      </c>
      <c r="Q46" s="3854"/>
      <c r="R46" s="3867">
        <f>E46</f>
        <v>3159</v>
      </c>
      <c r="S46" s="3867"/>
      <c r="T46" s="3867">
        <f>G46</f>
        <v>3929</v>
      </c>
      <c r="U46" s="3867"/>
      <c r="V46" s="3867">
        <f>I46</f>
        <v>3221</v>
      </c>
      <c r="W46" s="3867"/>
      <c r="X46" s="1310"/>
      <c r="Y46" s="1336"/>
      <c r="Z46" s="1310"/>
      <c r="AA46" s="1310"/>
      <c r="AB46" s="1310"/>
      <c r="AC46" s="1310"/>
    </row>
    <row r="47" spans="1:29" ht="15.75" thickBot="1">
      <c r="A47" s="832" t="s">
        <v>583</v>
      </c>
      <c r="B47" s="1096"/>
      <c r="C47" s="836">
        <f>R48</f>
        <v>3591</v>
      </c>
      <c r="D47" s="835"/>
      <c r="E47" s="836">
        <f>R47</f>
        <v>3512</v>
      </c>
      <c r="F47" s="837"/>
      <c r="G47" s="834">
        <f>T47</f>
        <v>3972</v>
      </c>
      <c r="H47" s="835"/>
      <c r="I47" s="836">
        <f>V47</f>
        <v>3289</v>
      </c>
      <c r="J47" s="835"/>
      <c r="K47" s="1404"/>
      <c r="L47" s="2368"/>
      <c r="M47" s="2369"/>
      <c r="N47" s="2369"/>
      <c r="O47" s="2369"/>
      <c r="P47" s="3854" t="str">
        <f>A47</f>
        <v>比较价值（元/平方米）</v>
      </c>
      <c r="Q47" s="3854"/>
      <c r="R47" s="3877">
        <f>ROUND(PRODUCT(R46,AA7:AA45),0)</f>
        <v>3512</v>
      </c>
      <c r="S47" s="3877"/>
      <c r="T47" s="3877">
        <f>ROUND(PRODUCT(T46,AB7:AB45),0)</f>
        <v>3972</v>
      </c>
      <c r="U47" s="3877"/>
      <c r="V47" s="3877">
        <f>ROUND(PRODUCT(V46,AC7:AC45),0)</f>
        <v>3289</v>
      </c>
      <c r="W47" s="3877"/>
      <c r="X47" s="1310"/>
      <c r="Y47" s="1310"/>
      <c r="Z47" s="1310"/>
      <c r="AA47" s="1310"/>
      <c r="AB47" s="1310"/>
      <c r="AC47" s="1310"/>
    </row>
    <row r="48" spans="1:29" ht="15.75" thickBot="1">
      <c r="A48" s="115" t="s">
        <v>733</v>
      </c>
      <c r="B48" s="839"/>
      <c r="C48" s="840">
        <f>R48</f>
        <v>3591</v>
      </c>
      <c r="D48" s="840"/>
      <c r="E48" s="840"/>
      <c r="F48" s="840"/>
      <c r="G48" s="840"/>
      <c r="H48" s="840"/>
      <c r="I48" s="840"/>
      <c r="J48" s="840"/>
      <c r="K48" s="1405"/>
      <c r="L48" s="2368"/>
      <c r="M48" s="2369"/>
      <c r="N48" s="2369"/>
      <c r="O48" s="2369"/>
      <c r="P48" s="3874" t="str">
        <f>A48</f>
        <v>估价对象XX用房的比较价值（楼面单价，元/平方米）</v>
      </c>
      <c r="Q48" s="3875"/>
      <c r="R48" s="3878">
        <f>ROUND(AVERAGE(R47:V47),0)</f>
        <v>3591</v>
      </c>
      <c r="S48" s="3878"/>
      <c r="T48" s="3878"/>
      <c r="U48" s="3878"/>
      <c r="V48" s="3878"/>
      <c r="W48" s="3878"/>
      <c r="X48" s="1310"/>
      <c r="Y48" s="1310"/>
      <c r="Z48" s="1310"/>
      <c r="AA48" s="1310"/>
      <c r="AB48" s="1310"/>
      <c r="AC48" s="1310"/>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3" t="s">
        <v>585</v>
      </c>
      <c r="D51" s="844"/>
      <c r="E51" s="845">
        <f>IF(E46&lt;E47,E47/E46-1,E46/E47-1)</f>
        <v>0.11174422285533403</v>
      </c>
      <c r="F51" s="846" t="str">
        <f>IF(OR(E51&gt;=0.3,E51&lt;=-0.3),"超过30%","")</f>
        <v/>
      </c>
      <c r="G51" s="845">
        <f>IF(G46&lt;G47,G47/G46-1,G46/G47-1)</f>
        <v>1.0944260626113422E-2</v>
      </c>
      <c r="H51" s="846" t="str">
        <f>IF(OR(G51&gt;=0.3,G51&lt;=-0.3),"超过30%","")</f>
        <v/>
      </c>
      <c r="I51" s="845">
        <f>IF(I46&lt;I47,I47/I46-1,I46/I47-1)</f>
        <v>2.1111456069543566E-2</v>
      </c>
      <c r="J51" s="846" t="str">
        <f>IF(OR(I51&gt;=0.3,I51&lt;=-0.3),"超过30%","")</f>
        <v/>
      </c>
      <c r="K51" s="2194"/>
      <c r="L51" s="2195"/>
      <c r="M51" s="2369"/>
      <c r="N51" s="2369"/>
      <c r="O51" s="2369"/>
    </row>
    <row r="52" spans="1:15" ht="13.5" customHeight="1">
      <c r="A52" s="2369"/>
      <c r="B52" s="2369"/>
      <c r="C52" s="843" t="s">
        <v>586</v>
      </c>
      <c r="D52" s="847"/>
      <c r="E52" s="845">
        <f>IF(E47&lt;G47,G47/E47-1,E47/G47-1)</f>
        <v>0.13097949886104776</v>
      </c>
      <c r="F52" s="846" t="str">
        <f>IF(OR(E52&gt;=0.2,E52&lt;=-0.2),"超过20%","")</f>
        <v/>
      </c>
      <c r="G52" s="845">
        <f>IF(G47&lt;I47,I47/G47-1,G47/I47-1)</f>
        <v>0.20766190331407719</v>
      </c>
      <c r="H52" s="846" t="str">
        <f>IF(OR(G52&gt;=0.2,G52&lt;=-0.2),"超过20%","")</f>
        <v>超过20%</v>
      </c>
      <c r="I52" s="845">
        <f>IF(I47&lt;E47,E47/I47-1,I47/E47-1)</f>
        <v>6.7801763453937403E-2</v>
      </c>
      <c r="J52" s="846" t="str">
        <f>IF(OR(I52&gt;=0.2,I52&lt;=-0.2),"超过20%","")</f>
        <v/>
      </c>
      <c r="K52" s="2194"/>
      <c r="L52" s="2195"/>
      <c r="M52" s="2369"/>
      <c r="N52" s="2369"/>
      <c r="O52" s="2369"/>
    </row>
    <row r="53" spans="1:15" s="848" customFormat="1" ht="13.5" customHeight="1">
      <c r="A53" s="2370"/>
      <c r="B53" s="2370"/>
      <c r="C53" s="843" t="s">
        <v>587</v>
      </c>
      <c r="D53" s="847"/>
      <c r="E53" s="845">
        <f>IF(E46&lt;G46,G46/E46-1,E46/G46-1)</f>
        <v>0.24374802152579922</v>
      </c>
      <c r="F53" s="846" t="str">
        <f>IF(OR(E53&gt;=0.3,E53&lt;=-0.3),"超过30%","")</f>
        <v/>
      </c>
      <c r="G53" s="845">
        <f>IF(G46&lt;I46,I46/G46-1,G46/I46-1)</f>
        <v>0.21980751319465996</v>
      </c>
      <c r="H53" s="846" t="str">
        <f>IF(OR(G53&gt;=0.3,G53&lt;=-0.3),"超过30%","")</f>
        <v/>
      </c>
      <c r="I53" s="845">
        <f>IF(I46&lt;E46,E46/I46-1,I46/E46-1)</f>
        <v>1.9626464070908511E-2</v>
      </c>
      <c r="J53" s="846" t="str">
        <f>IF(OR(I53&gt;=0.3,I53&lt;=-0.3),"超过30%","")</f>
        <v/>
      </c>
      <c r="K53" s="2373"/>
      <c r="L53" s="2374"/>
      <c r="M53" s="2370"/>
      <c r="N53" s="2370"/>
      <c r="O53" s="2370"/>
    </row>
    <row r="54" spans="1:15" s="848" customFormat="1" ht="15" thickBot="1">
      <c r="A54" s="2370"/>
      <c r="B54" s="2371"/>
      <c r="C54" s="1313"/>
      <c r="D54" s="1311"/>
      <c r="E54" s="1311"/>
      <c r="F54" s="1311"/>
      <c r="G54" s="1311"/>
      <c r="H54" s="1311"/>
      <c r="I54" s="1311"/>
      <c r="J54" s="1311"/>
      <c r="K54" s="2373"/>
      <c r="L54" s="2374"/>
      <c r="M54" s="2370"/>
      <c r="N54" s="2370"/>
      <c r="O54" s="2370"/>
    </row>
    <row r="55" spans="1:15" ht="27" customHeight="1">
      <c r="A55" s="1097" t="s">
        <v>705</v>
      </c>
      <c r="B55" s="1098" t="s">
        <v>706</v>
      </c>
      <c r="C55" s="1781" t="s">
        <v>2245</v>
      </c>
      <c r="D55" s="2400" t="s">
        <v>2694</v>
      </c>
      <c r="E55" s="1099" t="s">
        <v>707</v>
      </c>
      <c r="F55" s="2196" t="s">
        <v>708</v>
      </c>
      <c r="G55" s="3879" t="s">
        <v>2687</v>
      </c>
      <c r="H55" s="3880"/>
      <c r="I55" s="2197" t="s">
        <v>2244</v>
      </c>
      <c r="J55" s="2201" t="str">
        <f>项目基本情况!F35</f>
        <v>香河</v>
      </c>
      <c r="K55" s="2383" t="s">
        <v>2246</v>
      </c>
      <c r="L55" s="2195"/>
      <c r="M55" s="2369"/>
      <c r="N55" s="2369"/>
      <c r="O55" s="2369"/>
    </row>
    <row r="56" spans="1:15" s="1105" customFormat="1">
      <c r="A56" s="1101" t="s">
        <v>709</v>
      </c>
      <c r="B56" s="1102">
        <f>C48</f>
        <v>3591</v>
      </c>
      <c r="C56" s="1103">
        <v>1</v>
      </c>
      <c r="D56" s="2401">
        <v>1</v>
      </c>
      <c r="E56" s="1103">
        <f>'数据-汇总表'!E8+'数据-汇总表'!E9</f>
        <v>483897.51999999996</v>
      </c>
      <c r="F56" s="2192">
        <f t="shared" ref="F56:F65" si="15">ROUND(B56*E56/10000,0)</f>
        <v>173768</v>
      </c>
      <c r="G56" s="3881"/>
      <c r="H56" s="3882"/>
      <c r="I56" s="2198">
        <v>1</v>
      </c>
      <c r="J56" s="2202">
        <v>1</v>
      </c>
      <c r="K56" s="2370"/>
      <c r="L56" s="1778"/>
      <c r="M56" s="1778"/>
      <c r="N56" s="1778"/>
      <c r="O56" s="1778"/>
    </row>
    <row r="57" spans="1:15" s="1105" customFormat="1">
      <c r="A57" s="1106" t="s">
        <v>710</v>
      </c>
      <c r="B57" s="597">
        <f>ROUND($C$48*C57*D57,0)</f>
        <v>0</v>
      </c>
      <c r="C57" s="535">
        <f t="shared" ref="C57:C65" si="16">IF($C$55="北京市系数",I57,J57)</f>
        <v>0</v>
      </c>
      <c r="D57" s="2402">
        <v>0.25</v>
      </c>
      <c r="E57" s="1107">
        <v>0</v>
      </c>
      <c r="F57" s="2192">
        <f t="shared" si="15"/>
        <v>0</v>
      </c>
      <c r="G57" s="3883" t="s">
        <v>2688</v>
      </c>
      <c r="H57" s="2193">
        <f>项目基本情况!B37</f>
        <v>0</v>
      </c>
      <c r="I57" s="2198">
        <f>SUMIF(修正!A45:A56,H57,修正!B45:B56)</f>
        <v>0</v>
      </c>
      <c r="J57" s="2203"/>
      <c r="K57" s="2369"/>
      <c r="L57" s="1778"/>
      <c r="M57" s="1778"/>
      <c r="N57" s="1778"/>
      <c r="O57" s="1778"/>
    </row>
    <row r="58" spans="1:15" s="1105" customFormat="1">
      <c r="A58" s="1106" t="s">
        <v>711</v>
      </c>
      <c r="B58" s="597">
        <f t="shared" ref="B58:B65" si="17">ROUND($C$48*C58*D58,0)</f>
        <v>0</v>
      </c>
      <c r="C58" s="535">
        <f t="shared" si="16"/>
        <v>0</v>
      </c>
      <c r="D58" s="2402">
        <v>0.25</v>
      </c>
      <c r="E58" s="1107">
        <v>0</v>
      </c>
      <c r="F58" s="2192">
        <f t="shared" si="15"/>
        <v>0</v>
      </c>
      <c r="G58" s="3883"/>
      <c r="H58" s="2193">
        <f>项目基本情况!B37</f>
        <v>0</v>
      </c>
      <c r="I58" s="2198">
        <f>SUMIF(修正!A45:A56,H58,修正!C45:C56)</f>
        <v>0</v>
      </c>
      <c r="J58" s="2203"/>
      <c r="K58" s="2370"/>
      <c r="L58" s="1778"/>
      <c r="M58" s="1778"/>
      <c r="N58" s="1778"/>
      <c r="O58" s="1778"/>
    </row>
    <row r="59" spans="1:15" s="1105" customFormat="1">
      <c r="A59" s="1106" t="s">
        <v>712</v>
      </c>
      <c r="B59" s="597">
        <f t="shared" si="17"/>
        <v>0</v>
      </c>
      <c r="C59" s="535">
        <f t="shared" si="16"/>
        <v>0</v>
      </c>
      <c r="D59" s="2402">
        <v>0.25</v>
      </c>
      <c r="E59" s="1107">
        <v>0</v>
      </c>
      <c r="F59" s="2192">
        <f t="shared" si="15"/>
        <v>0</v>
      </c>
      <c r="G59" s="3883"/>
      <c r="H59" s="2193">
        <f>项目基本情况!B37</f>
        <v>0</v>
      </c>
      <c r="I59" s="2198">
        <f>SUMIF(修正!A45:A56,H59,修正!D45:D56)</f>
        <v>0</v>
      </c>
      <c r="J59" s="2203"/>
      <c r="K59" s="2369"/>
      <c r="L59" s="1778"/>
      <c r="M59" s="1778"/>
      <c r="N59" s="1778"/>
      <c r="O59" s="1778"/>
    </row>
    <row r="60" spans="1:15" s="1105" customFormat="1">
      <c r="A60" s="1106" t="s">
        <v>713</v>
      </c>
      <c r="B60" s="597">
        <f t="shared" si="17"/>
        <v>0</v>
      </c>
      <c r="C60" s="535">
        <f t="shared" si="16"/>
        <v>0</v>
      </c>
      <c r="D60" s="2402">
        <v>0.25</v>
      </c>
      <c r="E60" s="1107">
        <v>0</v>
      </c>
      <c r="F60" s="2192">
        <f t="shared" si="15"/>
        <v>0</v>
      </c>
      <c r="G60" s="3883"/>
      <c r="H60" s="2193">
        <f>项目基本情况!B37</f>
        <v>0</v>
      </c>
      <c r="I60" s="2198">
        <f>SUMIF(修正!A45:A56,H60,修正!E45:E56)</f>
        <v>0</v>
      </c>
      <c r="J60" s="2203"/>
      <c r="K60" s="2370"/>
      <c r="L60" s="1778"/>
      <c r="M60" s="1778"/>
      <c r="N60" s="1778"/>
      <c r="O60" s="1778"/>
    </row>
    <row r="61" spans="1:15" s="1105" customFormat="1">
      <c r="A61" s="2523" t="s">
        <v>2775</v>
      </c>
      <c r="B61" s="597">
        <f t="shared" si="17"/>
        <v>0</v>
      </c>
      <c r="C61" s="535">
        <f t="shared" si="16"/>
        <v>0</v>
      </c>
      <c r="D61" s="2402">
        <v>0.25</v>
      </c>
      <c r="E61" s="596">
        <f>'数据-汇总表'!E11</f>
        <v>0</v>
      </c>
      <c r="F61" s="2192">
        <f t="shared" si="15"/>
        <v>0</v>
      </c>
      <c r="G61" s="2205" t="s">
        <v>2689</v>
      </c>
      <c r="H61" s="2193">
        <f>项目基本情况!C37</f>
        <v>0</v>
      </c>
      <c r="I61" s="2198">
        <f>SUMIF(修正!A45:A56,H61,修正!F45:F56)</f>
        <v>0</v>
      </c>
      <c r="J61" s="2203"/>
      <c r="K61" s="2369"/>
      <c r="L61" s="1778"/>
      <c r="M61" s="1778"/>
      <c r="N61" s="1778"/>
      <c r="O61" s="1778"/>
    </row>
    <row r="62" spans="1:15" s="1105" customFormat="1">
      <c r="A62" s="1106" t="s">
        <v>714</v>
      </c>
      <c r="B62" s="597">
        <f t="shared" si="17"/>
        <v>0</v>
      </c>
      <c r="C62" s="535">
        <f t="shared" si="16"/>
        <v>0</v>
      </c>
      <c r="D62" s="2402">
        <v>0.25</v>
      </c>
      <c r="E62" s="596">
        <f>'数据-汇总表'!E12</f>
        <v>0</v>
      </c>
      <c r="F62" s="2192">
        <f t="shared" si="15"/>
        <v>0</v>
      </c>
      <c r="G62" s="2199" t="s">
        <v>210</v>
      </c>
      <c r="H62" s="2193">
        <f>IF(G62="商业",项目基本情况!B37,IF(G62="办公",项目基本情况!C37,IF(G62="住宅",项目基本情况!D37,项目基本情况!E37)))</f>
        <v>0</v>
      </c>
      <c r="I62" s="2198">
        <f>SUMIF(修正!A45:A56,H62,修正!G45:G56)</f>
        <v>0</v>
      </c>
      <c r="J62" s="2203"/>
      <c r="K62" s="2370"/>
      <c r="L62" s="1778"/>
      <c r="M62" s="1778"/>
      <c r="N62" s="1778"/>
      <c r="O62" s="1778"/>
    </row>
    <row r="63" spans="1:15" s="1105" customFormat="1">
      <c r="A63" s="1106" t="s">
        <v>715</v>
      </c>
      <c r="B63" s="597">
        <f t="shared" si="17"/>
        <v>0</v>
      </c>
      <c r="C63" s="535">
        <f t="shared" si="16"/>
        <v>0</v>
      </c>
      <c r="D63" s="2402">
        <v>0.25</v>
      </c>
      <c r="E63" s="596">
        <f>'数据-汇总表'!E13</f>
        <v>0</v>
      </c>
      <c r="F63" s="2192">
        <f t="shared" si="15"/>
        <v>0</v>
      </c>
      <c r="G63" s="2199" t="s">
        <v>40</v>
      </c>
      <c r="H63" s="2193">
        <f>IF(G63="商业",项目基本情况!B37,IF(G63="办公",项目基本情况!C37,IF(G63="住宅",项目基本情况!D37,项目基本情况!E37)))</f>
        <v>0</v>
      </c>
      <c r="I63" s="2198">
        <f>SUMIF(修正!A45:A56,H63,修正!H45:H56)</f>
        <v>0</v>
      </c>
      <c r="J63" s="2203"/>
      <c r="K63" s="2369"/>
      <c r="L63" s="1778"/>
      <c r="M63" s="1778"/>
      <c r="N63" s="1778"/>
      <c r="O63" s="1778"/>
    </row>
    <row r="64" spans="1:15" s="1105" customFormat="1">
      <c r="A64" s="1106" t="s">
        <v>716</v>
      </c>
      <c r="B64" s="597">
        <f t="shared" si="17"/>
        <v>0</v>
      </c>
      <c r="C64" s="535">
        <f t="shared" si="16"/>
        <v>0</v>
      </c>
      <c r="D64" s="2402">
        <v>0.25</v>
      </c>
      <c r="E64" s="596">
        <f>'数据-汇总表'!E14</f>
        <v>0</v>
      </c>
      <c r="F64" s="2192">
        <f t="shared" si="15"/>
        <v>0</v>
      </c>
      <c r="G64" s="2205" t="s">
        <v>2690</v>
      </c>
      <c r="H64" s="2193">
        <f>项目基本情况!B37</f>
        <v>0</v>
      </c>
      <c r="I64" s="2198">
        <f>SUMIF(修正!A45:A56,H64,修正!H45:H56)</f>
        <v>0</v>
      </c>
      <c r="J64" s="2203"/>
      <c r="K64" s="2370"/>
      <c r="L64" s="1778"/>
      <c r="M64" s="1778"/>
      <c r="N64" s="1778"/>
      <c r="O64" s="1778"/>
    </row>
    <row r="65" spans="1:17" s="1105" customFormat="1" ht="15" thickBot="1">
      <c r="A65" s="1106" t="s">
        <v>717</v>
      </c>
      <c r="B65" s="597">
        <f t="shared" si="17"/>
        <v>0</v>
      </c>
      <c r="C65" s="535">
        <f t="shared" si="16"/>
        <v>0</v>
      </c>
      <c r="D65" s="2402">
        <v>0.25</v>
      </c>
      <c r="E65" s="596">
        <f>'数据-汇总表'!E15</f>
        <v>0</v>
      </c>
      <c r="F65" s="2192">
        <f t="shared" si="15"/>
        <v>0</v>
      </c>
      <c r="G65" s="2206" t="s">
        <v>2689</v>
      </c>
      <c r="H65" s="2207">
        <f>项目基本情况!C37</f>
        <v>0</v>
      </c>
      <c r="I65" s="2200">
        <f>SUMIF(修正!A45:A56,H65,修正!H45:H56)</f>
        <v>0</v>
      </c>
      <c r="J65" s="2204"/>
      <c r="K65" s="2369"/>
      <c r="L65" s="1778"/>
      <c r="M65" s="1778"/>
      <c r="N65" s="1778"/>
      <c r="O65" s="1778"/>
    </row>
    <row r="66" spans="1:17" s="1105" customFormat="1" ht="13.5" thickBot="1">
      <c r="A66" s="1108" t="s">
        <v>718</v>
      </c>
      <c r="B66" s="1109" t="s">
        <v>263</v>
      </c>
      <c r="C66" s="1109" t="s">
        <v>264</v>
      </c>
      <c r="D66" s="1109" t="s">
        <v>2695</v>
      </c>
      <c r="E66" s="1109">
        <f>IF(B46="楼面地价",SUM(E56:E65),'数据-汇总表'!D3)</f>
        <v>619634</v>
      </c>
      <c r="F66" s="1110">
        <f>IF(B46="楼面地价",SUM(F56:F65),ROUND(C48*E66/10000,0))</f>
        <v>222511</v>
      </c>
      <c r="G66" s="1418"/>
      <c r="H66" s="1418"/>
      <c r="I66" s="1418"/>
      <c r="J66" s="1418"/>
      <c r="K66" s="2384"/>
      <c r="L66" s="1778"/>
      <c r="M66" s="1778"/>
      <c r="N66" s="1778"/>
      <c r="O66" s="1778"/>
    </row>
    <row r="67" spans="1:17">
      <c r="A67" s="1310"/>
      <c r="B67" s="1312"/>
      <c r="C67" s="1313"/>
      <c r="D67" s="1310"/>
      <c r="E67" s="1310"/>
      <c r="F67" s="1310"/>
      <c r="G67" s="1310"/>
      <c r="H67" s="1310"/>
      <c r="I67" s="1310"/>
      <c r="J67" s="2369"/>
      <c r="K67" s="2194"/>
      <c r="L67" s="2195"/>
      <c r="M67" s="2369"/>
      <c r="N67" s="2369"/>
      <c r="O67" s="2369"/>
    </row>
    <row r="68" spans="1:17">
      <c r="A68" s="1310"/>
      <c r="B68" s="1312"/>
      <c r="C68" s="1312" t="str">
        <f>YEAR(C7)&amp;"-"&amp;MONTH(C7)&amp;"-1"</f>
        <v>2017-6-1</v>
      </c>
      <c r="D68" s="1312">
        <f>EDATE(C68,-3)</f>
        <v>42795</v>
      </c>
      <c r="E68" s="1312">
        <f>EDATE(D68,-3)</f>
        <v>42705</v>
      </c>
      <c r="F68" s="1312">
        <f t="shared" ref="F68:O68" si="18">EDATE(E68,-3)</f>
        <v>42614</v>
      </c>
      <c r="G68" s="1312">
        <f t="shared" si="18"/>
        <v>42522</v>
      </c>
      <c r="H68" s="1312">
        <f t="shared" si="18"/>
        <v>42430</v>
      </c>
      <c r="I68" s="1312">
        <f t="shared" si="18"/>
        <v>42339</v>
      </c>
      <c r="J68" s="1312">
        <f t="shared" si="18"/>
        <v>42248</v>
      </c>
      <c r="K68" s="1312">
        <f t="shared" si="18"/>
        <v>42156</v>
      </c>
      <c r="L68" s="1312">
        <f t="shared" si="18"/>
        <v>42064</v>
      </c>
      <c r="M68" s="1312">
        <f t="shared" si="18"/>
        <v>41974</v>
      </c>
      <c r="N68" s="1312">
        <f t="shared" si="18"/>
        <v>41883</v>
      </c>
      <c r="O68" s="1312">
        <f t="shared" si="18"/>
        <v>41791</v>
      </c>
    </row>
    <row r="69" spans="1:17" ht="21.75" thickBot="1">
      <c r="A69" s="1314" t="s">
        <v>588</v>
      </c>
      <c r="B69" s="1310"/>
      <c r="C69" s="1315"/>
      <c r="D69" s="1315"/>
      <c r="E69" s="1315"/>
      <c r="F69" s="1316"/>
      <c r="G69" s="1316"/>
      <c r="H69" s="1315"/>
      <c r="I69" s="1315"/>
      <c r="J69" s="2385"/>
      <c r="K69" s="2386"/>
      <c r="L69" s="2387"/>
      <c r="M69" s="2385"/>
      <c r="N69" s="2385"/>
      <c r="O69" s="2385"/>
      <c r="P69" s="849"/>
      <c r="Q69" s="850"/>
    </row>
    <row r="70" spans="1:17" s="854" customFormat="1" ht="15">
      <c r="A70" s="2722" t="s">
        <v>3198</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3"/>
    </row>
    <row r="71" spans="1:17" s="412" customFormat="1" ht="30" customHeight="1">
      <c r="A71" s="3061" t="s">
        <v>42</v>
      </c>
      <c r="B71" s="667" t="str">
        <f>"北京市平均增长率"&amp;TEXT(SUMIF(基准地价修正!N21:N25,A71,基准地价修正!P21:P25),"0.00%")</f>
        <v>北京市平均增长率2.66%</v>
      </c>
      <c r="C71" s="949">
        <v>100</v>
      </c>
      <c r="D71" s="941">
        <v>99.5</v>
      </c>
      <c r="E71" s="941">
        <v>99</v>
      </c>
      <c r="F71" s="941">
        <v>98.5</v>
      </c>
      <c r="G71" s="941">
        <v>98</v>
      </c>
      <c r="H71" s="941">
        <v>97.5</v>
      </c>
      <c r="I71" s="941">
        <v>97</v>
      </c>
      <c r="J71" s="941">
        <v>96.5</v>
      </c>
      <c r="K71" s="941">
        <v>96</v>
      </c>
      <c r="L71" s="941">
        <v>95.5</v>
      </c>
      <c r="M71" s="3052">
        <v>95</v>
      </c>
      <c r="N71" s="941">
        <v>94.5</v>
      </c>
      <c r="O71" s="3053">
        <v>94</v>
      </c>
      <c r="P71" s="850"/>
    </row>
    <row r="72" spans="1:17" s="412" customFormat="1" ht="15.75" thickBot="1">
      <c r="A72" s="861" t="s">
        <v>589</v>
      </c>
      <c r="B72" s="862"/>
      <c r="C72" s="863"/>
      <c r="D72" s="864"/>
      <c r="E72" s="864"/>
      <c r="F72" s="864"/>
      <c r="G72" s="864"/>
      <c r="H72" s="864"/>
      <c r="I72" s="864"/>
      <c r="J72" s="864"/>
      <c r="K72" s="864"/>
      <c r="L72" s="864"/>
      <c r="M72" s="865"/>
      <c r="N72" s="864"/>
      <c r="O72" s="2388"/>
      <c r="P72" s="850"/>
      <c r="Q72" s="850"/>
    </row>
    <row r="73" spans="1:17" s="412" customFormat="1" ht="15">
      <c r="A73" s="867" t="s">
        <v>569</v>
      </c>
      <c r="B73" s="856"/>
      <c r="C73" s="868" t="s">
        <v>590</v>
      </c>
      <c r="D73" s="140" t="s">
        <v>1453</v>
      </c>
      <c r="E73" s="140"/>
      <c r="F73" s="140"/>
      <c r="G73" s="140"/>
      <c r="H73" s="140"/>
      <c r="I73" s="140"/>
      <c r="J73" s="140"/>
      <c r="K73" s="140"/>
      <c r="L73" s="141"/>
      <c r="M73" s="1055"/>
      <c r="N73" s="2376"/>
      <c r="O73" s="2376"/>
      <c r="P73" s="872"/>
      <c r="Q73" s="850"/>
    </row>
    <row r="74" spans="1:17" s="412" customFormat="1" ht="15.75" thickBot="1">
      <c r="A74" s="867"/>
      <c r="B74" s="856"/>
      <c r="C74" s="985">
        <v>100</v>
      </c>
      <c r="D74" s="858">
        <v>98</v>
      </c>
      <c r="E74" s="858"/>
      <c r="F74" s="858"/>
      <c r="G74" s="858"/>
      <c r="H74" s="858"/>
      <c r="I74" s="858"/>
      <c r="J74" s="858"/>
      <c r="K74" s="858"/>
      <c r="L74" s="858"/>
      <c r="M74" s="860"/>
      <c r="N74" s="2376"/>
      <c r="O74" s="2376"/>
      <c r="P74" s="850"/>
      <c r="Q74" s="850"/>
    </row>
    <row r="75" spans="1:17">
      <c r="A75" s="873" t="s">
        <v>592</v>
      </c>
      <c r="B75" s="874" t="s">
        <v>593</v>
      </c>
      <c r="C75" s="122" t="s">
        <v>3676</v>
      </c>
      <c r="D75" s="122" t="s">
        <v>4034</v>
      </c>
      <c r="E75" s="122"/>
      <c r="F75" s="122"/>
      <c r="G75" s="122"/>
      <c r="H75" s="122"/>
      <c r="I75" s="122"/>
      <c r="J75" s="122"/>
      <c r="K75" s="123"/>
      <c r="L75" s="124"/>
      <c r="M75" s="125"/>
      <c r="N75" s="2377"/>
      <c r="O75" s="2377"/>
      <c r="P75" s="340"/>
      <c r="Q75" s="850"/>
    </row>
    <row r="76" spans="1:17" ht="15.75" thickBot="1">
      <c r="A76" s="880"/>
      <c r="B76" s="881"/>
      <c r="C76" s="882">
        <v>100</v>
      </c>
      <c r="D76" s="882">
        <v>95</v>
      </c>
      <c r="E76" s="882"/>
      <c r="F76" s="882"/>
      <c r="G76" s="882"/>
      <c r="H76" s="882"/>
      <c r="I76" s="882"/>
      <c r="J76" s="882"/>
      <c r="K76" s="882"/>
      <c r="L76" s="882"/>
      <c r="M76" s="883"/>
      <c r="N76" s="2378"/>
      <c r="O76" s="2378"/>
      <c r="P76" s="340"/>
      <c r="Q76" s="850"/>
    </row>
    <row r="77" spans="1:17" ht="27.75" thickTop="1">
      <c r="A77" s="880"/>
      <c r="B77" s="884" t="s">
        <v>573</v>
      </c>
      <c r="C77" s="885"/>
      <c r="D77" s="885"/>
      <c r="E77" s="885"/>
      <c r="F77" s="885"/>
      <c r="G77" s="885"/>
      <c r="H77" s="885"/>
      <c r="I77" s="885"/>
      <c r="J77" s="885"/>
      <c r="K77" s="886"/>
      <c r="L77" s="887"/>
      <c r="M77" s="888"/>
      <c r="N77" s="2377"/>
      <c r="O77" s="2377"/>
      <c r="P77" s="340"/>
      <c r="Q77" s="850"/>
    </row>
    <row r="78" spans="1:17" ht="15.75" thickBot="1">
      <c r="A78" s="880"/>
      <c r="B78" s="889"/>
      <c r="C78" s="890"/>
      <c r="D78" s="890"/>
      <c r="E78" s="890"/>
      <c r="F78" s="890"/>
      <c r="G78" s="890"/>
      <c r="H78" s="890"/>
      <c r="I78" s="890"/>
      <c r="J78" s="890"/>
      <c r="K78" s="890"/>
      <c r="L78" s="890"/>
      <c r="M78" s="891"/>
      <c r="N78" s="2378"/>
      <c r="O78" s="2378"/>
      <c r="P78" s="340"/>
      <c r="Q78" s="850"/>
    </row>
    <row r="79" spans="1:17" ht="15.75" thickTop="1">
      <c r="A79" s="880"/>
      <c r="B79" s="892" t="s">
        <v>574</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4" t="str">
        <f>M80&amp;"（含）"&amp;"-"&amp;P80</f>
        <v>（含）-</v>
      </c>
      <c r="N79" s="2378"/>
      <c r="O79" s="2378"/>
      <c r="P79" s="340"/>
      <c r="Q79" s="850"/>
    </row>
    <row r="80" spans="1:17" ht="15">
      <c r="A80" s="880"/>
      <c r="B80" s="894"/>
      <c r="C80" s="895">
        <v>0</v>
      </c>
      <c r="D80" s="895">
        <v>1</v>
      </c>
      <c r="E80" s="895">
        <v>2</v>
      </c>
      <c r="F80" s="895">
        <v>3</v>
      </c>
      <c r="G80" s="895">
        <v>4</v>
      </c>
      <c r="H80" s="895">
        <v>5</v>
      </c>
      <c r="I80" s="895"/>
      <c r="J80" s="895"/>
      <c r="K80" s="896"/>
      <c r="L80" s="897"/>
      <c r="M80" s="898"/>
      <c r="N80" s="2377"/>
      <c r="O80" s="2377"/>
      <c r="P80" s="340"/>
      <c r="Q80" s="850"/>
    </row>
    <row r="81" spans="1:17" ht="15.75" thickBot="1">
      <c r="A81" s="880"/>
      <c r="B81" s="881"/>
      <c r="C81" s="890">
        <v>100</v>
      </c>
      <c r="D81" s="890">
        <f t="shared" ref="D81:M81" si="21">IF($B$46="单位面积地价",C81+$K11,C81-$K11)</f>
        <v>101</v>
      </c>
      <c r="E81" s="890">
        <f t="shared" si="21"/>
        <v>102</v>
      </c>
      <c r="F81" s="890">
        <f t="shared" si="21"/>
        <v>103</v>
      </c>
      <c r="G81" s="890">
        <f t="shared" si="21"/>
        <v>104</v>
      </c>
      <c r="H81" s="890">
        <f t="shared" si="21"/>
        <v>105</v>
      </c>
      <c r="I81" s="890">
        <f t="shared" si="21"/>
        <v>106</v>
      </c>
      <c r="J81" s="890">
        <f t="shared" si="21"/>
        <v>107</v>
      </c>
      <c r="K81" s="890">
        <f t="shared" si="21"/>
        <v>108</v>
      </c>
      <c r="L81" s="890">
        <f t="shared" si="21"/>
        <v>109</v>
      </c>
      <c r="M81" s="890">
        <f t="shared" si="21"/>
        <v>110</v>
      </c>
      <c r="N81" s="2378"/>
      <c r="O81" s="2378"/>
      <c r="P81" s="340"/>
      <c r="Q81" s="850"/>
    </row>
    <row r="82" spans="1:17" s="817" customFormat="1" ht="15.75" thickTop="1">
      <c r="A82" s="899"/>
      <c r="B82" s="884">
        <f>B12</f>
        <v>0</v>
      </c>
      <c r="C82" s="139" t="s">
        <v>267</v>
      </c>
      <c r="D82" s="139" t="s">
        <v>268</v>
      </c>
      <c r="E82" s="139"/>
      <c r="F82" s="139"/>
      <c r="G82" s="139"/>
      <c r="H82" s="1063"/>
      <c r="I82" s="1063"/>
      <c r="J82" s="1063"/>
      <c r="K82" s="1063"/>
      <c r="L82" s="1064"/>
      <c r="M82" s="1065"/>
      <c r="N82" s="2379"/>
      <c r="O82" s="2379"/>
      <c r="P82" s="904"/>
      <c r="Q82" s="905"/>
    </row>
    <row r="83" spans="1:17" s="817" customFormat="1" ht="15.75" thickBot="1">
      <c r="A83" s="899"/>
      <c r="B83" s="889"/>
      <c r="C83" s="906">
        <v>100</v>
      </c>
      <c r="D83" s="882">
        <v>90</v>
      </c>
      <c r="E83" s="882"/>
      <c r="F83" s="882"/>
      <c r="G83" s="882"/>
      <c r="H83" s="882"/>
      <c r="I83" s="882"/>
      <c r="J83" s="882"/>
      <c r="K83" s="882"/>
      <c r="L83" s="882"/>
      <c r="M83" s="883"/>
      <c r="N83" s="2378"/>
      <c r="O83" s="2378"/>
      <c r="P83" s="904"/>
      <c r="Q83" s="905"/>
    </row>
    <row r="84" spans="1:17" s="817" customFormat="1" ht="15.75" thickTop="1">
      <c r="A84" s="899"/>
      <c r="B84" s="884">
        <f>B13</f>
        <v>0</v>
      </c>
      <c r="C84" s="139">
        <v>111</v>
      </c>
      <c r="D84" s="139">
        <v>222</v>
      </c>
      <c r="E84" s="139">
        <v>333</v>
      </c>
      <c r="F84" s="139">
        <v>444</v>
      </c>
      <c r="G84" s="139"/>
      <c r="H84" s="1063"/>
      <c r="I84" s="1063"/>
      <c r="J84" s="1063"/>
      <c r="K84" s="1063"/>
      <c r="L84" s="1064"/>
      <c r="M84" s="1065"/>
      <c r="N84" s="2379"/>
      <c r="O84" s="2379"/>
      <c r="P84" s="816"/>
      <c r="Q84" s="907"/>
    </row>
    <row r="85" spans="1:17" s="817" customFormat="1" ht="15.75" thickBot="1">
      <c r="A85" s="899"/>
      <c r="B85" s="889"/>
      <c r="C85" s="906">
        <v>100</v>
      </c>
      <c r="D85" s="906">
        <v>99</v>
      </c>
      <c r="E85" s="906">
        <v>98</v>
      </c>
      <c r="F85" s="906">
        <v>97</v>
      </c>
      <c r="G85" s="906"/>
      <c r="H85" s="908"/>
      <c r="I85" s="908"/>
      <c r="J85" s="908"/>
      <c r="K85" s="908"/>
      <c r="L85" s="908"/>
      <c r="M85" s="909"/>
      <c r="N85" s="2379"/>
      <c r="O85" s="2379"/>
      <c r="P85" s="904"/>
      <c r="Q85" s="905"/>
    </row>
    <row r="86" spans="1:17" s="817" customFormat="1" ht="15.75" thickTop="1">
      <c r="A86" s="899"/>
      <c r="B86" s="892">
        <f>B14</f>
        <v>0</v>
      </c>
      <c r="C86" s="140">
        <v>111</v>
      </c>
      <c r="D86" s="140">
        <v>222</v>
      </c>
      <c r="E86" s="140">
        <v>333</v>
      </c>
      <c r="F86" s="140">
        <v>444</v>
      </c>
      <c r="G86" s="140"/>
      <c r="H86" s="1070"/>
      <c r="I86" s="1070"/>
      <c r="J86" s="1070"/>
      <c r="K86" s="1070"/>
      <c r="L86" s="1071"/>
      <c r="M86" s="1072"/>
      <c r="N86" s="2379"/>
      <c r="O86" s="2379"/>
      <c r="P86" s="913"/>
      <c r="Q86" s="905"/>
    </row>
    <row r="87" spans="1:17" s="817" customFormat="1" ht="15.75" thickBot="1">
      <c r="A87" s="914"/>
      <c r="B87" s="915"/>
      <c r="C87" s="916">
        <v>100</v>
      </c>
      <c r="D87" s="916">
        <v>98</v>
      </c>
      <c r="E87" s="916">
        <v>96</v>
      </c>
      <c r="F87" s="916">
        <v>94</v>
      </c>
      <c r="G87" s="916"/>
      <c r="H87" s="917"/>
      <c r="I87" s="917"/>
      <c r="J87" s="917"/>
      <c r="K87" s="917"/>
      <c r="L87" s="917"/>
      <c r="M87" s="918"/>
      <c r="N87" s="2379"/>
      <c r="O87" s="2379"/>
      <c r="P87" s="904"/>
      <c r="Q87" s="905"/>
    </row>
    <row r="88" spans="1:17">
      <c r="A88" s="873" t="s">
        <v>575</v>
      </c>
      <c r="B88" s="874" t="s">
        <v>598</v>
      </c>
      <c r="C88" s="919" t="s">
        <v>599</v>
      </c>
      <c r="D88" s="919" t="s">
        <v>600</v>
      </c>
      <c r="E88" s="919" t="s">
        <v>601</v>
      </c>
      <c r="F88" s="919" t="s">
        <v>602</v>
      </c>
      <c r="G88" s="919" t="s">
        <v>603</v>
      </c>
      <c r="H88" s="875"/>
      <c r="I88" s="875"/>
      <c r="J88" s="875"/>
      <c r="K88" s="920"/>
      <c r="L88" s="921"/>
      <c r="M88" s="922"/>
      <c r="N88" s="2377"/>
      <c r="O88" s="2377"/>
      <c r="P88" s="923"/>
      <c r="Q88" s="850"/>
    </row>
    <row r="89" spans="1:17" ht="15.75" thickBot="1">
      <c r="A89" s="880"/>
      <c r="B89" s="889"/>
      <c r="C89" s="890">
        <v>100</v>
      </c>
      <c r="D89" s="890">
        <f>C89-$K15</f>
        <v>100</v>
      </c>
      <c r="E89" s="890">
        <f>D89-$K15</f>
        <v>100</v>
      </c>
      <c r="F89" s="890">
        <f>E89-$K15</f>
        <v>100</v>
      </c>
      <c r="G89" s="890">
        <f>F89-$K15</f>
        <v>100</v>
      </c>
      <c r="H89" s="890"/>
      <c r="I89" s="890"/>
      <c r="J89" s="890"/>
      <c r="K89" s="890"/>
      <c r="L89" s="890"/>
      <c r="M89" s="891"/>
      <c r="N89" s="2378"/>
      <c r="O89" s="2378"/>
      <c r="P89" s="340"/>
      <c r="Q89" s="850"/>
    </row>
    <row r="90" spans="1:17" ht="15.75" thickTop="1">
      <c r="A90" s="880"/>
      <c r="B90" s="884" t="s">
        <v>719</v>
      </c>
      <c r="C90" s="924" t="s">
        <v>599</v>
      </c>
      <c r="D90" s="924" t="s">
        <v>600</v>
      </c>
      <c r="E90" s="924" t="s">
        <v>601</v>
      </c>
      <c r="F90" s="924" t="s">
        <v>602</v>
      </c>
      <c r="G90" s="924" t="s">
        <v>603</v>
      </c>
      <c r="H90" s="885"/>
      <c r="I90" s="885"/>
      <c r="J90" s="885"/>
      <c r="K90" s="886"/>
      <c r="L90" s="887"/>
      <c r="M90" s="888"/>
      <c r="N90" s="2377"/>
      <c r="O90" s="2377"/>
      <c r="P90" s="340"/>
      <c r="Q90" s="850"/>
    </row>
    <row r="91" spans="1:17" ht="15.75" thickBot="1">
      <c r="A91" s="880"/>
      <c r="B91" s="889"/>
      <c r="C91" s="890">
        <v>100</v>
      </c>
      <c r="D91" s="890">
        <f>C91-$K17</f>
        <v>98</v>
      </c>
      <c r="E91" s="890">
        <f>D91-$K17</f>
        <v>96</v>
      </c>
      <c r="F91" s="890">
        <f>E91-$K17</f>
        <v>94</v>
      </c>
      <c r="G91" s="890">
        <f>F91-$K17</f>
        <v>92</v>
      </c>
      <c r="H91" s="890"/>
      <c r="I91" s="890"/>
      <c r="J91" s="890"/>
      <c r="K91" s="890"/>
      <c r="L91" s="890"/>
      <c r="M91" s="891"/>
      <c r="N91" s="2378"/>
      <c r="O91" s="2378"/>
      <c r="P91" s="340"/>
      <c r="Q91" s="850"/>
    </row>
    <row r="92" spans="1:17" ht="15.75" thickTop="1">
      <c r="A92" s="880"/>
      <c r="B92" s="884" t="s">
        <v>627</v>
      </c>
      <c r="C92" s="924" t="s">
        <v>599</v>
      </c>
      <c r="D92" s="924" t="s">
        <v>600</v>
      </c>
      <c r="E92" s="924" t="s">
        <v>601</v>
      </c>
      <c r="F92" s="924" t="s">
        <v>602</v>
      </c>
      <c r="G92" s="924" t="s">
        <v>603</v>
      </c>
      <c r="H92" s="885"/>
      <c r="I92" s="885"/>
      <c r="J92" s="885"/>
      <c r="K92" s="886"/>
      <c r="L92" s="887"/>
      <c r="M92" s="888"/>
      <c r="N92" s="2377"/>
      <c r="O92" s="2377"/>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78"/>
      <c r="O93" s="2378"/>
      <c r="P93" s="340"/>
      <c r="Q93" s="850"/>
    </row>
    <row r="94" spans="1:17" ht="15.75" thickTop="1">
      <c r="A94" s="880"/>
      <c r="B94" s="884" t="s">
        <v>604</v>
      </c>
      <c r="C94" s="924" t="s">
        <v>599</v>
      </c>
      <c r="D94" s="924" t="s">
        <v>600</v>
      </c>
      <c r="E94" s="924" t="s">
        <v>601</v>
      </c>
      <c r="F94" s="924" t="s">
        <v>602</v>
      </c>
      <c r="G94" s="924" t="s">
        <v>603</v>
      </c>
      <c r="H94" s="885"/>
      <c r="I94" s="885"/>
      <c r="J94" s="885"/>
      <c r="K94" s="886"/>
      <c r="L94" s="887"/>
      <c r="M94" s="888"/>
      <c r="N94" s="2377"/>
      <c r="O94" s="2377"/>
      <c r="P94" s="340"/>
      <c r="Q94" s="850"/>
    </row>
    <row r="95" spans="1:17" ht="15.75" thickBot="1">
      <c r="A95" s="880"/>
      <c r="B95" s="889"/>
      <c r="C95" s="890">
        <v>100</v>
      </c>
      <c r="D95" s="890">
        <f>C95-$K21</f>
        <v>97.5</v>
      </c>
      <c r="E95" s="890">
        <f>D95-$K21</f>
        <v>95</v>
      </c>
      <c r="F95" s="890">
        <f>E95-$K21</f>
        <v>92.5</v>
      </c>
      <c r="G95" s="890">
        <f>F95-$K21</f>
        <v>90</v>
      </c>
      <c r="H95" s="890"/>
      <c r="I95" s="890"/>
      <c r="J95" s="890"/>
      <c r="K95" s="890"/>
      <c r="L95" s="890"/>
      <c r="M95" s="891"/>
      <c r="N95" s="2378"/>
      <c r="O95" s="2378"/>
      <c r="P95" s="340"/>
      <c r="Q95" s="850"/>
    </row>
    <row r="96" spans="1:17" s="412" customFormat="1" ht="27.75" thickTop="1">
      <c r="A96" s="925"/>
      <c r="B96" s="884" t="s">
        <v>720</v>
      </c>
      <c r="C96" s="924" t="s">
        <v>599</v>
      </c>
      <c r="D96" s="924" t="s">
        <v>600</v>
      </c>
      <c r="E96" s="924" t="s">
        <v>601</v>
      </c>
      <c r="F96" s="924" t="s">
        <v>602</v>
      </c>
      <c r="G96" s="924" t="s">
        <v>603</v>
      </c>
      <c r="H96" s="924"/>
      <c r="I96" s="924"/>
      <c r="J96" s="924"/>
      <c r="K96" s="924"/>
      <c r="L96" s="1111"/>
      <c r="M96" s="968"/>
      <c r="N96" s="2376"/>
      <c r="O96" s="2376"/>
      <c r="P96" s="340"/>
      <c r="Q96" s="850"/>
    </row>
    <row r="97" spans="1:17" s="412" customFormat="1" ht="15.75" thickBot="1">
      <c r="A97" s="925"/>
      <c r="B97" s="889"/>
      <c r="C97" s="928">
        <v>100</v>
      </c>
      <c r="D97" s="890">
        <f>C97-$K23</f>
        <v>98.5</v>
      </c>
      <c r="E97" s="890">
        <f>D97-$K23</f>
        <v>97</v>
      </c>
      <c r="F97" s="890">
        <f>E97-$K23</f>
        <v>95.5</v>
      </c>
      <c r="G97" s="890">
        <f>F97-$K23</f>
        <v>94</v>
      </c>
      <c r="H97" s="890"/>
      <c r="I97" s="890"/>
      <c r="J97" s="890"/>
      <c r="K97" s="890"/>
      <c r="L97" s="890"/>
      <c r="M97" s="891"/>
      <c r="N97" s="2378"/>
      <c r="O97" s="2378"/>
      <c r="P97" s="340"/>
      <c r="Q97" s="850"/>
    </row>
    <row r="98" spans="1:17" s="412" customFormat="1" ht="27.75" thickTop="1">
      <c r="A98" s="925"/>
      <c r="B98" s="884" t="s">
        <v>721</v>
      </c>
      <c r="C98" s="919" t="s">
        <v>599</v>
      </c>
      <c r="D98" s="919" t="s">
        <v>600</v>
      </c>
      <c r="E98" s="919" t="s">
        <v>601</v>
      </c>
      <c r="F98" s="919" t="s">
        <v>602</v>
      </c>
      <c r="G98" s="919" t="s">
        <v>603</v>
      </c>
      <c r="H98" s="924"/>
      <c r="I98" s="924"/>
      <c r="J98" s="924"/>
      <c r="K98" s="924"/>
      <c r="L98" s="924"/>
      <c r="M98" s="968"/>
      <c r="N98" s="2376"/>
      <c r="O98" s="2376"/>
      <c r="P98" s="340"/>
      <c r="Q98" s="850"/>
    </row>
    <row r="99" spans="1:17" s="412" customFormat="1" ht="15.75" thickBot="1">
      <c r="A99" s="925"/>
      <c r="B99" s="889"/>
      <c r="C99" s="890">
        <v>100</v>
      </c>
      <c r="D99" s="890">
        <f>C99-$K25</f>
        <v>98.5</v>
      </c>
      <c r="E99" s="890">
        <f>D99-$K25</f>
        <v>97</v>
      </c>
      <c r="F99" s="890">
        <f>E99-$K25</f>
        <v>95.5</v>
      </c>
      <c r="G99" s="890">
        <f>F99-$K25</f>
        <v>94</v>
      </c>
      <c r="H99" s="890"/>
      <c r="I99" s="890"/>
      <c r="J99" s="890"/>
      <c r="K99" s="890"/>
      <c r="L99" s="890"/>
      <c r="M99" s="891"/>
      <c r="N99" s="2378"/>
      <c r="O99" s="2378"/>
      <c r="P99" s="340"/>
      <c r="Q99" s="850"/>
    </row>
    <row r="100" spans="1:17" s="817" customFormat="1" ht="15.75" thickTop="1">
      <c r="A100" s="899"/>
      <c r="B100" s="1058" t="s">
        <v>3070</v>
      </c>
      <c r="C100" s="919" t="s">
        <v>599</v>
      </c>
      <c r="D100" s="919" t="s">
        <v>600</v>
      </c>
      <c r="E100" s="919" t="s">
        <v>601</v>
      </c>
      <c r="F100" s="919" t="s">
        <v>602</v>
      </c>
      <c r="G100" s="919" t="s">
        <v>603</v>
      </c>
      <c r="H100" s="946"/>
      <c r="I100" s="946"/>
      <c r="J100" s="946"/>
      <c r="K100" s="946"/>
      <c r="L100" s="947"/>
      <c r="M100" s="948"/>
      <c r="N100" s="2379"/>
      <c r="O100" s="2379"/>
      <c r="P100" s="904"/>
      <c r="Q100" s="905"/>
    </row>
    <row r="101" spans="1:17" s="817" customFormat="1" ht="15.75" thickBot="1">
      <c r="A101" s="899"/>
      <c r="B101" s="889"/>
      <c r="C101" s="890">
        <v>100</v>
      </c>
      <c r="D101" s="890">
        <f>C101-$K27</f>
        <v>98</v>
      </c>
      <c r="E101" s="890">
        <f>D101-$K27</f>
        <v>96</v>
      </c>
      <c r="F101" s="890">
        <f>E101-$K27</f>
        <v>94</v>
      </c>
      <c r="G101" s="890">
        <f>F101-$K27</f>
        <v>92</v>
      </c>
      <c r="H101" s="953"/>
      <c r="I101" s="953"/>
      <c r="J101" s="953"/>
      <c r="K101" s="953"/>
      <c r="L101" s="953"/>
      <c r="M101" s="954"/>
      <c r="N101" s="2379"/>
      <c r="O101" s="2379"/>
      <c r="P101" s="904"/>
      <c r="Q101" s="905"/>
    </row>
    <row r="102" spans="1:17" s="817" customFormat="1" ht="15.75" thickTop="1">
      <c r="A102" s="899"/>
      <c r="B102" s="1060" t="s">
        <v>3057</v>
      </c>
      <c r="C102" s="213" t="s">
        <v>3058</v>
      </c>
      <c r="D102" s="213" t="s">
        <v>3059</v>
      </c>
      <c r="E102" s="213" t="s">
        <v>3060</v>
      </c>
      <c r="F102" s="213" t="s">
        <v>3061</v>
      </c>
      <c r="G102" s="213" t="s">
        <v>3062</v>
      </c>
      <c r="H102" s="946"/>
      <c r="I102" s="946"/>
      <c r="J102" s="946"/>
      <c r="K102" s="946"/>
      <c r="L102" s="946"/>
      <c r="M102" s="2786"/>
      <c r="N102" s="2379"/>
      <c r="O102" s="2379"/>
      <c r="P102" s="904"/>
      <c r="Q102" s="905"/>
    </row>
    <row r="103" spans="1:17" s="817" customFormat="1" ht="15.75" thickBot="1">
      <c r="A103" s="899"/>
      <c r="B103" s="1060"/>
      <c r="C103" s="890">
        <v>100</v>
      </c>
      <c r="D103" s="890">
        <f>C103-$K29</f>
        <v>99</v>
      </c>
      <c r="E103" s="890">
        <f>D103-$K29</f>
        <v>98</v>
      </c>
      <c r="F103" s="890">
        <f>E103-$K29</f>
        <v>97</v>
      </c>
      <c r="G103" s="890">
        <f>F103-$K29</f>
        <v>96</v>
      </c>
      <c r="H103" s="894"/>
      <c r="I103" s="894"/>
      <c r="J103" s="894"/>
      <c r="K103" s="894"/>
      <c r="L103" s="894"/>
      <c r="M103" s="2786"/>
      <c r="N103" s="2379"/>
      <c r="O103" s="2379"/>
      <c r="P103" s="904"/>
      <c r="Q103" s="905"/>
    </row>
    <row r="104" spans="1:17" ht="15.75" thickTop="1">
      <c r="A104" s="880"/>
      <c r="B104" s="1058" t="str">
        <f>B31</f>
        <v>临街状况</v>
      </c>
      <c r="C104" s="885" t="s">
        <v>722</v>
      </c>
      <c r="D104" s="885" t="s">
        <v>723</v>
      </c>
      <c r="E104" s="885" t="s">
        <v>724</v>
      </c>
      <c r="F104" s="885" t="s">
        <v>725</v>
      </c>
      <c r="G104" s="885"/>
      <c r="H104" s="885"/>
      <c r="I104" s="885"/>
      <c r="J104" s="885"/>
      <c r="K104" s="886"/>
      <c r="L104" s="887"/>
      <c r="M104" s="888"/>
      <c r="N104" s="2377"/>
      <c r="O104" s="2377"/>
      <c r="P104" s="340"/>
      <c r="Q104" s="850"/>
    </row>
    <row r="105" spans="1:17" ht="15.75" thickBot="1">
      <c r="A105" s="880"/>
      <c r="B105" s="889"/>
      <c r="C105" s="890">
        <v>100</v>
      </c>
      <c r="D105" s="890">
        <f>C105-$K31</f>
        <v>99</v>
      </c>
      <c r="E105" s="890">
        <f t="shared" ref="E105:M105" si="22">D105-$K31</f>
        <v>98</v>
      </c>
      <c r="F105" s="890">
        <f t="shared" si="22"/>
        <v>97</v>
      </c>
      <c r="G105" s="890">
        <f t="shared" si="22"/>
        <v>96</v>
      </c>
      <c r="H105" s="890">
        <f t="shared" si="22"/>
        <v>95</v>
      </c>
      <c r="I105" s="890">
        <f t="shared" si="22"/>
        <v>94</v>
      </c>
      <c r="J105" s="890">
        <f t="shared" si="22"/>
        <v>93</v>
      </c>
      <c r="K105" s="890">
        <f t="shared" si="22"/>
        <v>92</v>
      </c>
      <c r="L105" s="890">
        <f t="shared" si="22"/>
        <v>91</v>
      </c>
      <c r="M105" s="890">
        <f t="shared" si="22"/>
        <v>90</v>
      </c>
      <c r="N105" s="2378"/>
      <c r="O105" s="2378"/>
      <c r="P105" s="340"/>
      <c r="Q105" s="850"/>
    </row>
    <row r="106" spans="1:17" ht="27.75" thickTop="1">
      <c r="A106" s="880"/>
      <c r="B106" s="884" t="s">
        <v>626</v>
      </c>
      <c r="C106" s="139" t="s">
        <v>223</v>
      </c>
      <c r="D106" s="139" t="s">
        <v>225</v>
      </c>
      <c r="E106" s="139" t="s">
        <v>227</v>
      </c>
      <c r="F106" s="139" t="s">
        <v>228</v>
      </c>
      <c r="G106" s="139" t="s">
        <v>229</v>
      </c>
      <c r="H106" s="131"/>
      <c r="I106" s="131"/>
      <c r="J106" s="131"/>
      <c r="K106" s="132"/>
      <c r="L106" s="133"/>
      <c r="M106" s="134"/>
      <c r="N106" s="2377"/>
      <c r="O106" s="2377"/>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78"/>
      <c r="O107" s="2378"/>
      <c r="P107" s="340"/>
      <c r="Q107" s="850"/>
    </row>
    <row r="108" spans="1:17" ht="15.75" thickTop="1">
      <c r="A108" s="880"/>
      <c r="B108" s="884" t="s">
        <v>699</v>
      </c>
      <c r="C108" s="131" t="s">
        <v>1454</v>
      </c>
      <c r="D108" s="131" t="s">
        <v>1455</v>
      </c>
      <c r="E108" s="131" t="s">
        <v>1456</v>
      </c>
      <c r="F108" s="131"/>
      <c r="G108" s="131"/>
      <c r="H108" s="131"/>
      <c r="I108" s="131"/>
      <c r="J108" s="131"/>
      <c r="K108" s="132"/>
      <c r="L108" s="133"/>
      <c r="M108" s="134"/>
      <c r="N108" s="2377"/>
      <c r="O108" s="2377"/>
      <c r="P108" s="340"/>
      <c r="Q108" s="850"/>
    </row>
    <row r="109" spans="1:17" ht="15.75" thickBot="1">
      <c r="A109" s="880"/>
      <c r="B109" s="889"/>
      <c r="C109" s="890">
        <v>100</v>
      </c>
      <c r="D109" s="890">
        <f>C109-$K34</f>
        <v>100</v>
      </c>
      <c r="E109" s="890">
        <f t="shared" ref="E109:M109" si="24">D109-$K34</f>
        <v>100</v>
      </c>
      <c r="F109" s="890">
        <f t="shared" si="24"/>
        <v>100</v>
      </c>
      <c r="G109" s="890">
        <f t="shared" si="24"/>
        <v>100</v>
      </c>
      <c r="H109" s="890">
        <f t="shared" si="24"/>
        <v>100</v>
      </c>
      <c r="I109" s="890">
        <f t="shared" si="24"/>
        <v>100</v>
      </c>
      <c r="J109" s="890">
        <f t="shared" si="24"/>
        <v>100</v>
      </c>
      <c r="K109" s="890">
        <f t="shared" si="24"/>
        <v>100</v>
      </c>
      <c r="L109" s="890">
        <f t="shared" si="24"/>
        <v>100</v>
      </c>
      <c r="M109" s="890">
        <f t="shared" si="24"/>
        <v>100</v>
      </c>
      <c r="N109" s="2378"/>
      <c r="O109" s="2378"/>
      <c r="P109" s="340"/>
      <c r="Q109" s="850"/>
    </row>
    <row r="110" spans="1:17" ht="15.75" thickTop="1">
      <c r="A110" s="880"/>
      <c r="B110" s="892">
        <f>B35</f>
        <v>0</v>
      </c>
      <c r="C110" s="139">
        <v>111</v>
      </c>
      <c r="D110" s="139">
        <v>222</v>
      </c>
      <c r="E110" s="139">
        <v>333</v>
      </c>
      <c r="F110" s="139">
        <v>444</v>
      </c>
      <c r="G110" s="135"/>
      <c r="H110" s="135"/>
      <c r="I110" s="135"/>
      <c r="J110" s="135"/>
      <c r="K110" s="136"/>
      <c r="L110" s="137"/>
      <c r="M110" s="138"/>
      <c r="N110" s="2377"/>
      <c r="O110" s="2377"/>
      <c r="P110" s="340"/>
      <c r="Q110" s="850"/>
    </row>
    <row r="111" spans="1:17" ht="15.75" thickBot="1">
      <c r="A111" s="880"/>
      <c r="B111" s="915"/>
      <c r="C111" s="906">
        <v>100</v>
      </c>
      <c r="D111" s="906">
        <v>99</v>
      </c>
      <c r="E111" s="906">
        <v>98</v>
      </c>
      <c r="F111" s="906">
        <v>97</v>
      </c>
      <c r="G111" s="937"/>
      <c r="H111" s="937"/>
      <c r="I111" s="937"/>
      <c r="J111" s="937"/>
      <c r="K111" s="937"/>
      <c r="L111" s="937"/>
      <c r="M111" s="938"/>
      <c r="N111" s="2378"/>
      <c r="O111" s="2378"/>
      <c r="P111" s="340"/>
      <c r="Q111" s="850"/>
    </row>
    <row r="112" spans="1:17" ht="15" thickTop="1">
      <c r="A112" s="1088"/>
      <c r="B112" s="884">
        <f>B36</f>
        <v>0</v>
      </c>
      <c r="C112" s="140">
        <v>111</v>
      </c>
      <c r="D112" s="140">
        <v>222</v>
      </c>
      <c r="E112" s="140">
        <v>333</v>
      </c>
      <c r="F112" s="140">
        <v>444</v>
      </c>
      <c r="G112" s="131"/>
      <c r="H112" s="131"/>
      <c r="I112" s="131"/>
      <c r="J112" s="131"/>
      <c r="K112" s="132"/>
      <c r="L112" s="133"/>
      <c r="M112" s="134"/>
      <c r="N112" s="2377"/>
      <c r="O112" s="2377"/>
      <c r="P112" s="340"/>
      <c r="Q112" s="850"/>
    </row>
    <row r="113" spans="1:17" ht="15.75" thickBot="1">
      <c r="A113" s="880"/>
      <c r="B113" s="889"/>
      <c r="C113" s="916">
        <v>100</v>
      </c>
      <c r="D113" s="916">
        <v>98</v>
      </c>
      <c r="E113" s="916">
        <v>96</v>
      </c>
      <c r="F113" s="916">
        <v>94</v>
      </c>
      <c r="G113" s="882"/>
      <c r="H113" s="882"/>
      <c r="I113" s="882"/>
      <c r="J113" s="882"/>
      <c r="K113" s="882"/>
      <c r="L113" s="882"/>
      <c r="M113" s="883"/>
      <c r="N113" s="2378"/>
      <c r="O113" s="2378"/>
      <c r="P113" s="340"/>
      <c r="Q113" s="850"/>
    </row>
    <row r="114" spans="1:17" s="817" customFormat="1" ht="15" thickTop="1">
      <c r="A114" s="939"/>
      <c r="B114" s="940">
        <f>B37</f>
        <v>0</v>
      </c>
      <c r="C114" s="1079">
        <v>111</v>
      </c>
      <c r="D114" s="1079">
        <v>222</v>
      </c>
      <c r="E114" s="1079">
        <v>333</v>
      </c>
      <c r="F114" s="1079">
        <v>444</v>
      </c>
      <c r="G114" s="1079"/>
      <c r="H114" s="1079"/>
      <c r="I114" s="1079"/>
      <c r="J114" s="1080"/>
      <c r="K114" s="1080"/>
      <c r="L114" s="1081"/>
      <c r="M114" s="1082"/>
      <c r="N114" s="2379"/>
      <c r="O114" s="2379"/>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78"/>
      <c r="O115" s="2378"/>
      <c r="P115" s="904"/>
      <c r="Q115" s="905"/>
    </row>
    <row r="116" spans="1:17" ht="28.5">
      <c r="A116" s="873" t="s">
        <v>580</v>
      </c>
      <c r="B116" s="874" t="s">
        <v>729</v>
      </c>
      <c r="C116" s="876" t="str">
        <f t="shared" ref="C116:H116" si="25">C117&amp;"(含)"&amp;"-"&amp;D117</f>
        <v>0(含)-10000</v>
      </c>
      <c r="D116" s="876" t="str">
        <f t="shared" si="25"/>
        <v>10000(含)-50000</v>
      </c>
      <c r="E116" s="876" t="str">
        <f t="shared" si="25"/>
        <v>50000(含)-100000</v>
      </c>
      <c r="F116" s="876" t="str">
        <f t="shared" si="25"/>
        <v>100000(含)-200000</v>
      </c>
      <c r="G116" s="876" t="str">
        <f t="shared" si="25"/>
        <v>200000(含)-300000</v>
      </c>
      <c r="H116" s="876" t="str">
        <f t="shared" si="25"/>
        <v>300000(含)-400000</v>
      </c>
      <c r="I116" s="876" t="str">
        <f t="shared" ref="I116" si="26">I117&amp;"(含)"&amp;"-"&amp;J117</f>
        <v>400000(含)-500000</v>
      </c>
      <c r="J116" s="876" t="str">
        <f t="shared" ref="J116" si="27">J117&amp;"(含)"&amp;"-"&amp;K117</f>
        <v>500000(含)-600000</v>
      </c>
      <c r="K116" s="876" t="str">
        <f t="shared" ref="K116" si="28">K117&amp;"(含)"&amp;"-"&amp;L117</f>
        <v>600000(含)-700000</v>
      </c>
      <c r="L116" s="876" t="str">
        <f t="shared" ref="L116" si="29">L117&amp;"(含)"&amp;"-"&amp;M117</f>
        <v>700000(含)-</v>
      </c>
      <c r="M116" s="879"/>
      <c r="N116" s="2377"/>
      <c r="O116" s="2377"/>
      <c r="P116" s="340"/>
      <c r="Q116" s="850"/>
    </row>
    <row r="117" spans="1:17" ht="15">
      <c r="A117" s="880"/>
      <c r="B117" s="892"/>
      <c r="C117" s="941">
        <v>0</v>
      </c>
      <c r="D117" s="941">
        <v>10000</v>
      </c>
      <c r="E117" s="941">
        <v>50000</v>
      </c>
      <c r="F117" s="941">
        <v>100000</v>
      </c>
      <c r="G117" s="941">
        <v>200000</v>
      </c>
      <c r="H117" s="941">
        <v>300000</v>
      </c>
      <c r="I117" s="941">
        <v>400000</v>
      </c>
      <c r="J117" s="942">
        <v>500000</v>
      </c>
      <c r="K117" s="942">
        <v>600000</v>
      </c>
      <c r="L117" s="943">
        <v>700000</v>
      </c>
      <c r="M117" s="944"/>
      <c r="N117" s="2377"/>
      <c r="O117" s="2377"/>
      <c r="P117" s="340"/>
      <c r="Q117" s="850"/>
    </row>
    <row r="118" spans="1:17" ht="15.75" thickBot="1">
      <c r="A118" s="880"/>
      <c r="B118" s="889"/>
      <c r="C118" s="916">
        <v>100</v>
      </c>
      <c r="D118" s="916">
        <v>101</v>
      </c>
      <c r="E118" s="916">
        <v>102</v>
      </c>
      <c r="F118" s="916">
        <v>103</v>
      </c>
      <c r="G118" s="916">
        <v>104</v>
      </c>
      <c r="H118" s="916">
        <v>105</v>
      </c>
      <c r="I118" s="916">
        <v>106</v>
      </c>
      <c r="J118" s="916">
        <v>107</v>
      </c>
      <c r="K118" s="916">
        <v>108</v>
      </c>
      <c r="L118" s="916">
        <v>109</v>
      </c>
      <c r="M118" s="938"/>
      <c r="N118" s="2378"/>
      <c r="O118" s="2378"/>
      <c r="P118" s="340"/>
      <c r="Q118" s="850"/>
    </row>
    <row r="119" spans="1:17" ht="15" thickTop="1">
      <c r="A119" s="945"/>
      <c r="B119" s="884" t="s">
        <v>730</v>
      </c>
      <c r="C119" s="131" t="s">
        <v>1457</v>
      </c>
      <c r="D119" s="131" t="s">
        <v>1458</v>
      </c>
      <c r="E119" s="131" t="s">
        <v>1459</v>
      </c>
      <c r="F119" s="131" t="s">
        <v>1460</v>
      </c>
      <c r="G119" s="131"/>
      <c r="H119" s="131"/>
      <c r="I119" s="131"/>
      <c r="J119" s="131"/>
      <c r="K119" s="132"/>
      <c r="L119" s="133"/>
      <c r="M119" s="134"/>
      <c r="N119" s="2377"/>
      <c r="O119" s="2377"/>
      <c r="P119" s="340"/>
      <c r="Q119" s="850"/>
    </row>
    <row r="120" spans="1:17" ht="15.75" thickBot="1">
      <c r="A120" s="880"/>
      <c r="B120" s="889"/>
      <c r="C120" s="890">
        <v>100</v>
      </c>
      <c r="D120" s="890">
        <f t="shared" ref="D120:M120" si="30">C120-$K39</f>
        <v>99</v>
      </c>
      <c r="E120" s="890">
        <f t="shared" si="30"/>
        <v>98</v>
      </c>
      <c r="F120" s="890">
        <f t="shared" si="30"/>
        <v>97</v>
      </c>
      <c r="G120" s="890">
        <f t="shared" si="30"/>
        <v>96</v>
      </c>
      <c r="H120" s="890">
        <f t="shared" si="30"/>
        <v>95</v>
      </c>
      <c r="I120" s="890">
        <f t="shared" si="30"/>
        <v>94</v>
      </c>
      <c r="J120" s="890">
        <f t="shared" si="30"/>
        <v>93</v>
      </c>
      <c r="K120" s="890">
        <f t="shared" si="30"/>
        <v>92</v>
      </c>
      <c r="L120" s="890">
        <f t="shared" si="30"/>
        <v>91</v>
      </c>
      <c r="M120" s="891">
        <f t="shared" si="30"/>
        <v>90</v>
      </c>
      <c r="N120" s="2378"/>
      <c r="O120" s="2378"/>
      <c r="P120" s="340"/>
      <c r="Q120" s="850"/>
    </row>
    <row r="121" spans="1:17" ht="15" thickTop="1">
      <c r="A121" s="945"/>
      <c r="B121" s="884" t="s">
        <v>731</v>
      </c>
      <c r="C121" s="139" t="s">
        <v>1461</v>
      </c>
      <c r="D121" s="139" t="s">
        <v>1462</v>
      </c>
      <c r="E121" s="139" t="s">
        <v>1463</v>
      </c>
      <c r="F121" s="131"/>
      <c r="G121" s="131"/>
      <c r="H121" s="131"/>
      <c r="I121" s="131"/>
      <c r="J121" s="131"/>
      <c r="K121" s="132"/>
      <c r="L121" s="133"/>
      <c r="M121" s="134"/>
      <c r="N121" s="2377"/>
      <c r="O121" s="2377"/>
      <c r="P121" s="340"/>
      <c r="Q121" s="850"/>
    </row>
    <row r="122" spans="1:17" ht="15.75" thickBot="1">
      <c r="A122" s="880"/>
      <c r="B122" s="889"/>
      <c r="C122" s="890">
        <v>100</v>
      </c>
      <c r="D122" s="890">
        <f t="shared" ref="D122:M122" si="31">C122-$K40</f>
        <v>100</v>
      </c>
      <c r="E122" s="890">
        <f t="shared" si="31"/>
        <v>100</v>
      </c>
      <c r="F122" s="890">
        <f t="shared" si="31"/>
        <v>100</v>
      </c>
      <c r="G122" s="890">
        <f t="shared" si="31"/>
        <v>100</v>
      </c>
      <c r="H122" s="890">
        <f t="shared" si="31"/>
        <v>100</v>
      </c>
      <c r="I122" s="890">
        <f t="shared" si="31"/>
        <v>100</v>
      </c>
      <c r="J122" s="890">
        <f t="shared" si="31"/>
        <v>100</v>
      </c>
      <c r="K122" s="890">
        <f t="shared" si="31"/>
        <v>100</v>
      </c>
      <c r="L122" s="890">
        <f t="shared" si="31"/>
        <v>100</v>
      </c>
      <c r="M122" s="891">
        <f t="shared" si="31"/>
        <v>100</v>
      </c>
      <c r="N122" s="2378"/>
      <c r="O122" s="2378"/>
      <c r="P122" s="340"/>
      <c r="Q122" s="850"/>
    </row>
    <row r="123" spans="1:17" s="817" customFormat="1" ht="15" thickTop="1">
      <c r="A123" s="939"/>
      <c r="B123" s="1058" t="s">
        <v>2892</v>
      </c>
      <c r="C123" s="139" t="s">
        <v>2893</v>
      </c>
      <c r="D123" s="139" t="s">
        <v>2895</v>
      </c>
      <c r="E123" s="139" t="s">
        <v>2896</v>
      </c>
      <c r="F123" s="139" t="s">
        <v>2897</v>
      </c>
      <c r="G123" s="139" t="s">
        <v>2898</v>
      </c>
      <c r="H123" s="131"/>
      <c r="I123" s="131"/>
      <c r="J123" s="131"/>
      <c r="K123" s="132"/>
      <c r="L123" s="133"/>
      <c r="M123" s="134"/>
      <c r="N123" s="2379"/>
      <c r="O123" s="2379"/>
      <c r="P123" s="904"/>
      <c r="Q123" s="905"/>
    </row>
    <row r="124" spans="1:17" s="817" customFormat="1" ht="15.75" thickBot="1">
      <c r="A124" s="899"/>
      <c r="B124" s="889"/>
      <c r="C124" s="890">
        <v>100</v>
      </c>
      <c r="D124" s="890">
        <f>C124-$K41</f>
        <v>99</v>
      </c>
      <c r="E124" s="890">
        <f t="shared" ref="E124:M124" si="32">D124-$K41</f>
        <v>98</v>
      </c>
      <c r="F124" s="890">
        <f t="shared" si="32"/>
        <v>97</v>
      </c>
      <c r="G124" s="890">
        <f t="shared" si="32"/>
        <v>96</v>
      </c>
      <c r="H124" s="890">
        <f t="shared" si="32"/>
        <v>95</v>
      </c>
      <c r="I124" s="890">
        <f t="shared" si="32"/>
        <v>94</v>
      </c>
      <c r="J124" s="890">
        <f t="shared" si="32"/>
        <v>93</v>
      </c>
      <c r="K124" s="890">
        <f t="shared" si="32"/>
        <v>92</v>
      </c>
      <c r="L124" s="890">
        <f t="shared" si="32"/>
        <v>91</v>
      </c>
      <c r="M124" s="891">
        <f t="shared" si="32"/>
        <v>90</v>
      </c>
      <c r="N124" s="2379"/>
      <c r="O124" s="2379"/>
      <c r="P124" s="904"/>
      <c r="Q124" s="905"/>
    </row>
    <row r="125" spans="1:17" ht="15" thickTop="1">
      <c r="A125" s="945"/>
      <c r="B125" s="884" t="s">
        <v>732</v>
      </c>
      <c r="C125" s="139" t="s">
        <v>1464</v>
      </c>
      <c r="D125" s="139" t="s">
        <v>1465</v>
      </c>
      <c r="E125" s="131" t="s">
        <v>1466</v>
      </c>
      <c r="F125" s="131" t="s">
        <v>1467</v>
      </c>
      <c r="G125" s="131" t="s">
        <v>1468</v>
      </c>
      <c r="H125" s="131"/>
      <c r="I125" s="131"/>
      <c r="J125" s="131"/>
      <c r="K125" s="132"/>
      <c r="L125" s="133"/>
      <c r="M125" s="134"/>
      <c r="N125" s="2377"/>
      <c r="O125" s="2377"/>
      <c r="P125" s="340"/>
      <c r="Q125" s="850"/>
    </row>
    <row r="126" spans="1:17" ht="15.75" thickBot="1">
      <c r="A126" s="880"/>
      <c r="B126" s="889"/>
      <c r="C126" s="890">
        <v>100</v>
      </c>
      <c r="D126" s="890">
        <f t="shared" ref="D126:M126" si="33">C126-$K42</f>
        <v>99</v>
      </c>
      <c r="E126" s="890">
        <f t="shared" si="33"/>
        <v>98</v>
      </c>
      <c r="F126" s="890">
        <f t="shared" si="33"/>
        <v>97</v>
      </c>
      <c r="G126" s="890">
        <f t="shared" si="33"/>
        <v>96</v>
      </c>
      <c r="H126" s="890">
        <f t="shared" si="33"/>
        <v>95</v>
      </c>
      <c r="I126" s="890">
        <f t="shared" si="33"/>
        <v>94</v>
      </c>
      <c r="J126" s="890">
        <f t="shared" si="33"/>
        <v>93</v>
      </c>
      <c r="K126" s="890">
        <f t="shared" si="33"/>
        <v>92</v>
      </c>
      <c r="L126" s="890">
        <f t="shared" si="33"/>
        <v>91</v>
      </c>
      <c r="M126" s="891">
        <f t="shared" si="33"/>
        <v>90</v>
      </c>
      <c r="N126" s="2378"/>
      <c r="O126" s="2378"/>
      <c r="P126" s="340"/>
      <c r="Q126" s="850"/>
    </row>
    <row r="127" spans="1:17" ht="15" thickTop="1">
      <c r="A127" s="945"/>
      <c r="B127" s="884">
        <f>B43</f>
        <v>0</v>
      </c>
      <c r="C127" s="139">
        <v>111</v>
      </c>
      <c r="D127" s="139">
        <v>222</v>
      </c>
      <c r="E127" s="139">
        <v>333</v>
      </c>
      <c r="F127" s="139">
        <v>444</v>
      </c>
      <c r="G127" s="139"/>
      <c r="H127" s="131"/>
      <c r="I127" s="131"/>
      <c r="J127" s="131"/>
      <c r="K127" s="132"/>
      <c r="L127" s="133"/>
      <c r="M127" s="134"/>
      <c r="N127" s="2377"/>
      <c r="O127" s="2377"/>
      <c r="P127" s="340"/>
      <c r="Q127" s="850"/>
    </row>
    <row r="128" spans="1:17" ht="15.75" thickBot="1">
      <c r="A128" s="880"/>
      <c r="B128" s="889"/>
      <c r="C128" s="906">
        <v>100</v>
      </c>
      <c r="D128" s="906">
        <v>99</v>
      </c>
      <c r="E128" s="906">
        <v>98</v>
      </c>
      <c r="F128" s="906">
        <v>97</v>
      </c>
      <c r="G128" s="882"/>
      <c r="H128" s="882"/>
      <c r="I128" s="882"/>
      <c r="J128" s="882"/>
      <c r="K128" s="882"/>
      <c r="L128" s="882"/>
      <c r="M128" s="883"/>
      <c r="N128" s="2378"/>
      <c r="O128" s="2378"/>
      <c r="P128" s="340"/>
      <c r="Q128" s="850"/>
    </row>
    <row r="129" spans="1:17" ht="15" thickTop="1">
      <c r="A129" s="945"/>
      <c r="B129" s="884">
        <f>B44</f>
        <v>0</v>
      </c>
      <c r="C129" s="140">
        <v>111</v>
      </c>
      <c r="D129" s="140">
        <v>222</v>
      </c>
      <c r="E129" s="140">
        <v>333</v>
      </c>
      <c r="F129" s="140">
        <v>444</v>
      </c>
      <c r="G129" s="131"/>
      <c r="H129" s="131"/>
      <c r="I129" s="131"/>
      <c r="J129" s="131"/>
      <c r="K129" s="132"/>
      <c r="L129" s="133"/>
      <c r="M129" s="134"/>
      <c r="N129" s="2377"/>
      <c r="O129" s="2377"/>
      <c r="P129" s="340"/>
      <c r="Q129" s="850"/>
    </row>
    <row r="130" spans="1:17" ht="15.75" thickBot="1">
      <c r="A130" s="880"/>
      <c r="B130" s="889"/>
      <c r="C130" s="916">
        <v>100</v>
      </c>
      <c r="D130" s="916">
        <v>98</v>
      </c>
      <c r="E130" s="916">
        <v>96</v>
      </c>
      <c r="F130" s="916">
        <v>94</v>
      </c>
      <c r="G130" s="882"/>
      <c r="H130" s="882"/>
      <c r="I130" s="882"/>
      <c r="J130" s="882"/>
      <c r="K130" s="882"/>
      <c r="L130" s="882"/>
      <c r="M130" s="883"/>
      <c r="N130" s="2378"/>
      <c r="O130" s="2378"/>
      <c r="P130" s="340"/>
      <c r="Q130" s="850"/>
    </row>
    <row r="131" spans="1:17" s="817" customFormat="1" ht="15" thickTop="1">
      <c r="A131" s="939"/>
      <c r="B131" s="884">
        <f>B45</f>
        <v>0</v>
      </c>
      <c r="C131" s="140">
        <v>111</v>
      </c>
      <c r="D131" s="140">
        <v>222</v>
      </c>
      <c r="E131" s="140">
        <v>333</v>
      </c>
      <c r="F131" s="140">
        <v>444</v>
      </c>
      <c r="G131" s="1063"/>
      <c r="H131" s="1063"/>
      <c r="I131" s="1063"/>
      <c r="J131" s="1063"/>
      <c r="K131" s="1063"/>
      <c r="L131" s="1064"/>
      <c r="M131" s="1065"/>
      <c r="N131" s="2379"/>
      <c r="O131" s="2379"/>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79"/>
      <c r="O132" s="2379"/>
      <c r="P132" s="904"/>
      <c r="Q132" s="90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695</v>
      </c>
      <c r="B1" s="741"/>
      <c r="C1" s="742" t="s">
        <v>734</v>
      </c>
      <c r="D1" s="1306"/>
      <c r="E1" s="1306"/>
      <c r="F1" s="1305" t="s">
        <v>553</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row>
    <row r="2" spans="1:29" s="744" customFormat="1" ht="28.5" customHeight="1">
      <c r="A2" s="580" t="s">
        <v>509</v>
      </c>
      <c r="B2" s="1084" t="e">
        <f>F61</f>
        <v>#DIV/0!</v>
      </c>
      <c r="C2" s="2350"/>
      <c r="D2" s="2350"/>
      <c r="E2" s="2350"/>
      <c r="F2" s="2351"/>
      <c r="G2" s="2350"/>
      <c r="H2" s="2350"/>
      <c r="I2" s="2350"/>
      <c r="J2" s="2350"/>
      <c r="K2" s="2352"/>
      <c r="L2" s="2353"/>
      <c r="M2" s="2354"/>
      <c r="N2" s="2354"/>
      <c r="O2" s="2354"/>
      <c r="P2" s="1319"/>
      <c r="Q2" s="1319"/>
      <c r="R2" s="1319"/>
      <c r="S2" s="1319"/>
      <c r="T2" s="1319"/>
      <c r="U2" s="1319"/>
      <c r="V2" s="1319"/>
      <c r="W2" s="1319"/>
      <c r="X2" s="1319"/>
      <c r="Y2" s="1319"/>
      <c r="Z2" s="1319"/>
      <c r="AA2" s="1319"/>
      <c r="AB2" s="1319"/>
      <c r="AC2" s="1320"/>
    </row>
    <row r="3" spans="1:29" s="744" customFormat="1" ht="28.5" customHeight="1" thickBot="1">
      <c r="A3" s="582" t="s">
        <v>510</v>
      </c>
      <c r="B3" s="955" t="e">
        <f>ROUND(IF(D3="",B2*10000/'数据-汇总表'!E3,B2*10000/D3),0)</f>
        <v>#DIV/0!</v>
      </c>
      <c r="C3" s="582" t="s">
        <v>3296</v>
      </c>
      <c r="D3" s="3074"/>
      <c r="E3" s="2350"/>
      <c r="F3" s="2351"/>
      <c r="G3" s="2350"/>
      <c r="H3" s="2350"/>
      <c r="I3" s="2350"/>
      <c r="J3" s="2350"/>
      <c r="K3" s="2352"/>
      <c r="L3" s="2353"/>
      <c r="M3" s="2354"/>
      <c r="N3" s="2354"/>
      <c r="O3" s="2354"/>
      <c r="P3" s="1319"/>
      <c r="Q3" s="1319"/>
      <c r="R3" s="1319"/>
      <c r="S3" s="1319"/>
      <c r="T3" s="1319"/>
      <c r="U3" s="1319"/>
      <c r="V3" s="1319"/>
      <c r="W3" s="1319"/>
      <c r="X3" s="1319"/>
      <c r="Y3" s="1319"/>
      <c r="Z3" s="1319"/>
      <c r="AA3" s="1319"/>
      <c r="AB3" s="1412"/>
      <c r="AC3" s="1402"/>
    </row>
    <row r="4" spans="1:29" ht="15">
      <c r="A4" s="747" t="s">
        <v>554</v>
      </c>
      <c r="B4" s="748"/>
      <c r="C4" s="3855" t="s">
        <v>555</v>
      </c>
      <c r="D4" s="3856"/>
      <c r="E4" s="3857" t="s">
        <v>556</v>
      </c>
      <c r="F4" s="3858"/>
      <c r="G4" s="3855" t="s">
        <v>557</v>
      </c>
      <c r="H4" s="3856"/>
      <c r="I4" s="3855" t="s">
        <v>558</v>
      </c>
      <c r="J4" s="3856"/>
      <c r="K4" s="956" t="s">
        <v>559</v>
      </c>
      <c r="L4" s="2355"/>
      <c r="M4" s="2356"/>
      <c r="N4" s="2356"/>
      <c r="O4" s="2356"/>
      <c r="P4" s="3859" t="s">
        <v>560</v>
      </c>
      <c r="Q4" s="3860"/>
      <c r="R4" s="3842" t="s">
        <v>556</v>
      </c>
      <c r="S4" s="3843"/>
      <c r="T4" s="3842" t="s">
        <v>557</v>
      </c>
      <c r="U4" s="3843"/>
      <c r="V4" s="3867" t="s">
        <v>558</v>
      </c>
      <c r="W4" s="3867"/>
      <c r="X4" s="1321"/>
      <c r="Y4" s="3842" t="s">
        <v>560</v>
      </c>
      <c r="Z4" s="3843"/>
      <c r="AA4" s="3837" t="s">
        <v>556</v>
      </c>
      <c r="AB4" s="3838" t="s">
        <v>557</v>
      </c>
      <c r="AC4" s="3837" t="s">
        <v>558</v>
      </c>
    </row>
    <row r="5" spans="1:29" ht="15">
      <c r="A5" s="750"/>
      <c r="B5" s="751"/>
      <c r="C5" s="3786" t="s">
        <v>1438</v>
      </c>
      <c r="D5" s="3787"/>
      <c r="E5" s="3784" t="s">
        <v>1439</v>
      </c>
      <c r="F5" s="3785"/>
      <c r="G5" s="3786" t="s">
        <v>1452</v>
      </c>
      <c r="H5" s="3787"/>
      <c r="I5" s="3786" t="s">
        <v>1440</v>
      </c>
      <c r="J5" s="3787"/>
      <c r="K5" s="956"/>
      <c r="L5" s="2355"/>
      <c r="M5" s="2356"/>
      <c r="N5" s="2356"/>
      <c r="O5" s="2356"/>
      <c r="P5" s="3861"/>
      <c r="Q5" s="3862"/>
      <c r="R5" s="3844"/>
      <c r="S5" s="3845"/>
      <c r="T5" s="3844"/>
      <c r="U5" s="3845"/>
      <c r="V5" s="3867"/>
      <c r="W5" s="3867"/>
      <c r="X5" s="1321"/>
      <c r="Y5" s="3844"/>
      <c r="Z5" s="3845"/>
      <c r="AA5" s="3838"/>
      <c r="AB5" s="3838"/>
      <c r="AC5" s="3838"/>
    </row>
    <row r="6" spans="1:29" ht="15.75" thickBot="1">
      <c r="A6" s="752"/>
      <c r="B6" s="753"/>
      <c r="C6" s="3788" t="s">
        <v>1441</v>
      </c>
      <c r="D6" s="3789"/>
      <c r="E6" s="3790" t="s">
        <v>1441</v>
      </c>
      <c r="F6" s="3791"/>
      <c r="G6" s="3788" t="s">
        <v>1441</v>
      </c>
      <c r="H6" s="3789"/>
      <c r="I6" s="3788" t="s">
        <v>1441</v>
      </c>
      <c r="J6" s="3789"/>
      <c r="K6" s="956" t="s">
        <v>566</v>
      </c>
      <c r="L6" s="2355"/>
      <c r="M6" s="2356"/>
      <c r="N6" s="2356"/>
      <c r="O6" s="2356"/>
      <c r="P6" s="3863"/>
      <c r="Q6" s="3864"/>
      <c r="R6" s="3844"/>
      <c r="S6" s="3845"/>
      <c r="T6" s="3865"/>
      <c r="U6" s="3866"/>
      <c r="V6" s="3867"/>
      <c r="W6" s="3867"/>
      <c r="X6" s="1321"/>
      <c r="Y6" s="3865"/>
      <c r="Z6" s="3866"/>
      <c r="AA6" s="3839"/>
      <c r="AB6" s="3839"/>
      <c r="AC6" s="3839"/>
    </row>
    <row r="7" spans="1:29" s="412" customFormat="1" ht="15.75" thickBot="1">
      <c r="A7" s="754" t="s">
        <v>567</v>
      </c>
      <c r="B7" s="755"/>
      <c r="C7" s="756">
        <f>'数据-取费表'!B2</f>
        <v>42906</v>
      </c>
      <c r="D7" s="757">
        <v>100</v>
      </c>
      <c r="E7" s="1020">
        <v>42007</v>
      </c>
      <c r="F7" s="759">
        <f>SUMIF(65:65,YEAR(E7)&amp;"-"&amp;INT((MONTH(E7)+2)/3),66:66)</f>
        <v>95.5</v>
      </c>
      <c r="G7" s="1021">
        <v>41579</v>
      </c>
      <c r="H7" s="757">
        <f>SUMIF(65:65,YEAR(G7)&amp;"-"&amp;INT((MONTH(G7)+2)/3),66:66)</f>
        <v>0</v>
      </c>
      <c r="I7" s="1021">
        <v>42003</v>
      </c>
      <c r="J7" s="757">
        <f>SUMIF(65:65,YEAR(I7)&amp;"-"&amp;INT((MONTH(I7)+2)/3),66:66)</f>
        <v>95</v>
      </c>
      <c r="K7" s="957"/>
      <c r="L7" s="2357"/>
      <c r="M7" s="2358"/>
      <c r="N7" s="2358"/>
      <c r="O7" s="2358"/>
      <c r="P7" s="3840" t="s">
        <v>568</v>
      </c>
      <c r="Q7" s="3868"/>
      <c r="R7" s="1322" t="s">
        <v>70</v>
      </c>
      <c r="S7" s="1323">
        <f t="shared" ref="S7:S15" si="0">F7</f>
        <v>95.5</v>
      </c>
      <c r="T7" s="1322" t="s">
        <v>70</v>
      </c>
      <c r="U7" s="1323">
        <f t="shared" ref="U7:U15" si="1">H7</f>
        <v>0</v>
      </c>
      <c r="V7" s="1322" t="s">
        <v>70</v>
      </c>
      <c r="W7" s="1323">
        <f t="shared" ref="W7:W15" si="2">J7</f>
        <v>95</v>
      </c>
      <c r="X7" s="1324"/>
      <c r="Y7" s="3840" t="s">
        <v>568</v>
      </c>
      <c r="Z7" s="3841"/>
      <c r="AA7" s="1325">
        <f>D7/F7</f>
        <v>1.0471204188481675</v>
      </c>
      <c r="AB7" s="1325" t="e">
        <f>D7/H7</f>
        <v>#DIV/0!</v>
      </c>
      <c r="AC7" s="1325">
        <f>D7/J7</f>
        <v>1.0526315789473684</v>
      </c>
    </row>
    <row r="8" spans="1:29" s="412" customFormat="1" ht="15.75" thickBot="1">
      <c r="A8" s="754" t="s">
        <v>569</v>
      </c>
      <c r="B8" s="755"/>
      <c r="C8" s="1023" t="s">
        <v>260</v>
      </c>
      <c r="D8" s="757">
        <v>100</v>
      </c>
      <c r="E8" s="1023" t="s">
        <v>260</v>
      </c>
      <c r="F8" s="759">
        <f>SUMIF(68:68,E8,69:69)-SUMIF(68:68,C8,69:69)+100</f>
        <v>100</v>
      </c>
      <c r="G8" s="1023" t="s">
        <v>259</v>
      </c>
      <c r="H8" s="757">
        <f>SUMIF(68:68,G8,69:69)-SUMIF(68:68,C8,69:69)+100</f>
        <v>96</v>
      </c>
      <c r="I8" s="1023" t="s">
        <v>260</v>
      </c>
      <c r="J8" s="757">
        <f>SUMIF(68:68,I8,69:69)-SUMIF(68:68,C8,69:69)+100</f>
        <v>100</v>
      </c>
      <c r="K8" s="957"/>
      <c r="L8" s="2357"/>
      <c r="M8" s="2358"/>
      <c r="N8" s="2358"/>
      <c r="O8" s="2358"/>
      <c r="P8" s="3840" t="s">
        <v>611</v>
      </c>
      <c r="Q8" s="3841"/>
      <c r="R8" s="1322" t="s">
        <v>70</v>
      </c>
      <c r="S8" s="1323">
        <f t="shared" si="0"/>
        <v>100</v>
      </c>
      <c r="T8" s="1322" t="s">
        <v>70</v>
      </c>
      <c r="U8" s="1323">
        <f t="shared" si="1"/>
        <v>96</v>
      </c>
      <c r="V8" s="1322" t="s">
        <v>70</v>
      </c>
      <c r="W8" s="1323">
        <f t="shared" si="2"/>
        <v>100</v>
      </c>
      <c r="X8" s="1324"/>
      <c r="Y8" s="3840" t="s">
        <v>611</v>
      </c>
      <c r="Z8" s="3841"/>
      <c r="AA8" s="1325">
        <f t="shared" ref="AA8:AA40" si="3">D8/F8</f>
        <v>1</v>
      </c>
      <c r="AB8" s="1325">
        <f t="shared" ref="AB8:AB40" si="4">D8/H8</f>
        <v>1.0416666666666667</v>
      </c>
      <c r="AC8" s="1325">
        <f t="shared" ref="AC8:AC40" si="5">D8/J8</f>
        <v>1</v>
      </c>
    </row>
    <row r="9" spans="1:29" s="412" customFormat="1">
      <c r="A9" s="761" t="s">
        <v>570</v>
      </c>
      <c r="B9" s="367" t="s">
        <v>593</v>
      </c>
      <c r="C9" s="1025" t="s">
        <v>40</v>
      </c>
      <c r="D9" s="428">
        <v>100</v>
      </c>
      <c r="E9" s="1025" t="s">
        <v>301</v>
      </c>
      <c r="F9" s="428">
        <f>SUMIF(70:70,E9,71:71)-SUMIF(70:70,C9,71:71)+100</f>
        <v>105</v>
      </c>
      <c r="G9" s="1025" t="s">
        <v>40</v>
      </c>
      <c r="H9" s="428">
        <f>SUMIF(70:70,G9,71:71)-SUMIF(70:70,C9,71:71)+100</f>
        <v>100</v>
      </c>
      <c r="I9" s="1025" t="s">
        <v>40</v>
      </c>
      <c r="J9" s="428">
        <f>SUMIF(70:70,I9,71:71)-SUMIF(70:70,C9,71:71)+100</f>
        <v>100</v>
      </c>
      <c r="K9" s="957"/>
      <c r="L9" s="2357"/>
      <c r="M9" s="2358"/>
      <c r="N9" s="2358"/>
      <c r="O9" s="2359"/>
      <c r="P9" s="3854" t="s">
        <v>571</v>
      </c>
      <c r="Q9" s="302" t="str">
        <f t="shared" ref="Q9:Q15" si="6">B9</f>
        <v>用途</v>
      </c>
      <c r="R9" s="1322" t="s">
        <v>70</v>
      </c>
      <c r="S9" s="1323">
        <f t="shared" si="0"/>
        <v>105</v>
      </c>
      <c r="T9" s="1322" t="s">
        <v>70</v>
      </c>
      <c r="U9" s="1323">
        <f t="shared" si="1"/>
        <v>100</v>
      </c>
      <c r="V9" s="1322" t="s">
        <v>70</v>
      </c>
      <c r="W9" s="1323">
        <f t="shared" si="2"/>
        <v>100</v>
      </c>
      <c r="X9" s="1324"/>
      <c r="Y9" s="3725" t="s">
        <v>572</v>
      </c>
      <c r="Z9" s="350" t="str">
        <f t="shared" ref="Z9:Z15" si="7">Q9</f>
        <v>用途</v>
      </c>
      <c r="AA9" s="1325">
        <f t="shared" si="3"/>
        <v>0.95238095238095233</v>
      </c>
      <c r="AB9" s="1325">
        <f t="shared" si="4"/>
        <v>1</v>
      </c>
      <c r="AC9" s="1325">
        <f t="shared" si="5"/>
        <v>1</v>
      </c>
    </row>
    <row r="10" spans="1:29" s="773" customFormat="1" ht="27">
      <c r="A10" s="767"/>
      <c r="B10" s="768" t="s">
        <v>573</v>
      </c>
      <c r="C10" s="1027"/>
      <c r="D10" s="429">
        <v>100</v>
      </c>
      <c r="E10" s="1027"/>
      <c r="F10" s="429">
        <f>ROUND(100/'数据-取费表'!G16,0)</f>
        <v>100</v>
      </c>
      <c r="G10" s="1027"/>
      <c r="H10" s="429">
        <f>ROUND(100/'数据-取费表'!G16,0)</f>
        <v>100</v>
      </c>
      <c r="I10" s="1027"/>
      <c r="J10" s="429">
        <f>ROUND(100/'数据-取费表'!G16,0)</f>
        <v>100</v>
      </c>
      <c r="K10" s="1085"/>
      <c r="L10" s="2360"/>
      <c r="M10" s="2361"/>
      <c r="N10" s="2361"/>
      <c r="O10" s="2362"/>
      <c r="P10" s="3854"/>
      <c r="Q10" s="302" t="str">
        <f t="shared" si="6"/>
        <v>土地使用年限（年）</v>
      </c>
      <c r="R10" s="1322" t="s">
        <v>70</v>
      </c>
      <c r="S10" s="1323">
        <f t="shared" si="0"/>
        <v>100</v>
      </c>
      <c r="T10" s="1322" t="s">
        <v>70</v>
      </c>
      <c r="U10" s="1323">
        <f t="shared" si="1"/>
        <v>100</v>
      </c>
      <c r="V10" s="1322" t="s">
        <v>70</v>
      </c>
      <c r="W10" s="1323">
        <f t="shared" si="2"/>
        <v>100</v>
      </c>
      <c r="X10" s="1324"/>
      <c r="Y10" s="3725"/>
      <c r="Z10" s="350" t="str">
        <f t="shared" si="7"/>
        <v>土地使用年限（年）</v>
      </c>
      <c r="AA10" s="1325">
        <f t="shared" si="3"/>
        <v>1</v>
      </c>
      <c r="AB10" s="1325">
        <f t="shared" si="4"/>
        <v>1</v>
      </c>
      <c r="AC10" s="1325">
        <f t="shared" si="5"/>
        <v>1</v>
      </c>
    </row>
    <row r="11" spans="1:29" ht="15">
      <c r="A11" s="774"/>
      <c r="B11" s="768" t="s">
        <v>574</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6">
        <v>3</v>
      </c>
      <c r="L11" s="2363"/>
      <c r="M11" s="2356"/>
      <c r="N11" s="2356"/>
      <c r="O11" s="2364"/>
      <c r="P11" s="3854"/>
      <c r="Q11" s="302" t="str">
        <f t="shared" si="6"/>
        <v>容积率</v>
      </c>
      <c r="R11" s="1322" t="s">
        <v>70</v>
      </c>
      <c r="S11" s="1323">
        <f t="shared" si="0"/>
        <v>103</v>
      </c>
      <c r="T11" s="1322" t="s">
        <v>70</v>
      </c>
      <c r="U11" s="1323">
        <f t="shared" si="1"/>
        <v>103</v>
      </c>
      <c r="V11" s="1322" t="s">
        <v>70</v>
      </c>
      <c r="W11" s="1323">
        <f t="shared" si="2"/>
        <v>109</v>
      </c>
      <c r="X11" s="1324"/>
      <c r="Y11" s="3725"/>
      <c r="Z11" s="350" t="str">
        <f t="shared" si="7"/>
        <v>容积率</v>
      </c>
      <c r="AA11" s="1325">
        <f t="shared" si="3"/>
        <v>0.970873786407767</v>
      </c>
      <c r="AB11" s="1325">
        <f t="shared" si="4"/>
        <v>0.970873786407767</v>
      </c>
      <c r="AC11" s="1325">
        <f t="shared" si="5"/>
        <v>0.91743119266055051</v>
      </c>
    </row>
    <row r="12" spans="1:29" s="412" customFormat="1" ht="15">
      <c r="A12" s="777"/>
      <c r="B12" s="1034">
        <v>111</v>
      </c>
      <c r="C12" s="1027">
        <v>111</v>
      </c>
      <c r="D12" s="779">
        <v>100</v>
      </c>
      <c r="E12" s="126">
        <v>222</v>
      </c>
      <c r="F12" s="429">
        <f>SUMIF(77:77,E12,78:78)-SUMIF(77:77,C12,78:78)+100</f>
        <v>99</v>
      </c>
      <c r="G12" s="203">
        <v>333</v>
      </c>
      <c r="H12" s="429">
        <f>SUMIF(77:77,G12,78:78)-SUMIF(77:77,C12,78:78)+100</f>
        <v>98</v>
      </c>
      <c r="I12" s="126">
        <v>444</v>
      </c>
      <c r="J12" s="429">
        <f>SUMIF(77:77,I12,78:78)-SUMIF(77:77,C12,78:78)+100</f>
        <v>97</v>
      </c>
      <c r="K12" s="1085"/>
      <c r="L12" s="2357"/>
      <c r="M12" s="2358"/>
      <c r="N12" s="2358"/>
      <c r="O12" s="2359"/>
      <c r="P12" s="3854"/>
      <c r="Q12" s="302">
        <f t="shared" si="6"/>
        <v>111</v>
      </c>
      <c r="R12" s="1322" t="s">
        <v>70</v>
      </c>
      <c r="S12" s="1323">
        <f t="shared" si="0"/>
        <v>99</v>
      </c>
      <c r="T12" s="1322" t="s">
        <v>70</v>
      </c>
      <c r="U12" s="1323">
        <f t="shared" si="1"/>
        <v>98</v>
      </c>
      <c r="V12" s="1322" t="s">
        <v>70</v>
      </c>
      <c r="W12" s="1323">
        <f t="shared" si="2"/>
        <v>97</v>
      </c>
      <c r="X12" s="1324"/>
      <c r="Y12" s="3725"/>
      <c r="Z12" s="350">
        <f t="shared" si="7"/>
        <v>111</v>
      </c>
      <c r="AA12" s="1325">
        <f>D12/F12</f>
        <v>1.0101010101010102</v>
      </c>
      <c r="AB12" s="1325">
        <f>D12/H12</f>
        <v>1.0204081632653061</v>
      </c>
      <c r="AC12" s="1325">
        <f>D12/J12</f>
        <v>1.0309278350515463</v>
      </c>
    </row>
    <row r="13" spans="1:29" ht="15">
      <c r="A13" s="774"/>
      <c r="B13" s="1034">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5"/>
      <c r="L13" s="2365"/>
      <c r="M13" s="2356"/>
      <c r="N13" s="2356"/>
      <c r="O13" s="2364"/>
      <c r="P13" s="3854"/>
      <c r="Q13" s="302">
        <f t="shared" si="6"/>
        <v>111</v>
      </c>
      <c r="R13" s="1322" t="s">
        <v>70</v>
      </c>
      <c r="S13" s="1323">
        <f t="shared" si="0"/>
        <v>98</v>
      </c>
      <c r="T13" s="1322" t="s">
        <v>70</v>
      </c>
      <c r="U13" s="1323">
        <f t="shared" si="1"/>
        <v>96</v>
      </c>
      <c r="V13" s="1322" t="s">
        <v>70</v>
      </c>
      <c r="W13" s="1323">
        <f t="shared" si="2"/>
        <v>94</v>
      </c>
      <c r="X13" s="1324"/>
      <c r="Y13" s="3725"/>
      <c r="Z13" s="350">
        <f t="shared" si="7"/>
        <v>111</v>
      </c>
      <c r="AA13" s="1325">
        <f t="shared" si="3"/>
        <v>1.0204081632653061</v>
      </c>
      <c r="AB13" s="1325">
        <f t="shared" si="4"/>
        <v>1.0416666666666667</v>
      </c>
      <c r="AC13" s="1325">
        <f t="shared" si="5"/>
        <v>1.0638297872340425</v>
      </c>
    </row>
    <row r="14" spans="1:29" ht="15.75" thickBot="1">
      <c r="A14" s="782"/>
      <c r="B14" s="1035">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5"/>
      <c r="L14" s="2365"/>
      <c r="M14" s="2356"/>
      <c r="N14" s="2356"/>
      <c r="O14" s="2364"/>
      <c r="P14" s="3854"/>
      <c r="Q14" s="302">
        <f t="shared" si="6"/>
        <v>111</v>
      </c>
      <c r="R14" s="1322" t="s">
        <v>70</v>
      </c>
      <c r="S14" s="1323">
        <f t="shared" si="0"/>
        <v>97</v>
      </c>
      <c r="T14" s="1322" t="s">
        <v>70</v>
      </c>
      <c r="U14" s="1323">
        <f t="shared" si="1"/>
        <v>94</v>
      </c>
      <c r="V14" s="1322" t="s">
        <v>70</v>
      </c>
      <c r="W14" s="1323">
        <f t="shared" si="2"/>
        <v>91</v>
      </c>
      <c r="X14" s="1324"/>
      <c r="Y14" s="3725"/>
      <c r="Z14" s="350">
        <f t="shared" si="7"/>
        <v>111</v>
      </c>
      <c r="AA14" s="1325">
        <f t="shared" si="3"/>
        <v>1.0309278350515463</v>
      </c>
      <c r="AB14" s="1325">
        <f t="shared" si="4"/>
        <v>1.0638297872340425</v>
      </c>
      <c r="AC14" s="1325">
        <f t="shared" si="5"/>
        <v>1.098901098901099</v>
      </c>
    </row>
    <row r="15" spans="1:29" ht="81">
      <c r="A15" s="786" t="s">
        <v>575</v>
      </c>
      <c r="B15" s="975" t="s">
        <v>735</v>
      </c>
      <c r="C15" s="212" t="str">
        <f>估价对象房地状况!G15</f>
        <v>估价对象位于北京经济技术开发区，园区建设成熟，产业集聚程度较好</v>
      </c>
      <c r="D15" s="787">
        <v>100</v>
      </c>
      <c r="E15" s="95"/>
      <c r="F15" s="787">
        <f>SUMIF(83:83,E16,84:84)-SUMIF(83:83,C16,84:84)+100</f>
        <v>100</v>
      </c>
      <c r="G15" s="95"/>
      <c r="H15" s="787">
        <f>SUMIF(83:83,G16,84:84)-SUMIF(83:83,C16,84:84)+100</f>
        <v>100</v>
      </c>
      <c r="I15" s="96"/>
      <c r="J15" s="787">
        <f>SUMIF(83:83,I16,84:84)-SUMIF(83:83,C16,84:84)+100</f>
        <v>100</v>
      </c>
      <c r="K15" s="1086">
        <v>2</v>
      </c>
      <c r="L15" s="2365"/>
      <c r="M15" s="2356"/>
      <c r="N15" s="2356"/>
      <c r="O15" s="2364"/>
      <c r="P15" s="3869" t="s">
        <v>576</v>
      </c>
      <c r="Q15" s="1326" t="str">
        <f t="shared" si="6"/>
        <v>产业集聚程度</v>
      </c>
      <c r="R15" s="1327" t="s">
        <v>70</v>
      </c>
      <c r="S15" s="1328">
        <f t="shared" si="0"/>
        <v>100</v>
      </c>
      <c r="T15" s="1327" t="s">
        <v>70</v>
      </c>
      <c r="U15" s="1328">
        <f t="shared" si="1"/>
        <v>100</v>
      </c>
      <c r="V15" s="1327" t="s">
        <v>70</v>
      </c>
      <c r="W15" s="1328">
        <f t="shared" si="2"/>
        <v>100</v>
      </c>
      <c r="X15" s="1321"/>
      <c r="Y15" s="3869" t="s">
        <v>576</v>
      </c>
      <c r="Z15" s="1329" t="str">
        <f t="shared" si="7"/>
        <v>产业集聚程度</v>
      </c>
      <c r="AA15" s="1330">
        <f t="shared" si="3"/>
        <v>1</v>
      </c>
      <c r="AB15" s="1330">
        <f t="shared" si="4"/>
        <v>1</v>
      </c>
      <c r="AC15" s="1330">
        <f t="shared" si="5"/>
        <v>1</v>
      </c>
    </row>
    <row r="16" spans="1:29" ht="15">
      <c r="A16" s="774"/>
      <c r="B16" s="976"/>
      <c r="C16" s="97" t="s">
        <v>124</v>
      </c>
      <c r="D16" s="794"/>
      <c r="E16" s="192" t="s">
        <v>124</v>
      </c>
      <c r="F16" s="794"/>
      <c r="G16" s="192" t="s">
        <v>124</v>
      </c>
      <c r="H16" s="796"/>
      <c r="I16" s="192" t="s">
        <v>124</v>
      </c>
      <c r="J16" s="794"/>
      <c r="K16" s="1085"/>
      <c r="L16" s="2365"/>
      <c r="M16" s="2356"/>
      <c r="N16" s="2356"/>
      <c r="O16" s="2364"/>
      <c r="P16" s="3870"/>
      <c r="Q16" s="1326"/>
      <c r="R16" s="1327"/>
      <c r="S16" s="1328"/>
      <c r="T16" s="1327"/>
      <c r="U16" s="1328"/>
      <c r="V16" s="1327"/>
      <c r="W16" s="1328"/>
      <c r="X16" s="1321"/>
      <c r="Y16" s="3870"/>
      <c r="Z16" s="1329"/>
      <c r="AA16" s="1330">
        <v>1</v>
      </c>
      <c r="AB16" s="1330">
        <v>1</v>
      </c>
      <c r="AC16" s="1330">
        <v>1</v>
      </c>
    </row>
    <row r="17" spans="1:29" ht="94.5">
      <c r="A17" s="774"/>
      <c r="B17" s="977" t="s">
        <v>645</v>
      </c>
      <c r="C17" s="158" t="str">
        <f>估价对象房地状况!G16</f>
        <v>估价对象周边道路状况、公共交通通达情况、停车便捷程度，综合评价交通便捷度较好</v>
      </c>
      <c r="D17" s="796">
        <v>100</v>
      </c>
      <c r="E17" s="100"/>
      <c r="F17" s="801">
        <f>SUMIF(85:85,E18,86:86)-SUMIF(85:85,C18,86:86)+100</f>
        <v>96</v>
      </c>
      <c r="G17" s="100"/>
      <c r="H17" s="801">
        <f>SUMIF(85:85,G18,86:86)-SUMIF(85:85,C18,86:86)+100</f>
        <v>102</v>
      </c>
      <c r="I17" s="101"/>
      <c r="J17" s="796">
        <f>SUMIF(85:85,I18,86:86)-SUMIF(85:85,C18,86:86)+100</f>
        <v>98</v>
      </c>
      <c r="K17" s="1086">
        <v>2</v>
      </c>
      <c r="L17" s="2365"/>
      <c r="M17" s="2356"/>
      <c r="N17" s="2356"/>
      <c r="O17" s="2364"/>
      <c r="P17" s="3870"/>
      <c r="Q17" s="1326" t="str">
        <f>B17</f>
        <v>交通便捷度</v>
      </c>
      <c r="R17" s="1327" t="s">
        <v>70</v>
      </c>
      <c r="S17" s="1328">
        <f>F17</f>
        <v>96</v>
      </c>
      <c r="T17" s="1327" t="s">
        <v>70</v>
      </c>
      <c r="U17" s="1328">
        <f>H17</f>
        <v>102</v>
      </c>
      <c r="V17" s="1327" t="s">
        <v>70</v>
      </c>
      <c r="W17" s="1328">
        <f>J17</f>
        <v>98</v>
      </c>
      <c r="X17" s="1321"/>
      <c r="Y17" s="3870"/>
      <c r="Z17" s="1329" t="str">
        <f>Q17</f>
        <v>交通便捷度</v>
      </c>
      <c r="AA17" s="1330">
        <f t="shared" si="3"/>
        <v>1.0416666666666667</v>
      </c>
      <c r="AB17" s="1330">
        <f t="shared" si="4"/>
        <v>0.98039215686274506</v>
      </c>
      <c r="AC17" s="1330">
        <f t="shared" si="5"/>
        <v>1.0204081632653061</v>
      </c>
    </row>
    <row r="18" spans="1:29" ht="15">
      <c r="A18" s="774"/>
      <c r="B18" s="978"/>
      <c r="C18" s="97" t="s">
        <v>124</v>
      </c>
      <c r="D18" s="794"/>
      <c r="E18" s="98" t="s">
        <v>184</v>
      </c>
      <c r="F18" s="794"/>
      <c r="G18" s="98" t="s">
        <v>123</v>
      </c>
      <c r="H18" s="794"/>
      <c r="I18" s="99" t="s">
        <v>153</v>
      </c>
      <c r="J18" s="794"/>
      <c r="K18" s="1085"/>
      <c r="L18" s="2365"/>
      <c r="M18" s="2356"/>
      <c r="N18" s="2356"/>
      <c r="O18" s="2364"/>
      <c r="P18" s="3870"/>
      <c r="Q18" s="1326"/>
      <c r="R18" s="1327"/>
      <c r="S18" s="1328"/>
      <c r="T18" s="1327"/>
      <c r="U18" s="1328"/>
      <c r="V18" s="1327"/>
      <c r="W18" s="1328"/>
      <c r="X18" s="1321"/>
      <c r="Y18" s="3870"/>
      <c r="Z18" s="1329"/>
      <c r="AA18" s="1330">
        <v>1</v>
      </c>
      <c r="AB18" s="1330">
        <v>1</v>
      </c>
      <c r="AC18" s="1330">
        <v>1</v>
      </c>
    </row>
    <row r="19" spans="1:29" ht="40.5">
      <c r="A19" s="774"/>
      <c r="B19" s="977" t="s">
        <v>2202</v>
      </c>
      <c r="C19" s="158" t="str">
        <f>估价对象房地状况!G17</f>
        <v>零星有其他用地，基本不影响本宗地</v>
      </c>
      <c r="D19" s="796">
        <v>100</v>
      </c>
      <c r="E19" s="100"/>
      <c r="F19" s="801">
        <f>SUMIF(87:87,E20,88:88)-SUMIF(87:87,C20,88:88)+100</f>
        <v>102</v>
      </c>
      <c r="G19" s="100"/>
      <c r="H19" s="801">
        <f>SUMIF(87:87,G20,88:88)-SUMIF(87:87,C20,88:88)+100</f>
        <v>98</v>
      </c>
      <c r="I19" s="100"/>
      <c r="J19" s="801">
        <f>SUMIF(87:87,I20,88:88)-SUMIF(87:87,C20,88:88)+100</f>
        <v>96</v>
      </c>
      <c r="K19" s="1086">
        <v>2</v>
      </c>
      <c r="L19" s="2365"/>
      <c r="M19" s="2356"/>
      <c r="N19" s="2356"/>
      <c r="O19" s="2364"/>
      <c r="P19" s="3870"/>
      <c r="Q19" s="1326" t="str">
        <f t="shared" ref="Q19:Q33" si="8">B19</f>
        <v>区域土地利用方向</v>
      </c>
      <c r="R19" s="1327" t="s">
        <v>70</v>
      </c>
      <c r="S19" s="1328">
        <f>F19</f>
        <v>102</v>
      </c>
      <c r="T19" s="1327" t="s">
        <v>70</v>
      </c>
      <c r="U19" s="1328">
        <f>H19</f>
        <v>98</v>
      </c>
      <c r="V19" s="1327" t="s">
        <v>70</v>
      </c>
      <c r="W19" s="1328">
        <f>J19</f>
        <v>96</v>
      </c>
      <c r="X19" s="1321"/>
      <c r="Y19" s="3870"/>
      <c r="Z19" s="1329" t="str">
        <f>Q19</f>
        <v>区域土地利用方向</v>
      </c>
      <c r="AA19" s="1330">
        <f t="shared" si="3"/>
        <v>0.98039215686274506</v>
      </c>
      <c r="AB19" s="1330">
        <f t="shared" si="4"/>
        <v>1.0204081632653061</v>
      </c>
      <c r="AC19" s="1330">
        <f t="shared" si="5"/>
        <v>1.0416666666666667</v>
      </c>
    </row>
    <row r="20" spans="1:29" ht="15">
      <c r="A20" s="750"/>
      <c r="B20" s="978"/>
      <c r="C20" s="97" t="s">
        <v>123</v>
      </c>
      <c r="D20" s="794"/>
      <c r="E20" s="98" t="s">
        <v>122</v>
      </c>
      <c r="F20" s="794"/>
      <c r="G20" s="98" t="s">
        <v>124</v>
      </c>
      <c r="H20" s="794"/>
      <c r="I20" s="98" t="s">
        <v>153</v>
      </c>
      <c r="J20" s="794"/>
      <c r="K20" s="1489"/>
      <c r="L20" s="2365"/>
      <c r="M20" s="2356"/>
      <c r="N20" s="2356"/>
      <c r="O20" s="2364"/>
      <c r="P20" s="3870"/>
      <c r="Q20" s="1473"/>
      <c r="R20" s="1327"/>
      <c r="S20" s="1328"/>
      <c r="T20" s="1327"/>
      <c r="U20" s="1328"/>
      <c r="V20" s="1327"/>
      <c r="W20" s="1328"/>
      <c r="X20" s="1472"/>
      <c r="Y20" s="3870"/>
      <c r="Z20" s="1474"/>
      <c r="AA20" s="1330"/>
      <c r="AB20" s="1330"/>
      <c r="AC20" s="1330"/>
    </row>
    <row r="21" spans="1:29" ht="81">
      <c r="A21" s="750"/>
      <c r="B21" s="977" t="s">
        <v>736</v>
      </c>
      <c r="C21" s="158" t="str">
        <f>估价对象房地状况!G18</f>
        <v>该园区内无污染型企业，绿化较好，卫生条件良好，整体环境状况较好</v>
      </c>
      <c r="D21" s="796">
        <v>100</v>
      </c>
      <c r="E21" s="100"/>
      <c r="F21" s="796">
        <f>SUMIF(89:89,E22,90:90)-SUMIF(89:89,C22,90:90)+100</f>
        <v>96</v>
      </c>
      <c r="G21" s="100"/>
      <c r="H21" s="796">
        <f>SUMIF(89:89,G22,90:90)-SUMIF(89:89,C22,90:90)+100</f>
        <v>102</v>
      </c>
      <c r="I21" s="101"/>
      <c r="J21" s="796">
        <f>SUMIF(89:89,I22,90:90)-SUMIF(89:89,C22,90:90)+100</f>
        <v>98</v>
      </c>
      <c r="K21" s="1086">
        <v>2</v>
      </c>
      <c r="L21" s="2365"/>
      <c r="M21" s="2356"/>
      <c r="N21" s="2356"/>
      <c r="O21" s="2364"/>
      <c r="P21" s="3870"/>
      <c r="Q21" s="1326" t="str">
        <f t="shared" si="8"/>
        <v>环境状况</v>
      </c>
      <c r="R21" s="1327" t="s">
        <v>70</v>
      </c>
      <c r="S21" s="1328">
        <f>F21</f>
        <v>96</v>
      </c>
      <c r="T21" s="1327" t="s">
        <v>70</v>
      </c>
      <c r="U21" s="1328">
        <f>H21</f>
        <v>102</v>
      </c>
      <c r="V21" s="1327" t="s">
        <v>70</v>
      </c>
      <c r="W21" s="1328">
        <f>J21</f>
        <v>98</v>
      </c>
      <c r="X21" s="1321"/>
      <c r="Y21" s="3870"/>
      <c r="Z21" s="1329" t="str">
        <f>Q21</f>
        <v>环境状况</v>
      </c>
      <c r="AA21" s="1330">
        <f t="shared" si="3"/>
        <v>1.0416666666666667</v>
      </c>
      <c r="AB21" s="1330">
        <f t="shared" si="4"/>
        <v>0.98039215686274506</v>
      </c>
      <c r="AC21" s="1330">
        <f t="shared" si="5"/>
        <v>1.0204081632653061</v>
      </c>
    </row>
    <row r="22" spans="1:29" ht="15">
      <c r="A22" s="750"/>
      <c r="B22" s="978"/>
      <c r="C22" s="97" t="s">
        <v>124</v>
      </c>
      <c r="D22" s="794"/>
      <c r="E22" s="192" t="s">
        <v>184</v>
      </c>
      <c r="F22" s="794"/>
      <c r="G22" s="192" t="s">
        <v>123</v>
      </c>
      <c r="H22" s="794"/>
      <c r="I22" s="97" t="s">
        <v>153</v>
      </c>
      <c r="J22" s="794"/>
      <c r="K22" s="1085"/>
      <c r="L22" s="2365"/>
      <c r="M22" s="2356"/>
      <c r="N22" s="2356"/>
      <c r="O22" s="2364"/>
      <c r="P22" s="3870"/>
      <c r="Q22" s="1326"/>
      <c r="R22" s="1327"/>
      <c r="S22" s="1328"/>
      <c r="T22" s="1327"/>
      <c r="U22" s="1328"/>
      <c r="V22" s="1327"/>
      <c r="W22" s="1328"/>
      <c r="X22" s="1321"/>
      <c r="Y22" s="3870"/>
      <c r="Z22" s="1329"/>
      <c r="AA22" s="1330">
        <v>1</v>
      </c>
      <c r="AB22" s="1330">
        <v>1</v>
      </c>
      <c r="AC22" s="1330">
        <v>1</v>
      </c>
    </row>
    <row r="23" spans="1:29" s="412" customFormat="1" ht="40.5">
      <c r="A23" s="995"/>
      <c r="B23" s="1039" t="s">
        <v>3070</v>
      </c>
      <c r="C23" s="158" t="str">
        <f>估价对象房地状况!G19</f>
        <v>估价对象所在区域公共配套设施齐备情况</v>
      </c>
      <c r="D23" s="796">
        <v>100</v>
      </c>
      <c r="E23" s="100"/>
      <c r="F23" s="796">
        <f>SUMIF(91:91,E24,92:92)-SUMIF(91:91,C24,92:92)+100</f>
        <v>96</v>
      </c>
      <c r="G23" s="100"/>
      <c r="H23" s="796">
        <f>SUMIF(91:91,G24,92:92)-SUMIF(91:91,C24,92:92)+100</f>
        <v>98</v>
      </c>
      <c r="I23" s="101"/>
      <c r="J23" s="796">
        <f>SUMIF(91:91,I24,92:92)-SUMIF(91:91,C24,92:92)+100</f>
        <v>102</v>
      </c>
      <c r="K23" s="1086">
        <v>2</v>
      </c>
      <c r="L23" s="2357"/>
      <c r="M23" s="2358"/>
      <c r="N23" s="2358"/>
      <c r="O23" s="2359"/>
      <c r="P23" s="3870"/>
      <c r="Q23" s="302" t="str">
        <f t="shared" si="8"/>
        <v>公共配套设施</v>
      </c>
      <c r="R23" s="1322" t="s">
        <v>70</v>
      </c>
      <c r="S23" s="1323">
        <f>F23</f>
        <v>96</v>
      </c>
      <c r="T23" s="1322" t="s">
        <v>70</v>
      </c>
      <c r="U23" s="1323">
        <f>H23</f>
        <v>98</v>
      </c>
      <c r="V23" s="1322" t="s">
        <v>70</v>
      </c>
      <c r="W23" s="1323">
        <f>J23</f>
        <v>102</v>
      </c>
      <c r="X23" s="1324"/>
      <c r="Y23" s="3870"/>
      <c r="Z23" s="350" t="str">
        <f>Q23</f>
        <v>公共配套设施</v>
      </c>
      <c r="AA23" s="1330">
        <f>D23/F23</f>
        <v>1.0416666666666667</v>
      </c>
      <c r="AB23" s="1330">
        <f>D23/H23</f>
        <v>1.0204081632653061</v>
      </c>
      <c r="AC23" s="1330">
        <f>D23/J23</f>
        <v>0.98039215686274506</v>
      </c>
    </row>
    <row r="24" spans="1:29" s="412" customFormat="1" ht="15">
      <c r="A24" s="995"/>
      <c r="B24" s="978"/>
      <c r="C24" s="2791" t="s">
        <v>123</v>
      </c>
      <c r="D24" s="794"/>
      <c r="E24" s="192" t="s">
        <v>153</v>
      </c>
      <c r="F24" s="794"/>
      <c r="G24" s="192" t="s">
        <v>124</v>
      </c>
      <c r="H24" s="794"/>
      <c r="I24" s="97" t="s">
        <v>122</v>
      </c>
      <c r="J24" s="794"/>
      <c r="K24" s="1085"/>
      <c r="L24" s="2357"/>
      <c r="M24" s="2358"/>
      <c r="N24" s="2358"/>
      <c r="O24" s="2359"/>
      <c r="P24" s="3870"/>
      <c r="Q24" s="302"/>
      <c r="R24" s="1322"/>
      <c r="S24" s="1323"/>
      <c r="T24" s="1322"/>
      <c r="U24" s="1323"/>
      <c r="V24" s="1322"/>
      <c r="W24" s="1323"/>
      <c r="X24" s="1324"/>
      <c r="Y24" s="3870"/>
      <c r="Z24" s="350"/>
      <c r="AA24" s="1325">
        <v>1</v>
      </c>
      <c r="AB24" s="1325">
        <v>1</v>
      </c>
      <c r="AC24" s="1325">
        <v>1</v>
      </c>
    </row>
    <row r="25" spans="1:29" s="412" customFormat="1" ht="40.5">
      <c r="A25" s="995"/>
      <c r="B25" s="1039" t="s">
        <v>3071</v>
      </c>
      <c r="C25" s="158" t="str">
        <f>估价对象房地状况!G20</f>
        <v>估价对象所在区域基础设施水平</v>
      </c>
      <c r="D25" s="796">
        <v>100</v>
      </c>
      <c r="E25" s="100"/>
      <c r="F25" s="796">
        <f>SUMIF(93:93,E26,94:94)-SUMIF(93:93,C26,94:94)+100</f>
        <v>99</v>
      </c>
      <c r="G25" s="100"/>
      <c r="H25" s="796">
        <f>SUMIF(93:93,G26,94:94)-SUMIF(93:93,C26,94:94)+100</f>
        <v>98</v>
      </c>
      <c r="I25" s="101"/>
      <c r="J25" s="796">
        <f>SUMIF(93:93,I26,94:94)-SUMIF(93:93,C26,94:94)+100</f>
        <v>97</v>
      </c>
      <c r="K25" s="1086">
        <v>1</v>
      </c>
      <c r="L25" s="2357"/>
      <c r="M25" s="2358"/>
      <c r="N25" s="2358"/>
      <c r="O25" s="2359"/>
      <c r="P25" s="3870"/>
      <c r="Q25" s="2760" t="str">
        <f t="shared" ref="Q25" si="9">B25</f>
        <v>基础设施水平</v>
      </c>
      <c r="R25" s="1322" t="s">
        <v>70</v>
      </c>
      <c r="S25" s="1323">
        <f>F25</f>
        <v>99</v>
      </c>
      <c r="T25" s="1322" t="s">
        <v>70</v>
      </c>
      <c r="U25" s="1323">
        <f>H25</f>
        <v>98</v>
      </c>
      <c r="V25" s="1322" t="s">
        <v>70</v>
      </c>
      <c r="W25" s="1323">
        <f>J25</f>
        <v>97</v>
      </c>
      <c r="X25" s="1324"/>
      <c r="Y25" s="3870"/>
      <c r="Z25" s="350" t="str">
        <f>Q25</f>
        <v>基础设施水平</v>
      </c>
      <c r="AA25" s="1330">
        <f>D25/F25</f>
        <v>1.0101010101010102</v>
      </c>
      <c r="AB25" s="1330">
        <f>D25/H25</f>
        <v>1.0204081632653061</v>
      </c>
      <c r="AC25" s="1330">
        <f>D25/J25</f>
        <v>1.0309278350515463</v>
      </c>
    </row>
    <row r="26" spans="1:29" s="412" customFormat="1" ht="15">
      <c r="A26" s="995"/>
      <c r="B26" s="978"/>
      <c r="C26" s="2791" t="s">
        <v>56</v>
      </c>
      <c r="D26" s="794"/>
      <c r="E26" s="1040" t="s">
        <v>161</v>
      </c>
      <c r="F26" s="794"/>
      <c r="G26" s="1040" t="s">
        <v>162</v>
      </c>
      <c r="H26" s="794"/>
      <c r="I26" s="1040" t="s">
        <v>258</v>
      </c>
      <c r="J26" s="794"/>
      <c r="K26" s="1085"/>
      <c r="L26" s="2357"/>
      <c r="M26" s="2358"/>
      <c r="N26" s="2358"/>
      <c r="O26" s="2359"/>
      <c r="P26" s="3870"/>
      <c r="Q26" s="2760"/>
      <c r="R26" s="1322"/>
      <c r="S26" s="1323"/>
      <c r="T26" s="1322"/>
      <c r="U26" s="1323"/>
      <c r="V26" s="1322"/>
      <c r="W26" s="1323"/>
      <c r="X26" s="1324"/>
      <c r="Y26" s="3870"/>
      <c r="Z26" s="350"/>
      <c r="AA26" s="1325">
        <v>1</v>
      </c>
      <c r="AB26" s="1325">
        <v>1</v>
      </c>
      <c r="AC26" s="1325">
        <v>1</v>
      </c>
    </row>
    <row r="27" spans="1:29" ht="15">
      <c r="A27" s="774"/>
      <c r="B27" s="978" t="s">
        <v>618</v>
      </c>
      <c r="C27" s="182" t="s">
        <v>179</v>
      </c>
      <c r="D27" s="781">
        <v>100</v>
      </c>
      <c r="E27" s="195" t="s">
        <v>179</v>
      </c>
      <c r="F27" s="781">
        <f>SUMIF(95:95,E27,96:96)-SUMIF(95:95,C27,96:96)+100</f>
        <v>100</v>
      </c>
      <c r="G27" s="195" t="s">
        <v>179</v>
      </c>
      <c r="H27" s="781">
        <f>SUMIF(95:95,G27,96:96)-SUMIF(95:95,C27,96:96)+100</f>
        <v>100</v>
      </c>
      <c r="I27" s="195" t="s">
        <v>179</v>
      </c>
      <c r="J27" s="781">
        <f>SUMIF(95:95,I27,96:96)-SUMIF(95:95,C27,96:96)+100</f>
        <v>100</v>
      </c>
      <c r="K27" s="1086">
        <v>1.5</v>
      </c>
      <c r="L27" s="2365"/>
      <c r="M27" s="2356"/>
      <c r="N27" s="2356"/>
      <c r="O27" s="2364"/>
      <c r="P27" s="3870"/>
      <c r="Q27" s="1326" t="str">
        <f t="shared" si="8"/>
        <v>临街状况</v>
      </c>
      <c r="R27" s="1327" t="s">
        <v>70</v>
      </c>
      <c r="S27" s="1328">
        <f t="shared" ref="S27:S40" si="10">F27</f>
        <v>100</v>
      </c>
      <c r="T27" s="1327" t="s">
        <v>70</v>
      </c>
      <c r="U27" s="1328">
        <f t="shared" ref="U27:U40" si="11">H27</f>
        <v>100</v>
      </c>
      <c r="V27" s="1327" t="s">
        <v>70</v>
      </c>
      <c r="W27" s="1328">
        <f t="shared" ref="W27:W40" si="12">J27</f>
        <v>100</v>
      </c>
      <c r="X27" s="1321"/>
      <c r="Y27" s="3870"/>
      <c r="Z27" s="1329" t="str">
        <f t="shared" ref="Z27:Z40" si="13">Q27</f>
        <v>临街状况</v>
      </c>
      <c r="AA27" s="1330">
        <f t="shared" si="3"/>
        <v>1</v>
      </c>
      <c r="AB27" s="1330">
        <f t="shared" si="4"/>
        <v>1</v>
      </c>
      <c r="AC27" s="1330">
        <f t="shared" si="5"/>
        <v>1</v>
      </c>
    </row>
    <row r="28" spans="1:29" ht="27">
      <c r="A28" s="774"/>
      <c r="B28" s="979" t="s">
        <v>626</v>
      </c>
      <c r="C28" s="2792" t="str">
        <f>估价对象房地状况!G22</f>
        <v>城市支路——裕民中路</v>
      </c>
      <c r="D28" s="796">
        <v>100</v>
      </c>
      <c r="E28" s="100"/>
      <c r="F28" s="796">
        <f>SUMIF(97:97,E29,98:98)-SUMIF(97:97,C29,98:98)+100</f>
        <v>100</v>
      </c>
      <c r="G28" s="100"/>
      <c r="H28" s="796">
        <f>SUMIF(97:97,G29,98:98)-SUMIF(97:97,C29,98:98)+100</f>
        <v>100</v>
      </c>
      <c r="I28" s="101"/>
      <c r="J28" s="796">
        <f>SUMIF(97:97,I29,98:98)-SUMIF(97:97,C29,98:98)+100</f>
        <v>100</v>
      </c>
      <c r="K28" s="1086">
        <v>2</v>
      </c>
      <c r="L28" s="2365"/>
      <c r="M28" s="2356"/>
      <c r="N28" s="2356"/>
      <c r="O28" s="2364"/>
      <c r="P28" s="3870"/>
      <c r="Q28" s="1326" t="str">
        <f t="shared" si="8"/>
        <v>毗邻道路的类型与等级</v>
      </c>
      <c r="R28" s="1327" t="s">
        <v>70</v>
      </c>
      <c r="S28" s="1328">
        <f t="shared" si="10"/>
        <v>100</v>
      </c>
      <c r="T28" s="1327" t="s">
        <v>70</v>
      </c>
      <c r="U28" s="1328">
        <f t="shared" si="11"/>
        <v>100</v>
      </c>
      <c r="V28" s="1327" t="s">
        <v>70</v>
      </c>
      <c r="W28" s="1328">
        <f t="shared" si="12"/>
        <v>100</v>
      </c>
      <c r="X28" s="1321"/>
      <c r="Y28" s="3870"/>
      <c r="Z28" s="1329" t="str">
        <f t="shared" si="13"/>
        <v>毗邻道路的类型与等级</v>
      </c>
      <c r="AA28" s="1330">
        <f t="shared" si="3"/>
        <v>1</v>
      </c>
      <c r="AB28" s="1330">
        <f t="shared" si="4"/>
        <v>1</v>
      </c>
      <c r="AC28" s="1330">
        <f t="shared" si="5"/>
        <v>1</v>
      </c>
    </row>
    <row r="29" spans="1:29" ht="15">
      <c r="A29" s="774"/>
      <c r="B29" s="978"/>
      <c r="C29" s="97" t="s">
        <v>224</v>
      </c>
      <c r="D29" s="794"/>
      <c r="E29" s="192" t="s">
        <v>224</v>
      </c>
      <c r="F29" s="794"/>
      <c r="G29" s="192" t="s">
        <v>224</v>
      </c>
      <c r="H29" s="794"/>
      <c r="I29" s="192" t="s">
        <v>224</v>
      </c>
      <c r="J29" s="794"/>
      <c r="K29" s="959"/>
      <c r="L29" s="2365"/>
      <c r="M29" s="2356"/>
      <c r="N29" s="2356"/>
      <c r="O29" s="2364"/>
      <c r="P29" s="3870"/>
      <c r="Q29" s="1326"/>
      <c r="R29" s="1327"/>
      <c r="S29" s="1328"/>
      <c r="T29" s="1327"/>
      <c r="U29" s="1328"/>
      <c r="V29" s="1327"/>
      <c r="W29" s="1328"/>
      <c r="X29" s="1321"/>
      <c r="Y29" s="3870"/>
      <c r="Z29" s="1329"/>
      <c r="AA29" s="1330">
        <v>1</v>
      </c>
      <c r="AB29" s="1330">
        <v>1</v>
      </c>
      <c r="AC29" s="1330">
        <v>1</v>
      </c>
    </row>
    <row r="30" spans="1:29" ht="15">
      <c r="A30" s="774"/>
      <c r="B30" s="1000" t="s">
        <v>699</v>
      </c>
      <c r="C30" s="2793" t="str">
        <f>估价对象房地状况!G23</f>
        <v>3级</v>
      </c>
      <c r="D30" s="781">
        <v>100</v>
      </c>
      <c r="E30" s="980" t="s">
        <v>737</v>
      </c>
      <c r="F30" s="781">
        <f>SUMIF(99:99,E30,100:100)-SUMIF(99:99,C30,100:100)+100</f>
        <v>100</v>
      </c>
      <c r="G30" s="980" t="s">
        <v>738</v>
      </c>
      <c r="H30" s="781">
        <f>SUMIF(99:99,G30,100:100)-SUMIF(99:99,C30,100:100)+100</f>
        <v>105</v>
      </c>
      <c r="I30" s="980" t="s">
        <v>738</v>
      </c>
      <c r="J30" s="781">
        <f>SUMIF(99:99,I30,100:100)-SUMIF(99:99,C30,100:100)+100</f>
        <v>105</v>
      </c>
      <c r="K30" s="958">
        <v>2.5</v>
      </c>
      <c r="L30" s="2365"/>
      <c r="M30" s="2356"/>
      <c r="N30" s="2356"/>
      <c r="O30" s="2364"/>
      <c r="P30" s="3870"/>
      <c r="Q30" s="1326" t="str">
        <f t="shared" si="8"/>
        <v>土地级别</v>
      </c>
      <c r="R30" s="1327" t="s">
        <v>70</v>
      </c>
      <c r="S30" s="1328">
        <f t="shared" si="10"/>
        <v>100</v>
      </c>
      <c r="T30" s="1327" t="s">
        <v>70</v>
      </c>
      <c r="U30" s="1328">
        <f t="shared" si="11"/>
        <v>105</v>
      </c>
      <c r="V30" s="1327" t="s">
        <v>70</v>
      </c>
      <c r="W30" s="1328">
        <f t="shared" si="12"/>
        <v>105</v>
      </c>
      <c r="X30" s="1321"/>
      <c r="Y30" s="3870"/>
      <c r="Z30" s="1329" t="str">
        <f t="shared" si="13"/>
        <v>土地级别</v>
      </c>
      <c r="AA30" s="1330">
        <f t="shared" si="3"/>
        <v>1</v>
      </c>
      <c r="AB30" s="1330">
        <f t="shared" si="4"/>
        <v>0.95238095238095233</v>
      </c>
      <c r="AC30" s="1330">
        <f t="shared" si="5"/>
        <v>0.95238095238095233</v>
      </c>
    </row>
    <row r="31" spans="1:29" ht="15">
      <c r="A31" s="750"/>
      <c r="B31" s="1041">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9"/>
      <c r="L31" s="2365"/>
      <c r="M31" s="2356"/>
      <c r="N31" s="2356"/>
      <c r="O31" s="2364"/>
      <c r="P31" s="3870"/>
      <c r="Q31" s="1326">
        <f t="shared" si="8"/>
        <v>111</v>
      </c>
      <c r="R31" s="1327" t="s">
        <v>70</v>
      </c>
      <c r="S31" s="1328">
        <f t="shared" si="10"/>
        <v>99</v>
      </c>
      <c r="T31" s="1327" t="s">
        <v>70</v>
      </c>
      <c r="U31" s="1328">
        <f t="shared" si="11"/>
        <v>98</v>
      </c>
      <c r="V31" s="1327" t="s">
        <v>70</v>
      </c>
      <c r="W31" s="1328">
        <f t="shared" si="12"/>
        <v>97</v>
      </c>
      <c r="X31" s="1321"/>
      <c r="Y31" s="3870"/>
      <c r="Z31" s="1329">
        <f t="shared" si="13"/>
        <v>111</v>
      </c>
      <c r="AA31" s="1330">
        <f t="shared" si="3"/>
        <v>1.0101010101010102</v>
      </c>
      <c r="AB31" s="1330">
        <f t="shared" si="4"/>
        <v>1.0204081632653061</v>
      </c>
      <c r="AC31" s="1330">
        <f t="shared" si="5"/>
        <v>1.0309278350515463</v>
      </c>
    </row>
    <row r="32" spans="1:29" ht="15">
      <c r="A32" s="1088"/>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9"/>
      <c r="L32" s="2365"/>
      <c r="M32" s="2356"/>
      <c r="N32" s="2356"/>
      <c r="O32" s="2364"/>
      <c r="P32" s="3871" t="s">
        <v>581</v>
      </c>
      <c r="Q32" s="1326">
        <f t="shared" si="8"/>
        <v>111</v>
      </c>
      <c r="R32" s="1327" t="s">
        <v>70</v>
      </c>
      <c r="S32" s="1328">
        <f t="shared" si="10"/>
        <v>98</v>
      </c>
      <c r="T32" s="1327" t="s">
        <v>70</v>
      </c>
      <c r="U32" s="1328">
        <f t="shared" si="11"/>
        <v>96</v>
      </c>
      <c r="V32" s="1327" t="s">
        <v>70</v>
      </c>
      <c r="W32" s="1328">
        <f t="shared" si="12"/>
        <v>94</v>
      </c>
      <c r="X32" s="1321"/>
      <c r="Y32" s="3872" t="s">
        <v>581</v>
      </c>
      <c r="Z32" s="1329">
        <f t="shared" si="13"/>
        <v>111</v>
      </c>
      <c r="AA32" s="1330">
        <f t="shared" si="3"/>
        <v>1.0204081632653061</v>
      </c>
      <c r="AB32" s="1330">
        <f t="shared" si="4"/>
        <v>1.0416666666666667</v>
      </c>
      <c r="AC32" s="1330">
        <f t="shared" si="5"/>
        <v>1.0638297872340425</v>
      </c>
    </row>
    <row r="33" spans="1:29" s="817" customFormat="1" ht="15.75" thickBot="1">
      <c r="A33" s="1089"/>
      <c r="B33" s="1042">
        <v>111</v>
      </c>
      <c r="C33" s="205">
        <v>111</v>
      </c>
      <c r="D33" s="430">
        <v>100</v>
      </c>
      <c r="E33" s="291">
        <v>222</v>
      </c>
      <c r="F33" s="784">
        <f>SUMIF(105:105,E33,106:106)-SUMIF(105:105,C33,106:106)+100</f>
        <v>97</v>
      </c>
      <c r="G33" s="291">
        <v>333</v>
      </c>
      <c r="H33" s="784">
        <f>SUMIF(105:105,G33,106:106)-SUMIF(105:105,C33,106:106)+100</f>
        <v>94</v>
      </c>
      <c r="I33" s="205">
        <v>444</v>
      </c>
      <c r="J33" s="784">
        <f>SUMIF(105:105,I33,106:106)-SUMIF(105:105,C33,106:106)+100</f>
        <v>91</v>
      </c>
      <c r="K33" s="959"/>
      <c r="L33" s="2363"/>
      <c r="M33" s="2366"/>
      <c r="N33" s="2366"/>
      <c r="O33" s="2367"/>
      <c r="P33" s="3872"/>
      <c r="Q33" s="1326">
        <f t="shared" si="8"/>
        <v>111</v>
      </c>
      <c r="R33" s="1332" t="s">
        <v>70</v>
      </c>
      <c r="S33" s="1333">
        <f t="shared" si="10"/>
        <v>97</v>
      </c>
      <c r="T33" s="1332" t="s">
        <v>70</v>
      </c>
      <c r="U33" s="1333">
        <f t="shared" si="11"/>
        <v>94</v>
      </c>
      <c r="V33" s="1332" t="s">
        <v>70</v>
      </c>
      <c r="W33" s="1333">
        <f t="shared" si="12"/>
        <v>91</v>
      </c>
      <c r="X33" s="1334"/>
      <c r="Y33" s="3872"/>
      <c r="Z33" s="1335">
        <f t="shared" si="13"/>
        <v>111</v>
      </c>
      <c r="AA33" s="1330">
        <f t="shared" si="3"/>
        <v>1.0309278350515463</v>
      </c>
      <c r="AB33" s="1330">
        <f t="shared" si="4"/>
        <v>1.0638297872340425</v>
      </c>
      <c r="AC33" s="1330">
        <f t="shared" si="5"/>
        <v>1.098901098901099</v>
      </c>
    </row>
    <row r="34" spans="1:29" ht="15">
      <c r="A34" s="786" t="s">
        <v>3201</v>
      </c>
      <c r="B34" s="802" t="s">
        <v>700</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65"/>
      <c r="M34" s="2356"/>
      <c r="N34" s="2356"/>
      <c r="O34" s="2364"/>
      <c r="P34" s="3872"/>
      <c r="Q34" s="1326" t="str">
        <f>B34</f>
        <v>宗地面积</v>
      </c>
      <c r="R34" s="1327" t="s">
        <v>70</v>
      </c>
      <c r="S34" s="1328">
        <f t="shared" si="10"/>
        <v>105</v>
      </c>
      <c r="T34" s="1327" t="s">
        <v>70</v>
      </c>
      <c r="U34" s="1328">
        <f t="shared" si="11"/>
        <v>105</v>
      </c>
      <c r="V34" s="1327" t="s">
        <v>70</v>
      </c>
      <c r="W34" s="1328">
        <f t="shared" si="12"/>
        <v>100</v>
      </c>
      <c r="X34" s="1321"/>
      <c r="Y34" s="3872"/>
      <c r="Z34" s="1329" t="str">
        <f t="shared" si="13"/>
        <v>宗地面积</v>
      </c>
      <c r="AA34" s="1330">
        <f t="shared" si="3"/>
        <v>0.95238095238095233</v>
      </c>
      <c r="AB34" s="1330">
        <f t="shared" si="4"/>
        <v>0.95238095238095233</v>
      </c>
      <c r="AC34" s="1330">
        <f t="shared" si="5"/>
        <v>1</v>
      </c>
    </row>
    <row r="35" spans="1:29" ht="15">
      <c r="A35" s="818"/>
      <c r="B35" s="768" t="s">
        <v>701</v>
      </c>
      <c r="C35" s="109" t="s">
        <v>57</v>
      </c>
      <c r="D35" s="781">
        <v>100</v>
      </c>
      <c r="E35" s="109" t="s">
        <v>57</v>
      </c>
      <c r="F35" s="781">
        <f>SUMIF(110:110,E35,111:111)-SUMIF(110:110,C35,111:111)+100</f>
        <v>100</v>
      </c>
      <c r="G35" s="109" t="s">
        <v>2430</v>
      </c>
      <c r="H35" s="781">
        <f>SUMIF(110:110,G35,111:111)-SUMIF(110:110,C35,111:111)+100</f>
        <v>98</v>
      </c>
      <c r="I35" s="109" t="s">
        <v>57</v>
      </c>
      <c r="J35" s="781">
        <f>SUMIF(110:110,I35,111:111)-SUMIF(110:110,C35,111:111)+100</f>
        <v>100</v>
      </c>
      <c r="K35" s="958">
        <v>2</v>
      </c>
      <c r="L35" s="2365"/>
      <c r="M35" s="2356"/>
      <c r="N35" s="2356"/>
      <c r="O35" s="2364"/>
      <c r="P35" s="3872"/>
      <c r="Q35" s="1326" t="str">
        <f t="shared" ref="Q35:Q40" si="14">B35</f>
        <v>宗地形状</v>
      </c>
      <c r="R35" s="1327" t="s">
        <v>70</v>
      </c>
      <c r="S35" s="1328">
        <f t="shared" si="10"/>
        <v>100</v>
      </c>
      <c r="T35" s="1327" t="s">
        <v>70</v>
      </c>
      <c r="U35" s="1328">
        <f t="shared" si="11"/>
        <v>98</v>
      </c>
      <c r="V35" s="1327" t="s">
        <v>70</v>
      </c>
      <c r="W35" s="1328">
        <f t="shared" si="12"/>
        <v>100</v>
      </c>
      <c r="X35" s="1321"/>
      <c r="Y35" s="3872"/>
      <c r="Z35" s="1329" t="str">
        <f t="shared" si="13"/>
        <v>宗地形状</v>
      </c>
      <c r="AA35" s="1330">
        <f t="shared" si="3"/>
        <v>1</v>
      </c>
      <c r="AB35" s="1330">
        <f t="shared" si="4"/>
        <v>1.0204081632653061</v>
      </c>
      <c r="AC35" s="1330">
        <f t="shared" si="5"/>
        <v>1</v>
      </c>
    </row>
    <row r="36" spans="1:29" s="412" customFormat="1" ht="15">
      <c r="A36" s="819"/>
      <c r="B36" s="2625" t="s">
        <v>2900</v>
      </c>
      <c r="C36" s="1046" t="s">
        <v>2175</v>
      </c>
      <c r="D36" s="429">
        <v>100</v>
      </c>
      <c r="E36" s="1046" t="s">
        <v>2894</v>
      </c>
      <c r="F36" s="781">
        <f>SUMIF(112:112,E36,113:113)-SUMIF(112:112,C36,113:113)+100</f>
        <v>98</v>
      </c>
      <c r="G36" s="1046" t="s">
        <v>2894</v>
      </c>
      <c r="H36" s="781">
        <f>SUMIF(112:112,G36,113:113)-SUMIF(112:112,C36,113:113)+100</f>
        <v>98</v>
      </c>
      <c r="I36" s="1046" t="s">
        <v>2894</v>
      </c>
      <c r="J36" s="781">
        <f>SUMIF(112:112,I36,113:113)-SUMIF(112:112,C36,113:113)+100</f>
        <v>98</v>
      </c>
      <c r="K36" s="958">
        <v>2</v>
      </c>
      <c r="L36" s="2357"/>
      <c r="M36" s="2358"/>
      <c r="N36" s="2358"/>
      <c r="O36" s="2359"/>
      <c r="P36" s="3872"/>
      <c r="Q36" s="1326" t="str">
        <f t="shared" si="14"/>
        <v>宗地开发程度</v>
      </c>
      <c r="R36" s="1322" t="s">
        <v>70</v>
      </c>
      <c r="S36" s="1323">
        <f t="shared" si="10"/>
        <v>98</v>
      </c>
      <c r="T36" s="1322" t="s">
        <v>70</v>
      </c>
      <c r="U36" s="1323">
        <f t="shared" si="11"/>
        <v>98</v>
      </c>
      <c r="V36" s="1322" t="s">
        <v>70</v>
      </c>
      <c r="W36" s="1323">
        <f t="shared" si="12"/>
        <v>98</v>
      </c>
      <c r="X36" s="1324"/>
      <c r="Y36" s="3872"/>
      <c r="Z36" s="350" t="str">
        <f t="shared" si="13"/>
        <v>宗地开发程度</v>
      </c>
      <c r="AA36" s="1325">
        <f t="shared" si="3"/>
        <v>1.0204081632653061</v>
      </c>
      <c r="AB36" s="1325">
        <f t="shared" si="4"/>
        <v>1.0204081632653061</v>
      </c>
      <c r="AC36" s="1325">
        <f t="shared" si="5"/>
        <v>1.0204081632653061</v>
      </c>
    </row>
    <row r="37" spans="1:29" ht="15">
      <c r="A37" s="818"/>
      <c r="B37" s="768" t="s">
        <v>703</v>
      </c>
      <c r="C37" s="109" t="s">
        <v>123</v>
      </c>
      <c r="D37" s="781">
        <v>100</v>
      </c>
      <c r="E37" s="109" t="s">
        <v>123</v>
      </c>
      <c r="F37" s="781">
        <f>SUMIF(114:114,E37,115:115)-SUMIF(114:114,C37,115:115)+100</f>
        <v>100</v>
      </c>
      <c r="G37" s="109" t="s">
        <v>153</v>
      </c>
      <c r="H37" s="781">
        <f>SUMIF(114:114,G37,115:115)-SUMIF(114:114,C37,115:115)+100</f>
        <v>97</v>
      </c>
      <c r="I37" s="109" t="s">
        <v>123</v>
      </c>
      <c r="J37" s="781">
        <f>SUMIF(114:114,I37,115:115)-SUMIF(114:114,C37,115:115)+100</f>
        <v>100</v>
      </c>
      <c r="K37" s="958">
        <v>1.5</v>
      </c>
      <c r="L37" s="2365"/>
      <c r="M37" s="2356"/>
      <c r="N37" s="2356"/>
      <c r="O37" s="2364"/>
      <c r="P37" s="3872" t="s">
        <v>739</v>
      </c>
      <c r="Q37" s="1326" t="str">
        <f t="shared" si="14"/>
        <v>工程地质条件</v>
      </c>
      <c r="R37" s="1327" t="s">
        <v>70</v>
      </c>
      <c r="S37" s="1328">
        <f t="shared" si="10"/>
        <v>100</v>
      </c>
      <c r="T37" s="1327" t="s">
        <v>70</v>
      </c>
      <c r="U37" s="1328">
        <f t="shared" si="11"/>
        <v>97</v>
      </c>
      <c r="V37" s="1327" t="s">
        <v>70</v>
      </c>
      <c r="W37" s="1328">
        <f t="shared" si="12"/>
        <v>100</v>
      </c>
      <c r="X37" s="1321"/>
      <c r="Y37" s="3872" t="s">
        <v>739</v>
      </c>
      <c r="Z37" s="1329" t="str">
        <f t="shared" si="13"/>
        <v>工程地质条件</v>
      </c>
      <c r="AA37" s="1330">
        <f t="shared" si="3"/>
        <v>1</v>
      </c>
      <c r="AB37" s="1330">
        <f t="shared" si="4"/>
        <v>1.0309278350515463</v>
      </c>
      <c r="AC37" s="1330">
        <f t="shared" si="5"/>
        <v>1</v>
      </c>
    </row>
    <row r="38" spans="1:29" ht="15">
      <c r="A38" s="818"/>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9"/>
      <c r="L38" s="2365"/>
      <c r="M38" s="2356"/>
      <c r="N38" s="2356"/>
      <c r="O38" s="2364"/>
      <c r="P38" s="3872"/>
      <c r="Q38" s="1326">
        <f t="shared" si="14"/>
        <v>111</v>
      </c>
      <c r="R38" s="1327" t="s">
        <v>70</v>
      </c>
      <c r="S38" s="1328">
        <f t="shared" si="10"/>
        <v>99</v>
      </c>
      <c r="T38" s="1327" t="s">
        <v>70</v>
      </c>
      <c r="U38" s="1328">
        <f t="shared" si="11"/>
        <v>98</v>
      </c>
      <c r="V38" s="1327" t="s">
        <v>70</v>
      </c>
      <c r="W38" s="1328">
        <f t="shared" si="12"/>
        <v>97</v>
      </c>
      <c r="X38" s="1321"/>
      <c r="Y38" s="3872"/>
      <c r="Z38" s="1329">
        <f t="shared" si="13"/>
        <v>111</v>
      </c>
      <c r="AA38" s="1330">
        <f t="shared" si="3"/>
        <v>1.0101010101010102</v>
      </c>
      <c r="AB38" s="1330">
        <f t="shared" si="4"/>
        <v>1.0204081632653061</v>
      </c>
      <c r="AC38" s="1330">
        <f t="shared" si="5"/>
        <v>1.0309278350515463</v>
      </c>
    </row>
    <row r="39" spans="1:29" ht="15">
      <c r="A39" s="818"/>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9"/>
      <c r="L39" s="2365"/>
      <c r="M39" s="2356"/>
      <c r="N39" s="2356"/>
      <c r="O39" s="2364"/>
      <c r="P39" s="3872"/>
      <c r="Q39" s="1326">
        <f t="shared" si="14"/>
        <v>111</v>
      </c>
      <c r="R39" s="1327" t="s">
        <v>70</v>
      </c>
      <c r="S39" s="1328">
        <f t="shared" si="10"/>
        <v>98</v>
      </c>
      <c r="T39" s="1327" t="s">
        <v>70</v>
      </c>
      <c r="U39" s="1328">
        <f t="shared" si="11"/>
        <v>96</v>
      </c>
      <c r="V39" s="1327" t="s">
        <v>70</v>
      </c>
      <c r="W39" s="1328">
        <f t="shared" si="12"/>
        <v>94</v>
      </c>
      <c r="X39" s="1321"/>
      <c r="Y39" s="3872"/>
      <c r="Z39" s="1329">
        <f t="shared" si="13"/>
        <v>111</v>
      </c>
      <c r="AA39" s="1330">
        <f t="shared" si="3"/>
        <v>1.0204081632653061</v>
      </c>
      <c r="AB39" s="1330">
        <f t="shared" si="4"/>
        <v>1.0416666666666667</v>
      </c>
      <c r="AC39" s="1330">
        <f t="shared" si="5"/>
        <v>1.0638297872340425</v>
      </c>
    </row>
    <row r="40" spans="1:29" s="817" customFormat="1" ht="15.75" thickBot="1">
      <c r="A40" s="814"/>
      <c r="B40" s="206">
        <v>111</v>
      </c>
      <c r="C40" s="1048">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4"/>
      <c r="L40" s="2363"/>
      <c r="M40" s="2366"/>
      <c r="N40" s="2366"/>
      <c r="O40" s="2367"/>
      <c r="P40" s="3872"/>
      <c r="Q40" s="1326">
        <f t="shared" si="14"/>
        <v>111</v>
      </c>
      <c r="R40" s="1332" t="s">
        <v>70</v>
      </c>
      <c r="S40" s="1333">
        <f t="shared" si="10"/>
        <v>97</v>
      </c>
      <c r="T40" s="1332" t="s">
        <v>70</v>
      </c>
      <c r="U40" s="1333">
        <f t="shared" si="11"/>
        <v>94</v>
      </c>
      <c r="V40" s="1332" t="s">
        <v>70</v>
      </c>
      <c r="W40" s="1333">
        <f t="shared" si="12"/>
        <v>91</v>
      </c>
      <c r="X40" s="1334"/>
      <c r="Y40" s="3872"/>
      <c r="Z40" s="1335">
        <f t="shared" si="13"/>
        <v>111</v>
      </c>
      <c r="AA40" s="1330">
        <f t="shared" si="3"/>
        <v>1.0309278350515463</v>
      </c>
      <c r="AB40" s="1330">
        <f t="shared" si="4"/>
        <v>1.0638297872340425</v>
      </c>
      <c r="AC40" s="1330">
        <f t="shared" si="5"/>
        <v>1.098901098901099</v>
      </c>
    </row>
    <row r="41" spans="1:29" ht="15">
      <c r="A41" s="825" t="s">
        <v>704</v>
      </c>
      <c r="B41" s="207" t="s">
        <v>2802</v>
      </c>
      <c r="C41" s="1095" t="s">
        <v>23</v>
      </c>
      <c r="D41" s="827"/>
      <c r="E41" s="828">
        <v>5000</v>
      </c>
      <c r="F41" s="829"/>
      <c r="G41" s="830">
        <v>4250</v>
      </c>
      <c r="H41" s="831"/>
      <c r="I41" s="828">
        <v>5100</v>
      </c>
      <c r="J41" s="831"/>
      <c r="K41" s="1403"/>
      <c r="L41" s="2368"/>
      <c r="M41" s="2356"/>
      <c r="N41" s="2356"/>
      <c r="O41" s="2369"/>
      <c r="P41" s="3854" t="str">
        <f>A41</f>
        <v>成交单价</v>
      </c>
      <c r="Q41" s="3854"/>
      <c r="R41" s="3867">
        <f>E41</f>
        <v>5000</v>
      </c>
      <c r="S41" s="3867"/>
      <c r="T41" s="3867">
        <f>G41</f>
        <v>4250</v>
      </c>
      <c r="U41" s="3867"/>
      <c r="V41" s="3867">
        <f>I41</f>
        <v>5100</v>
      </c>
      <c r="W41" s="3867"/>
      <c r="X41" s="1310"/>
      <c r="Y41" s="1336"/>
      <c r="Z41" s="1310"/>
      <c r="AA41" s="1310"/>
      <c r="AB41" s="1310"/>
      <c r="AC41" s="1310"/>
    </row>
    <row r="42" spans="1:29" ht="15.75" thickBot="1">
      <c r="A42" s="832" t="s">
        <v>583</v>
      </c>
      <c r="B42" s="1096"/>
      <c r="C42" s="836" t="e">
        <f>R43</f>
        <v>#DIV/0!</v>
      </c>
      <c r="D42" s="835"/>
      <c r="E42" s="836">
        <f>R42</f>
        <v>6318</v>
      </c>
      <c r="F42" s="837"/>
      <c r="G42" s="834" t="e">
        <f>T42</f>
        <v>#DIV/0!</v>
      </c>
      <c r="H42" s="835"/>
      <c r="I42" s="836">
        <f>V42</f>
        <v>9185</v>
      </c>
      <c r="J42" s="835"/>
      <c r="K42" s="1404"/>
      <c r="L42" s="2368"/>
      <c r="M42" s="2356"/>
      <c r="N42" s="2356"/>
      <c r="O42" s="2369"/>
      <c r="P42" s="3854" t="str">
        <f>A42</f>
        <v>比较价值（元/平方米）</v>
      </c>
      <c r="Q42" s="3854"/>
      <c r="R42" s="3877">
        <f>ROUND(PRODUCT(R41,AA7:AA40),0)</f>
        <v>6318</v>
      </c>
      <c r="S42" s="3877"/>
      <c r="T42" s="3877" t="e">
        <f>ROUND(PRODUCT(T41,AB7:AB40),0)</f>
        <v>#DIV/0!</v>
      </c>
      <c r="U42" s="3877"/>
      <c r="V42" s="3877">
        <f>ROUND(PRODUCT(V41,AC7:AC40),0)</f>
        <v>9185</v>
      </c>
      <c r="W42" s="3877"/>
      <c r="X42" s="1310"/>
      <c r="Y42" s="1310"/>
      <c r="Z42" s="1310"/>
      <c r="AA42" s="1310"/>
      <c r="AB42" s="1310"/>
      <c r="AC42" s="1310"/>
    </row>
    <row r="43" spans="1:29" ht="15.75" thickBot="1">
      <c r="A43" s="115" t="s">
        <v>733</v>
      </c>
      <c r="B43" s="839"/>
      <c r="C43" s="840" t="e">
        <f>R43</f>
        <v>#DIV/0!</v>
      </c>
      <c r="D43" s="840"/>
      <c r="E43" s="840"/>
      <c r="F43" s="840"/>
      <c r="G43" s="840"/>
      <c r="H43" s="840"/>
      <c r="I43" s="840"/>
      <c r="J43" s="840"/>
      <c r="K43" s="1405"/>
      <c r="L43" s="2368"/>
      <c r="M43" s="2356"/>
      <c r="N43" s="2356"/>
      <c r="O43" s="2369"/>
      <c r="P43" s="3874" t="str">
        <f>A43</f>
        <v>估价对象XX用房的比较价值（楼面单价，元/平方米）</v>
      </c>
      <c r="Q43" s="3875"/>
      <c r="R43" s="3878" t="e">
        <f>ROUND(AVERAGE(R42:V42),0)</f>
        <v>#DIV/0!</v>
      </c>
      <c r="S43" s="3878"/>
      <c r="T43" s="3878"/>
      <c r="U43" s="3878"/>
      <c r="V43" s="3878"/>
      <c r="W43" s="3878"/>
      <c r="X43" s="1310"/>
      <c r="Y43" s="1310"/>
      <c r="Z43" s="1310"/>
      <c r="AA43" s="1310"/>
      <c r="AB43" s="1310"/>
      <c r="AC43" s="1310"/>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3" t="s">
        <v>585</v>
      </c>
      <c r="D46" s="844"/>
      <c r="E46" s="845">
        <f>IF(E41&lt;E42,E42/E41-1,E41/E42-1)</f>
        <v>0.26360000000000006</v>
      </c>
      <c r="F46" s="846" t="str">
        <f>IF(OR(E46&gt;=0.3,E46&lt;=-0.3),"超过30%","")</f>
        <v/>
      </c>
      <c r="G46" s="845" t="e">
        <f>IF(G41&lt;G42,G42/G41-1,G41/G42-1)</f>
        <v>#DIV/0!</v>
      </c>
      <c r="H46" s="846" t="e">
        <f>IF(OR(G46&gt;=0.3,G46&lt;=-0.3),"超过30%","")</f>
        <v>#DIV/0!</v>
      </c>
      <c r="I46" s="845">
        <f>IF(I41&lt;I42,I42/I41-1,I41/I42-1)</f>
        <v>0.80098039215686279</v>
      </c>
      <c r="J46" s="846" t="str">
        <f>IF(OR(I46&gt;=0.3,I46&lt;=-0.3),"超过30%","")</f>
        <v>超过30%</v>
      </c>
      <c r="K46" s="2194"/>
      <c r="L46" s="2195"/>
      <c r="M46" s="2356"/>
      <c r="N46" s="2356"/>
      <c r="O46" s="2369"/>
    </row>
    <row r="47" spans="1:29" ht="13.5" customHeight="1">
      <c r="A47" s="2369"/>
      <c r="B47" s="2369"/>
      <c r="C47" s="843" t="s">
        <v>586</v>
      </c>
      <c r="D47" s="847"/>
      <c r="E47" s="845" t="e">
        <f>IF(E42&lt;G42,G42/E42-1,E42/G42-1)</f>
        <v>#DIV/0!</v>
      </c>
      <c r="F47" s="846" t="e">
        <f>IF(OR(E47&gt;=0.2,E47&lt;=-0.2),"超过20%","")</f>
        <v>#DIV/0!</v>
      </c>
      <c r="G47" s="845" t="e">
        <f>IF(G42&lt;I42,I42/G42-1,G42/I42-1)</f>
        <v>#DIV/0!</v>
      </c>
      <c r="H47" s="846" t="e">
        <f>IF(OR(G47&gt;=0.2,G47&lt;=-0.2),"超过20%","")</f>
        <v>#DIV/0!</v>
      </c>
      <c r="I47" s="845">
        <f>IF(I42&lt;E42,E42/I42-1,I42/E42-1)</f>
        <v>0.45378284267173163</v>
      </c>
      <c r="J47" s="846" t="str">
        <f>IF(OR(I47&gt;=0.2,I47&lt;=-0.2),"超过20%","")</f>
        <v>超过20%</v>
      </c>
      <c r="K47" s="2194"/>
      <c r="L47" s="2195"/>
      <c r="M47" s="2369"/>
      <c r="N47" s="2369"/>
      <c r="O47" s="2369"/>
    </row>
    <row r="48" spans="1:29" s="848" customFormat="1" ht="13.5" customHeight="1">
      <c r="A48" s="2370"/>
      <c r="B48" s="2370"/>
      <c r="C48" s="843" t="s">
        <v>587</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73"/>
      <c r="L48" s="2374"/>
      <c r="M48" s="2370"/>
      <c r="N48" s="2370"/>
      <c r="O48" s="2370"/>
    </row>
    <row r="49" spans="1:17" s="848" customFormat="1" ht="15" thickBot="1">
      <c r="A49" s="2370"/>
      <c r="B49" s="2371"/>
      <c r="C49" s="1313"/>
      <c r="D49" s="1311"/>
      <c r="E49" s="1311"/>
      <c r="F49" s="1311"/>
      <c r="G49" s="1311"/>
      <c r="H49" s="1311"/>
      <c r="I49" s="1311"/>
      <c r="J49" s="1311"/>
      <c r="K49" s="2373"/>
      <c r="L49" s="2374"/>
      <c r="M49" s="2370"/>
      <c r="N49" s="2370"/>
      <c r="O49" s="2370"/>
    </row>
    <row r="50" spans="1:17" ht="27">
      <c r="A50" s="1097" t="s">
        <v>705</v>
      </c>
      <c r="B50" s="1098" t="s">
        <v>706</v>
      </c>
      <c r="C50" s="1781" t="s">
        <v>2245</v>
      </c>
      <c r="D50" s="2400" t="s">
        <v>2694</v>
      </c>
      <c r="E50" s="1099" t="s">
        <v>707</v>
      </c>
      <c r="F50" s="1100" t="s">
        <v>708</v>
      </c>
      <c r="G50" s="3879" t="s">
        <v>2687</v>
      </c>
      <c r="H50" s="3880"/>
      <c r="I50" s="2189" t="s">
        <v>2244</v>
      </c>
      <c r="J50" s="1771" t="str">
        <f>项目基本情况!F35</f>
        <v>香河</v>
      </c>
      <c r="K50" s="2383" t="s">
        <v>2246</v>
      </c>
      <c r="L50" s="2195"/>
      <c r="M50" s="2369"/>
      <c r="N50" s="2369"/>
      <c r="O50" s="2369"/>
    </row>
    <row r="51" spans="1:17" s="1105" customFormat="1">
      <c r="A51" s="1101" t="s">
        <v>709</v>
      </c>
      <c r="B51" s="1102" t="e">
        <f>C43</f>
        <v>#DIV/0!</v>
      </c>
      <c r="C51" s="1103">
        <v>1</v>
      </c>
      <c r="D51" s="2401">
        <v>1</v>
      </c>
      <c r="E51" s="1103">
        <f>'数据-汇总表'!E8+'数据-汇总表'!E9</f>
        <v>483897.51999999996</v>
      </c>
      <c r="F51" s="1104" t="e">
        <f t="shared" ref="F51:F60" si="15">ROUND(B51*E51/10000,0)</f>
        <v>#DIV/0!</v>
      </c>
      <c r="G51" s="3881"/>
      <c r="H51" s="3882"/>
      <c r="I51" s="1779">
        <v>1</v>
      </c>
      <c r="J51" s="1779">
        <v>1</v>
      </c>
      <c r="K51" s="2370"/>
      <c r="L51" s="1778"/>
      <c r="M51" s="1778"/>
      <c r="N51" s="1778"/>
      <c r="O51" s="1778"/>
    </row>
    <row r="52" spans="1:17" s="1105" customFormat="1">
      <c r="A52" s="1106" t="s">
        <v>710</v>
      </c>
      <c r="B52" s="597" t="e">
        <f>ROUND($C$43*C52*D52,0)</f>
        <v>#DIV/0!</v>
      </c>
      <c r="C52" s="535">
        <f t="shared" ref="C52:C60" si="16">IF($C$50="北京市系数",I52,J52)</f>
        <v>0</v>
      </c>
      <c r="D52" s="2402">
        <v>0.25</v>
      </c>
      <c r="E52" s="1107">
        <v>0</v>
      </c>
      <c r="F52" s="1104" t="e">
        <f t="shared" si="15"/>
        <v>#DIV/0!</v>
      </c>
      <c r="G52" s="3883" t="s">
        <v>2688</v>
      </c>
      <c r="H52" s="2193">
        <f>项目基本情况!B37</f>
        <v>0</v>
      </c>
      <c r="I52" s="1779">
        <f>SUMIF(修正!A45:A56,H52,修正!B45:B56)</f>
        <v>0</v>
      </c>
      <c r="J52" s="1780"/>
      <c r="K52" s="2369"/>
      <c r="L52" s="1778"/>
      <c r="M52" s="1778"/>
      <c r="N52" s="1778"/>
      <c r="O52" s="1778"/>
    </row>
    <row r="53" spans="1:17" s="1105" customFormat="1">
      <c r="A53" s="1106" t="s">
        <v>711</v>
      </c>
      <c r="B53" s="597" t="e">
        <f t="shared" ref="B53:B60" si="17">ROUND($C$43*C53*D53,0)</f>
        <v>#DIV/0!</v>
      </c>
      <c r="C53" s="535">
        <f t="shared" si="16"/>
        <v>0</v>
      </c>
      <c r="D53" s="2402">
        <v>0.25</v>
      </c>
      <c r="E53" s="1107">
        <v>0</v>
      </c>
      <c r="F53" s="1104" t="e">
        <f t="shared" si="15"/>
        <v>#DIV/0!</v>
      </c>
      <c r="G53" s="3883"/>
      <c r="H53" s="2193">
        <f>项目基本情况!B37</f>
        <v>0</v>
      </c>
      <c r="I53" s="1779">
        <f>SUMIF(修正!A45:A56,H53,修正!C45:C56)</f>
        <v>0</v>
      </c>
      <c r="J53" s="1780"/>
      <c r="K53" s="2370"/>
      <c r="L53" s="1778"/>
      <c r="M53" s="1778"/>
      <c r="N53" s="1778"/>
      <c r="O53" s="1778"/>
    </row>
    <row r="54" spans="1:17" s="1105" customFormat="1">
      <c r="A54" s="1106" t="s">
        <v>712</v>
      </c>
      <c r="B54" s="597" t="e">
        <f t="shared" si="17"/>
        <v>#DIV/0!</v>
      </c>
      <c r="C54" s="535">
        <f t="shared" si="16"/>
        <v>0</v>
      </c>
      <c r="D54" s="2402">
        <v>0.25</v>
      </c>
      <c r="E54" s="1107">
        <v>0</v>
      </c>
      <c r="F54" s="1104" t="e">
        <f t="shared" si="15"/>
        <v>#DIV/0!</v>
      </c>
      <c r="G54" s="3883"/>
      <c r="H54" s="2193">
        <f>项目基本情况!B37</f>
        <v>0</v>
      </c>
      <c r="I54" s="1779">
        <f>SUMIF(修正!A45:A56,H54,修正!D45:D56)</f>
        <v>0</v>
      </c>
      <c r="J54" s="1780"/>
      <c r="K54" s="2369"/>
      <c r="L54" s="1778"/>
      <c r="M54" s="1778"/>
      <c r="N54" s="1778"/>
      <c r="O54" s="1778"/>
    </row>
    <row r="55" spans="1:17" s="1105" customFormat="1">
      <c r="A55" s="1106" t="s">
        <v>713</v>
      </c>
      <c r="B55" s="597" t="e">
        <f t="shared" si="17"/>
        <v>#DIV/0!</v>
      </c>
      <c r="C55" s="535">
        <f t="shared" si="16"/>
        <v>0</v>
      </c>
      <c r="D55" s="2402">
        <v>0.25</v>
      </c>
      <c r="E55" s="1107">
        <v>0</v>
      </c>
      <c r="F55" s="1104" t="e">
        <f t="shared" si="15"/>
        <v>#DIV/0!</v>
      </c>
      <c r="G55" s="3883"/>
      <c r="H55" s="2193">
        <f>项目基本情况!B37</f>
        <v>0</v>
      </c>
      <c r="I55" s="1779">
        <f>SUMIF(修正!A45:A56,H55,修正!E45:E56)</f>
        <v>0</v>
      </c>
      <c r="J55" s="1780"/>
      <c r="K55" s="2370"/>
      <c r="L55" s="1778"/>
      <c r="M55" s="1778"/>
      <c r="N55" s="1778"/>
      <c r="O55" s="1778"/>
    </row>
    <row r="56" spans="1:17" s="1105" customFormat="1">
      <c r="A56" s="2523" t="s">
        <v>2776</v>
      </c>
      <c r="B56" s="597" t="e">
        <f t="shared" si="17"/>
        <v>#DIV/0!</v>
      </c>
      <c r="C56" s="535">
        <f t="shared" si="16"/>
        <v>0</v>
      </c>
      <c r="D56" s="2402">
        <v>0.25</v>
      </c>
      <c r="E56" s="596">
        <f>'数据-汇总表'!E11</f>
        <v>0</v>
      </c>
      <c r="F56" s="1104" t="e">
        <f t="shared" si="15"/>
        <v>#DIV/0!</v>
      </c>
      <c r="G56" s="2205" t="s">
        <v>2689</v>
      </c>
      <c r="H56" s="2193">
        <f>项目基本情况!C37</f>
        <v>0</v>
      </c>
      <c r="I56" s="1779">
        <f>SUMIF(修正!A45:A56,H56,修正!F45:F56)</f>
        <v>0</v>
      </c>
      <c r="J56" s="1780"/>
      <c r="K56" s="2369"/>
      <c r="L56" s="1778"/>
      <c r="M56" s="1778"/>
      <c r="N56" s="1778"/>
      <c r="O56" s="1778"/>
    </row>
    <row r="57" spans="1:17" s="1105" customFormat="1">
      <c r="A57" s="1106" t="s">
        <v>714</v>
      </c>
      <c r="B57" s="597" t="e">
        <f t="shared" si="17"/>
        <v>#DIV/0!</v>
      </c>
      <c r="C57" s="535">
        <f t="shared" si="16"/>
        <v>0</v>
      </c>
      <c r="D57" s="2402">
        <v>0.25</v>
      </c>
      <c r="E57" s="596">
        <f>'数据-汇总表'!E12</f>
        <v>0</v>
      </c>
      <c r="F57" s="1104" t="e">
        <f t="shared" si="15"/>
        <v>#DIV/0!</v>
      </c>
      <c r="G57" s="2199" t="s">
        <v>210</v>
      </c>
      <c r="H57" s="2193">
        <f>IF(G57="商业",项目基本情况!B37,IF(G57="办公",项目基本情况!C37,IF(G57="住宅",项目基本情况!D37,项目基本情况!E37)))</f>
        <v>0</v>
      </c>
      <c r="I57" s="1779">
        <f>SUMIF(修正!A45:A56,H57,修正!G45:G56)</f>
        <v>0</v>
      </c>
      <c r="J57" s="1780"/>
      <c r="K57" s="2370"/>
      <c r="L57" s="1778"/>
      <c r="M57" s="1778"/>
      <c r="N57" s="1778"/>
      <c r="O57" s="1778"/>
    </row>
    <row r="58" spans="1:17" s="1105" customFormat="1">
      <c r="A58" s="1106" t="s">
        <v>715</v>
      </c>
      <c r="B58" s="597" t="e">
        <f t="shared" si="17"/>
        <v>#DIV/0!</v>
      </c>
      <c r="C58" s="535">
        <f t="shared" si="16"/>
        <v>0</v>
      </c>
      <c r="D58" s="2402">
        <v>0.25</v>
      </c>
      <c r="E58" s="596">
        <f>'数据-汇总表'!E13</f>
        <v>0</v>
      </c>
      <c r="F58" s="1104" t="e">
        <f t="shared" si="15"/>
        <v>#DIV/0!</v>
      </c>
      <c r="G58" s="2199" t="s">
        <v>40</v>
      </c>
      <c r="H58" s="2193">
        <f>IF(G58="商业",项目基本情况!B37,IF(G58="办公",项目基本情况!C37,IF(G58="住宅",项目基本情况!D37,项目基本情况!E37)))</f>
        <v>0</v>
      </c>
      <c r="I58" s="1779">
        <f>SUMIF(修正!A45:A56,H58,修正!H45:H56)</f>
        <v>0</v>
      </c>
      <c r="J58" s="1780"/>
      <c r="K58" s="2369"/>
      <c r="L58" s="1778"/>
      <c r="M58" s="1778"/>
      <c r="N58" s="1778"/>
      <c r="O58" s="1778"/>
    </row>
    <row r="59" spans="1:17" s="1105" customFormat="1">
      <c r="A59" s="1106" t="s">
        <v>716</v>
      </c>
      <c r="B59" s="597" t="e">
        <f t="shared" si="17"/>
        <v>#DIV/0!</v>
      </c>
      <c r="C59" s="535">
        <f t="shared" si="16"/>
        <v>0</v>
      </c>
      <c r="D59" s="2402">
        <v>0.25</v>
      </c>
      <c r="E59" s="596">
        <f>'数据-汇总表'!E14</f>
        <v>0</v>
      </c>
      <c r="F59" s="1104" t="e">
        <f t="shared" si="15"/>
        <v>#DIV/0!</v>
      </c>
      <c r="G59" s="2205" t="s">
        <v>2690</v>
      </c>
      <c r="H59" s="2193">
        <f>项目基本情况!B37</f>
        <v>0</v>
      </c>
      <c r="I59" s="1779">
        <f>SUMIF(修正!A45:A56,H59,修正!H45:H56)</f>
        <v>0</v>
      </c>
      <c r="J59" s="1780"/>
      <c r="K59" s="2370"/>
      <c r="L59" s="1778"/>
      <c r="M59" s="1778"/>
      <c r="N59" s="1778"/>
      <c r="O59" s="1778"/>
    </row>
    <row r="60" spans="1:17" s="1105" customFormat="1" ht="15" thickBot="1">
      <c r="A60" s="1106" t="s">
        <v>717</v>
      </c>
      <c r="B60" s="597" t="e">
        <f t="shared" si="17"/>
        <v>#DIV/0!</v>
      </c>
      <c r="C60" s="535">
        <f t="shared" si="16"/>
        <v>0</v>
      </c>
      <c r="D60" s="2402">
        <v>0.25</v>
      </c>
      <c r="E60" s="596">
        <f>'数据-汇总表'!E15</f>
        <v>0</v>
      </c>
      <c r="F60" s="1104" t="e">
        <f t="shared" si="15"/>
        <v>#DIV/0!</v>
      </c>
      <c r="G60" s="2206" t="s">
        <v>2689</v>
      </c>
      <c r="H60" s="2207">
        <f>项目基本情况!C37</f>
        <v>0</v>
      </c>
      <c r="I60" s="1779">
        <f>SUMIF(修正!A45:A56,H60,修正!H45:H56)</f>
        <v>0</v>
      </c>
      <c r="J60" s="1780"/>
      <c r="K60" s="2369"/>
      <c r="L60" s="1778"/>
      <c r="M60" s="1778"/>
      <c r="N60" s="1778"/>
      <c r="O60" s="1778"/>
    </row>
    <row r="61" spans="1:17" s="1105" customFormat="1" ht="15" thickBot="1">
      <c r="A61" s="1108" t="s">
        <v>718</v>
      </c>
      <c r="B61" s="1109" t="s">
        <v>263</v>
      </c>
      <c r="C61" s="1109" t="s">
        <v>264</v>
      </c>
      <c r="D61" s="1109" t="s">
        <v>2695</v>
      </c>
      <c r="E61" s="1109">
        <f>IF(B41="楼面地价",SUM(E51:E60),'数据-汇总表'!D3)</f>
        <v>619634</v>
      </c>
      <c r="F61" s="1110" t="e">
        <f>IF(B41="楼面地价",SUM(F51:F60),ROUND(C43*E61/10000,0))</f>
        <v>#DIV/0!</v>
      </c>
      <c r="G61" s="2384"/>
      <c r="H61" s="2384"/>
      <c r="I61" s="2384"/>
      <c r="J61" s="2384"/>
      <c r="K61" s="2194"/>
      <c r="L61" s="1778"/>
      <c r="M61" s="1778"/>
      <c r="N61" s="1778"/>
      <c r="O61" s="1778"/>
    </row>
    <row r="62" spans="1:17">
      <c r="A62" s="2369"/>
      <c r="B62" s="2371"/>
      <c r="C62" s="2375"/>
      <c r="D62" s="2369"/>
      <c r="E62" s="2369"/>
      <c r="F62" s="2369"/>
      <c r="G62" s="2369"/>
      <c r="H62" s="2369"/>
      <c r="I62" s="2369"/>
      <c r="J62" s="2369"/>
      <c r="K62" s="2194"/>
      <c r="L62" s="2195"/>
      <c r="M62" s="2369"/>
      <c r="N62" s="2369"/>
      <c r="O62" s="2369"/>
    </row>
    <row r="63" spans="1:17">
      <c r="A63" s="2369"/>
      <c r="B63" s="2371"/>
      <c r="C63" s="1312" t="str">
        <f>YEAR(C7)&amp;"-"&amp;MONTH(C7)&amp;"-1"</f>
        <v>2017-6-1</v>
      </c>
      <c r="D63" s="1312">
        <f>EDATE(C63,-3)</f>
        <v>42795</v>
      </c>
      <c r="E63" s="1312">
        <f>EDATE(D63,-3)</f>
        <v>42705</v>
      </c>
      <c r="F63" s="1312">
        <f t="shared" ref="F63:O63" si="18">EDATE(E63,-3)</f>
        <v>42614</v>
      </c>
      <c r="G63" s="1312">
        <f t="shared" si="18"/>
        <v>42522</v>
      </c>
      <c r="H63" s="1312">
        <f t="shared" si="18"/>
        <v>42430</v>
      </c>
      <c r="I63" s="1312">
        <f t="shared" si="18"/>
        <v>42339</v>
      </c>
      <c r="J63" s="1312">
        <f t="shared" si="18"/>
        <v>42248</v>
      </c>
      <c r="K63" s="1312">
        <f t="shared" si="18"/>
        <v>42156</v>
      </c>
      <c r="L63" s="1312">
        <f t="shared" si="18"/>
        <v>42064</v>
      </c>
      <c r="M63" s="1312">
        <f t="shared" si="18"/>
        <v>41974</v>
      </c>
      <c r="N63" s="1312">
        <f t="shared" si="18"/>
        <v>41883</v>
      </c>
      <c r="O63" s="1312">
        <f t="shared" si="18"/>
        <v>41791</v>
      </c>
    </row>
    <row r="64" spans="1:17" ht="21.75" thickBot="1">
      <c r="A64" s="1314" t="s">
        <v>588</v>
      </c>
      <c r="B64" s="1310"/>
      <c r="C64" s="1315"/>
      <c r="D64" s="1315"/>
      <c r="E64" s="1315"/>
      <c r="F64" s="1316"/>
      <c r="G64" s="1316"/>
      <c r="H64" s="1315"/>
      <c r="I64" s="1315"/>
      <c r="J64" s="1315"/>
      <c r="K64" s="1317"/>
      <c r="L64" s="1318"/>
      <c r="M64" s="1315"/>
      <c r="N64" s="1315"/>
      <c r="O64" s="2385"/>
      <c r="P64" s="849"/>
      <c r="Q64" s="850"/>
    </row>
    <row r="65" spans="1:17" s="854" customFormat="1" ht="15">
      <c r="A65" s="2722" t="s">
        <v>3198</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3"/>
    </row>
    <row r="66" spans="1:17" s="412" customFormat="1" ht="30.75" customHeight="1">
      <c r="A66" s="3054" t="s">
        <v>3197</v>
      </c>
      <c r="B66" s="667" t="str">
        <f>"北京市平均增长率"&amp;TEXT(基准地价修正!P24,"0.00%")</f>
        <v>北京市平均增长率1.34%</v>
      </c>
      <c r="C66" s="949">
        <v>100</v>
      </c>
      <c r="D66" s="941">
        <v>99.5</v>
      </c>
      <c r="E66" s="941">
        <v>99</v>
      </c>
      <c r="F66" s="941">
        <v>98.5</v>
      </c>
      <c r="G66" s="941">
        <v>98</v>
      </c>
      <c r="H66" s="941">
        <v>97.5</v>
      </c>
      <c r="I66" s="941">
        <v>97</v>
      </c>
      <c r="J66" s="941">
        <v>96.5</v>
      </c>
      <c r="K66" s="941">
        <v>96</v>
      </c>
      <c r="L66" s="941">
        <v>95.5</v>
      </c>
      <c r="M66" s="3052">
        <v>95</v>
      </c>
      <c r="N66" s="3052">
        <v>94.5</v>
      </c>
      <c r="O66" s="3055">
        <v>95.5</v>
      </c>
      <c r="P66" s="850"/>
    </row>
    <row r="67" spans="1:17" s="412" customFormat="1" ht="15.75" thickBot="1">
      <c r="A67" s="861" t="s">
        <v>589</v>
      </c>
      <c r="B67" s="862"/>
      <c r="C67" s="863"/>
      <c r="D67" s="864"/>
      <c r="E67" s="864"/>
      <c r="F67" s="864"/>
      <c r="G67" s="864"/>
      <c r="H67" s="864"/>
      <c r="I67" s="864"/>
      <c r="J67" s="864"/>
      <c r="K67" s="864"/>
      <c r="L67" s="864"/>
      <c r="M67" s="865"/>
      <c r="N67" s="865"/>
      <c r="O67" s="866"/>
      <c r="P67" s="850"/>
      <c r="Q67" s="850"/>
    </row>
    <row r="68" spans="1:17" s="412" customFormat="1" ht="15">
      <c r="A68" s="867" t="s">
        <v>569</v>
      </c>
      <c r="B68" s="856"/>
      <c r="C68" s="868" t="s">
        <v>590</v>
      </c>
      <c r="D68" s="140" t="s">
        <v>1453</v>
      </c>
      <c r="E68" s="140"/>
      <c r="F68" s="140"/>
      <c r="G68" s="140"/>
      <c r="H68" s="140"/>
      <c r="I68" s="140"/>
      <c r="J68" s="140"/>
      <c r="K68" s="140"/>
      <c r="L68" s="141"/>
      <c r="M68" s="1055"/>
      <c r="N68" s="2376"/>
      <c r="O68" s="2376"/>
      <c r="P68" s="872"/>
      <c r="Q68" s="850"/>
    </row>
    <row r="69" spans="1:17" s="412" customFormat="1" ht="15.75" thickBot="1">
      <c r="A69" s="867"/>
      <c r="B69" s="856"/>
      <c r="C69" s="985">
        <v>100</v>
      </c>
      <c r="D69" s="858">
        <v>96</v>
      </c>
      <c r="E69" s="858"/>
      <c r="F69" s="858"/>
      <c r="G69" s="858"/>
      <c r="H69" s="858"/>
      <c r="I69" s="858"/>
      <c r="J69" s="858"/>
      <c r="K69" s="858"/>
      <c r="L69" s="858"/>
      <c r="M69" s="860"/>
      <c r="N69" s="2376"/>
      <c r="O69" s="2376"/>
      <c r="P69" s="850"/>
      <c r="Q69" s="850"/>
    </row>
    <row r="70" spans="1:17">
      <c r="A70" s="873" t="s">
        <v>592</v>
      </c>
      <c r="B70" s="874" t="s">
        <v>593</v>
      </c>
      <c r="C70" s="122" t="s">
        <v>310</v>
      </c>
      <c r="D70" s="122" t="s">
        <v>311</v>
      </c>
      <c r="E70" s="122"/>
      <c r="F70" s="122"/>
      <c r="G70" s="122"/>
      <c r="H70" s="122"/>
      <c r="I70" s="122"/>
      <c r="J70" s="122"/>
      <c r="K70" s="123"/>
      <c r="L70" s="124"/>
      <c r="M70" s="125"/>
      <c r="N70" s="2377"/>
      <c r="O70" s="2377"/>
      <c r="P70" s="340"/>
      <c r="Q70" s="850"/>
    </row>
    <row r="71" spans="1:17" ht="15.75" thickBot="1">
      <c r="A71" s="880"/>
      <c r="B71" s="881"/>
      <c r="C71" s="882">
        <v>100</v>
      </c>
      <c r="D71" s="882">
        <v>105</v>
      </c>
      <c r="E71" s="882"/>
      <c r="F71" s="882"/>
      <c r="G71" s="882"/>
      <c r="H71" s="882"/>
      <c r="I71" s="882"/>
      <c r="J71" s="882"/>
      <c r="K71" s="882"/>
      <c r="L71" s="882"/>
      <c r="M71" s="883"/>
      <c r="N71" s="2378"/>
      <c r="O71" s="2378"/>
      <c r="P71" s="340"/>
      <c r="Q71" s="850"/>
    </row>
    <row r="72" spans="1:17" ht="27.75" thickTop="1">
      <c r="A72" s="880"/>
      <c r="B72" s="884" t="s">
        <v>573</v>
      </c>
      <c r="C72" s="885"/>
      <c r="D72" s="885"/>
      <c r="E72" s="885"/>
      <c r="F72" s="885"/>
      <c r="G72" s="885"/>
      <c r="H72" s="885"/>
      <c r="I72" s="885"/>
      <c r="J72" s="885"/>
      <c r="K72" s="886"/>
      <c r="L72" s="887"/>
      <c r="M72" s="888"/>
      <c r="N72" s="2377"/>
      <c r="O72" s="2377"/>
      <c r="P72" s="340"/>
      <c r="Q72" s="850"/>
    </row>
    <row r="73" spans="1:17" ht="15.75" thickBot="1">
      <c r="A73" s="880"/>
      <c r="B73" s="889"/>
      <c r="C73" s="890"/>
      <c r="D73" s="890"/>
      <c r="E73" s="890"/>
      <c r="F73" s="890"/>
      <c r="G73" s="890"/>
      <c r="H73" s="890"/>
      <c r="I73" s="890"/>
      <c r="J73" s="890"/>
      <c r="K73" s="890"/>
      <c r="L73" s="890"/>
      <c r="M73" s="891"/>
      <c r="N73" s="2378"/>
      <c r="O73" s="2378"/>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4" t="str">
        <f>M75&amp;"（含）"&amp;"-"&amp;P75</f>
        <v>（含）-</v>
      </c>
      <c r="N74" s="2378"/>
      <c r="O74" s="2378"/>
      <c r="P74" s="340"/>
      <c r="Q74" s="850"/>
    </row>
    <row r="75" spans="1:17" ht="15">
      <c r="A75" s="880"/>
      <c r="B75" s="1061"/>
      <c r="C75" s="895">
        <v>0</v>
      </c>
      <c r="D75" s="895">
        <v>1</v>
      </c>
      <c r="E75" s="895">
        <v>2</v>
      </c>
      <c r="F75" s="895">
        <v>3</v>
      </c>
      <c r="G75" s="895">
        <v>4</v>
      </c>
      <c r="H75" s="895">
        <v>5</v>
      </c>
      <c r="I75" s="895"/>
      <c r="J75" s="895"/>
      <c r="K75" s="896"/>
      <c r="L75" s="897"/>
      <c r="M75" s="898"/>
      <c r="N75" s="2377"/>
      <c r="O75" s="2377"/>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78"/>
      <c r="O76" s="2378"/>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79"/>
      <c r="O77" s="2379"/>
      <c r="P77" s="904"/>
      <c r="Q77" s="905"/>
    </row>
    <row r="78" spans="1:17" s="817" customFormat="1" ht="15.75" thickBot="1">
      <c r="A78" s="899"/>
      <c r="B78" s="1059"/>
      <c r="C78" s="906">
        <v>100</v>
      </c>
      <c r="D78" s="882">
        <v>99</v>
      </c>
      <c r="E78" s="882">
        <v>98</v>
      </c>
      <c r="F78" s="882">
        <v>97</v>
      </c>
      <c r="G78" s="882"/>
      <c r="H78" s="882"/>
      <c r="I78" s="882"/>
      <c r="J78" s="882"/>
      <c r="K78" s="882"/>
      <c r="L78" s="882"/>
      <c r="M78" s="883"/>
      <c r="N78" s="2378"/>
      <c r="O78" s="2378"/>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79"/>
      <c r="O79" s="2379"/>
      <c r="P79" s="816"/>
      <c r="Q79" s="907"/>
    </row>
    <row r="80" spans="1:17" s="817" customFormat="1" ht="15.75" thickBot="1">
      <c r="A80" s="899"/>
      <c r="B80" s="1059"/>
      <c r="C80" s="906">
        <v>100</v>
      </c>
      <c r="D80" s="906">
        <v>98</v>
      </c>
      <c r="E80" s="906">
        <v>96</v>
      </c>
      <c r="F80" s="906">
        <v>94</v>
      </c>
      <c r="G80" s="906"/>
      <c r="H80" s="908"/>
      <c r="I80" s="908"/>
      <c r="J80" s="908"/>
      <c r="K80" s="908"/>
      <c r="L80" s="908"/>
      <c r="M80" s="909"/>
      <c r="N80" s="2379"/>
      <c r="O80" s="2379"/>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79"/>
      <c r="O81" s="2379"/>
      <c r="P81" s="913"/>
      <c r="Q81" s="905"/>
    </row>
    <row r="82" spans="1:17" s="817" customFormat="1" ht="15.75" thickBot="1">
      <c r="A82" s="914"/>
      <c r="B82" s="1075"/>
      <c r="C82" s="916">
        <v>100</v>
      </c>
      <c r="D82" s="916">
        <v>97</v>
      </c>
      <c r="E82" s="916">
        <v>94</v>
      </c>
      <c r="F82" s="916">
        <v>91</v>
      </c>
      <c r="G82" s="916"/>
      <c r="H82" s="917"/>
      <c r="I82" s="917"/>
      <c r="J82" s="917"/>
      <c r="K82" s="917"/>
      <c r="L82" s="917"/>
      <c r="M82" s="918"/>
      <c r="N82" s="2379"/>
      <c r="O82" s="2379"/>
      <c r="P82" s="904"/>
      <c r="Q82" s="905"/>
    </row>
    <row r="83" spans="1:17">
      <c r="A83" s="873" t="s">
        <v>575</v>
      </c>
      <c r="B83" s="292" t="s">
        <v>266</v>
      </c>
      <c r="C83" s="919" t="s">
        <v>599</v>
      </c>
      <c r="D83" s="919" t="s">
        <v>600</v>
      </c>
      <c r="E83" s="919" t="s">
        <v>601</v>
      </c>
      <c r="F83" s="919" t="s">
        <v>602</v>
      </c>
      <c r="G83" s="919" t="s">
        <v>603</v>
      </c>
      <c r="H83" s="875"/>
      <c r="I83" s="875"/>
      <c r="J83" s="875"/>
      <c r="K83" s="920"/>
      <c r="L83" s="921"/>
      <c r="M83" s="922"/>
      <c r="N83" s="2377"/>
      <c r="O83" s="2377"/>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78"/>
      <c r="O84" s="2378"/>
      <c r="P84" s="340"/>
      <c r="Q84" s="850"/>
    </row>
    <row r="85" spans="1:17" ht="15.75" thickTop="1">
      <c r="A85" s="880"/>
      <c r="B85" s="1058" t="s">
        <v>97</v>
      </c>
      <c r="C85" s="924" t="s">
        <v>599</v>
      </c>
      <c r="D85" s="924" t="s">
        <v>600</v>
      </c>
      <c r="E85" s="924" t="s">
        <v>601</v>
      </c>
      <c r="F85" s="924" t="s">
        <v>602</v>
      </c>
      <c r="G85" s="924" t="s">
        <v>603</v>
      </c>
      <c r="H85" s="885"/>
      <c r="I85" s="885"/>
      <c r="J85" s="885"/>
      <c r="K85" s="886"/>
      <c r="L85" s="887"/>
      <c r="M85" s="888"/>
      <c r="N85" s="2377"/>
      <c r="O85" s="2377"/>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78"/>
      <c r="O86" s="2378"/>
      <c r="P86" s="340"/>
      <c r="Q86" s="850"/>
    </row>
    <row r="87" spans="1:17" s="412" customFormat="1" ht="27.75" thickTop="1">
      <c r="A87" s="925"/>
      <c r="B87" s="1058" t="s">
        <v>128</v>
      </c>
      <c r="C87" s="919" t="s">
        <v>599</v>
      </c>
      <c r="D87" s="919" t="s">
        <v>600</v>
      </c>
      <c r="E87" s="919" t="s">
        <v>601</v>
      </c>
      <c r="F87" s="919" t="s">
        <v>602</v>
      </c>
      <c r="G87" s="919" t="s">
        <v>603</v>
      </c>
      <c r="H87" s="924"/>
      <c r="I87" s="924"/>
      <c r="J87" s="924"/>
      <c r="K87" s="924"/>
      <c r="L87" s="1111"/>
      <c r="M87" s="968"/>
      <c r="N87" s="2376"/>
      <c r="O87" s="2376"/>
      <c r="P87" s="340"/>
      <c r="Q87" s="850"/>
    </row>
    <row r="88" spans="1:17" s="412" customFormat="1" ht="15.75" thickBot="1">
      <c r="A88" s="925"/>
      <c r="B88" s="1059"/>
      <c r="C88" s="928">
        <v>100</v>
      </c>
      <c r="D88" s="890">
        <f>C88-$K19</f>
        <v>98</v>
      </c>
      <c r="E88" s="890">
        <f>D88-$K19</f>
        <v>96</v>
      </c>
      <c r="F88" s="890">
        <f>E88-$K19</f>
        <v>94</v>
      </c>
      <c r="G88" s="890">
        <f>F88-$K19</f>
        <v>92</v>
      </c>
      <c r="H88" s="890"/>
      <c r="I88" s="890"/>
      <c r="J88" s="890"/>
      <c r="K88" s="890"/>
      <c r="L88" s="890"/>
      <c r="M88" s="891"/>
      <c r="N88" s="2378"/>
      <c r="O88" s="2378"/>
      <c r="P88" s="340"/>
      <c r="Q88" s="850"/>
    </row>
    <row r="89" spans="1:17" s="412" customFormat="1" ht="27.75" thickTop="1">
      <c r="A89" s="925"/>
      <c r="B89" s="1058" t="s">
        <v>250</v>
      </c>
      <c r="C89" s="919" t="s">
        <v>599</v>
      </c>
      <c r="D89" s="919" t="s">
        <v>600</v>
      </c>
      <c r="E89" s="919" t="s">
        <v>601</v>
      </c>
      <c r="F89" s="919" t="s">
        <v>602</v>
      </c>
      <c r="G89" s="919" t="s">
        <v>603</v>
      </c>
      <c r="H89" s="924"/>
      <c r="I89" s="924"/>
      <c r="J89" s="924"/>
      <c r="K89" s="924"/>
      <c r="L89" s="924"/>
      <c r="M89" s="968"/>
      <c r="N89" s="2376"/>
      <c r="O89" s="2376"/>
      <c r="P89" s="340"/>
      <c r="Q89" s="850"/>
    </row>
    <row r="90" spans="1:17" s="412" customFormat="1" ht="15.75" thickBot="1">
      <c r="A90" s="925"/>
      <c r="B90" s="1059"/>
      <c r="C90" s="890">
        <v>100</v>
      </c>
      <c r="D90" s="890">
        <f>C90-$K21</f>
        <v>98</v>
      </c>
      <c r="E90" s="890">
        <f>D90-$K21</f>
        <v>96</v>
      </c>
      <c r="F90" s="890">
        <f>E90-$K21</f>
        <v>94</v>
      </c>
      <c r="G90" s="890">
        <f>F90-$K21</f>
        <v>92</v>
      </c>
      <c r="H90" s="890"/>
      <c r="I90" s="890"/>
      <c r="J90" s="890"/>
      <c r="K90" s="890"/>
      <c r="L90" s="890"/>
      <c r="M90" s="891"/>
      <c r="N90" s="2378"/>
      <c r="O90" s="2378"/>
      <c r="P90" s="340"/>
      <c r="Q90" s="850"/>
    </row>
    <row r="91" spans="1:17" s="817" customFormat="1" ht="15.75" thickTop="1">
      <c r="A91" s="899"/>
      <c r="B91" s="1058" t="s">
        <v>3070</v>
      </c>
      <c r="C91" s="919" t="s">
        <v>599</v>
      </c>
      <c r="D91" s="919" t="s">
        <v>600</v>
      </c>
      <c r="E91" s="919" t="s">
        <v>601</v>
      </c>
      <c r="F91" s="919" t="s">
        <v>602</v>
      </c>
      <c r="G91" s="919" t="s">
        <v>603</v>
      </c>
      <c r="H91" s="946"/>
      <c r="I91" s="946"/>
      <c r="J91" s="946"/>
      <c r="K91" s="946"/>
      <c r="L91" s="947"/>
      <c r="M91" s="948"/>
      <c r="N91" s="2379"/>
      <c r="O91" s="2379"/>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79"/>
      <c r="O92" s="2379"/>
      <c r="P92" s="904"/>
      <c r="Q92" s="905"/>
    </row>
    <row r="93" spans="1:17" s="817" customFormat="1" ht="15.75" thickTop="1">
      <c r="A93" s="899"/>
      <c r="B93" s="1060" t="s">
        <v>3072</v>
      </c>
      <c r="C93" s="213" t="s">
        <v>3058</v>
      </c>
      <c r="D93" s="213" t="s">
        <v>3059</v>
      </c>
      <c r="E93" s="213" t="s">
        <v>3060</v>
      </c>
      <c r="F93" s="213" t="s">
        <v>3061</v>
      </c>
      <c r="G93" s="213" t="s">
        <v>3062</v>
      </c>
      <c r="H93" s="946"/>
      <c r="I93" s="946"/>
      <c r="J93" s="946"/>
      <c r="K93" s="946"/>
      <c r="L93" s="946"/>
      <c r="M93" s="948"/>
      <c r="N93" s="2379"/>
      <c r="O93" s="2379"/>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786"/>
      <c r="N94" s="2379"/>
      <c r="O94" s="2379"/>
      <c r="P94" s="904"/>
      <c r="Q94" s="905"/>
    </row>
    <row r="95" spans="1:17" ht="15.75" thickTop="1">
      <c r="A95" s="880"/>
      <c r="B95" s="1058" t="str">
        <f>B27</f>
        <v>临街状况</v>
      </c>
      <c r="C95" s="885" t="s">
        <v>722</v>
      </c>
      <c r="D95" s="885" t="s">
        <v>723</v>
      </c>
      <c r="E95" s="885" t="s">
        <v>724</v>
      </c>
      <c r="F95" s="885" t="s">
        <v>725</v>
      </c>
      <c r="G95" s="885"/>
      <c r="H95" s="885"/>
      <c r="I95" s="885"/>
      <c r="J95" s="885"/>
      <c r="K95" s="886"/>
      <c r="L95" s="887"/>
      <c r="M95" s="888"/>
      <c r="N95" s="2377"/>
      <c r="O95" s="2377"/>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78"/>
      <c r="O96" s="2378"/>
      <c r="P96" s="340"/>
      <c r="Q96" s="850"/>
    </row>
    <row r="97" spans="1:17" ht="27.75" thickTop="1">
      <c r="A97" s="880"/>
      <c r="B97" s="1058" t="s">
        <v>213</v>
      </c>
      <c r="C97" s="139" t="s">
        <v>223</v>
      </c>
      <c r="D97" s="139" t="s">
        <v>225</v>
      </c>
      <c r="E97" s="139" t="s">
        <v>227</v>
      </c>
      <c r="F97" s="139" t="s">
        <v>228</v>
      </c>
      <c r="G97" s="139" t="s">
        <v>229</v>
      </c>
      <c r="H97" s="131"/>
      <c r="I97" s="131"/>
      <c r="J97" s="131"/>
      <c r="K97" s="132"/>
      <c r="L97" s="133"/>
      <c r="M97" s="134"/>
      <c r="N97" s="2377"/>
      <c r="O97" s="2377"/>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78"/>
      <c r="O98" s="2378"/>
      <c r="P98" s="340"/>
      <c r="Q98" s="850"/>
    </row>
    <row r="99" spans="1:17" ht="15.75" thickTop="1">
      <c r="A99" s="880"/>
      <c r="B99" s="1058" t="s">
        <v>249</v>
      </c>
      <c r="C99" s="929" t="s">
        <v>726</v>
      </c>
      <c r="D99" s="929" t="s">
        <v>727</v>
      </c>
      <c r="E99" s="929" t="s">
        <v>728</v>
      </c>
      <c r="F99" s="929" t="s">
        <v>740</v>
      </c>
      <c r="G99" s="929" t="s">
        <v>741</v>
      </c>
      <c r="H99" s="929"/>
      <c r="I99" s="929"/>
      <c r="J99" s="929"/>
      <c r="K99" s="930"/>
      <c r="L99" s="931"/>
      <c r="M99" s="932"/>
      <c r="N99" s="2377"/>
      <c r="O99" s="2377"/>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78"/>
      <c r="O100" s="2378"/>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77"/>
      <c r="O101" s="2377"/>
      <c r="P101" s="340"/>
      <c r="Q101" s="850"/>
    </row>
    <row r="102" spans="1:17" ht="15.75" thickBot="1">
      <c r="A102" s="880"/>
      <c r="B102" s="1075"/>
      <c r="C102" s="906">
        <v>100</v>
      </c>
      <c r="D102" s="882">
        <v>99</v>
      </c>
      <c r="E102" s="882">
        <v>98</v>
      </c>
      <c r="F102" s="882">
        <v>97</v>
      </c>
      <c r="G102" s="937"/>
      <c r="H102" s="937"/>
      <c r="I102" s="937"/>
      <c r="J102" s="937"/>
      <c r="K102" s="937"/>
      <c r="L102" s="937"/>
      <c r="M102" s="938"/>
      <c r="N102" s="2378"/>
      <c r="O102" s="2378"/>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77"/>
      <c r="O103" s="2377"/>
      <c r="P103" s="340"/>
      <c r="Q103" s="850"/>
    </row>
    <row r="104" spans="1:17" ht="15.75" thickBot="1">
      <c r="A104" s="880"/>
      <c r="B104" s="1059"/>
      <c r="C104" s="906">
        <v>100</v>
      </c>
      <c r="D104" s="906">
        <v>98</v>
      </c>
      <c r="E104" s="906">
        <v>96</v>
      </c>
      <c r="F104" s="906">
        <v>94</v>
      </c>
      <c r="G104" s="882"/>
      <c r="H104" s="882"/>
      <c r="I104" s="882"/>
      <c r="J104" s="882"/>
      <c r="K104" s="882"/>
      <c r="L104" s="882"/>
      <c r="M104" s="883"/>
      <c r="N104" s="2378"/>
      <c r="O104" s="2378"/>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79"/>
      <c r="O105" s="2379"/>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78"/>
      <c r="O106" s="2378"/>
      <c r="P106" s="904"/>
      <c r="Q106" s="905"/>
    </row>
    <row r="107" spans="1:17" ht="28.5">
      <c r="A107" s="873" t="s">
        <v>580</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77"/>
      <c r="O107" s="2377"/>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77"/>
      <c r="O108" s="2377"/>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78"/>
      <c r="O109" s="2378"/>
      <c r="P109" s="340"/>
      <c r="Q109" s="850"/>
    </row>
    <row r="110" spans="1:17" ht="15" thickTop="1">
      <c r="A110" s="945"/>
      <c r="B110" s="1058" t="s">
        <v>91</v>
      </c>
      <c r="C110" s="131" t="s">
        <v>251</v>
      </c>
      <c r="D110" s="131" t="s">
        <v>252</v>
      </c>
      <c r="E110" s="131" t="s">
        <v>253</v>
      </c>
      <c r="F110" s="131" t="s">
        <v>254</v>
      </c>
      <c r="G110" s="131"/>
      <c r="H110" s="131"/>
      <c r="I110" s="131"/>
      <c r="J110" s="131"/>
      <c r="K110" s="132"/>
      <c r="L110" s="133"/>
      <c r="M110" s="134"/>
      <c r="N110" s="2377"/>
      <c r="O110" s="2377"/>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78"/>
      <c r="O111" s="2378"/>
      <c r="P111" s="340"/>
      <c r="Q111" s="850"/>
    </row>
    <row r="112" spans="1:17" s="817" customFormat="1" ht="15" thickTop="1">
      <c r="A112" s="939"/>
      <c r="B112" s="1058" t="s">
        <v>2901</v>
      </c>
      <c r="C112" s="139" t="s">
        <v>2902</v>
      </c>
      <c r="D112" s="139" t="s">
        <v>2903</v>
      </c>
      <c r="E112" s="139" t="s">
        <v>2896</v>
      </c>
      <c r="F112" s="139" t="s">
        <v>2897</v>
      </c>
      <c r="G112" s="139" t="s">
        <v>2898</v>
      </c>
      <c r="H112" s="131"/>
      <c r="I112" s="131"/>
      <c r="J112" s="131"/>
      <c r="K112" s="132"/>
      <c r="L112" s="133"/>
      <c r="M112" s="134"/>
      <c r="N112" s="2379"/>
      <c r="O112" s="2379"/>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79"/>
      <c r="O113" s="2379"/>
      <c r="P113" s="904"/>
      <c r="Q113" s="905"/>
    </row>
    <row r="114" spans="1:17" ht="15" thickTop="1">
      <c r="A114" s="945"/>
      <c r="B114" s="1058" t="s">
        <v>90</v>
      </c>
      <c r="C114" s="139" t="s">
        <v>106</v>
      </c>
      <c r="D114" s="139" t="s">
        <v>105</v>
      </c>
      <c r="E114" s="131" t="s">
        <v>197</v>
      </c>
      <c r="F114" s="131" t="s">
        <v>255</v>
      </c>
      <c r="G114" s="131" t="s">
        <v>256</v>
      </c>
      <c r="H114" s="131"/>
      <c r="I114" s="131"/>
      <c r="J114" s="131"/>
      <c r="K114" s="132"/>
      <c r="L114" s="133"/>
      <c r="M114" s="134"/>
      <c r="N114" s="2377"/>
      <c r="O114" s="2377"/>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78"/>
      <c r="O115" s="2378"/>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77"/>
      <c r="O116" s="2377"/>
      <c r="P116" s="340"/>
      <c r="Q116" s="850"/>
    </row>
    <row r="117" spans="1:17" ht="15.75" thickBot="1">
      <c r="A117" s="880"/>
      <c r="B117" s="1059"/>
      <c r="C117" s="906">
        <v>100</v>
      </c>
      <c r="D117" s="882">
        <v>99</v>
      </c>
      <c r="E117" s="882">
        <v>98</v>
      </c>
      <c r="F117" s="882">
        <v>97</v>
      </c>
      <c r="G117" s="882"/>
      <c r="H117" s="882"/>
      <c r="I117" s="882"/>
      <c r="J117" s="882"/>
      <c r="K117" s="882"/>
      <c r="L117" s="882"/>
      <c r="M117" s="883"/>
      <c r="N117" s="2378"/>
      <c r="O117" s="2378"/>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77"/>
      <c r="O118" s="2377"/>
      <c r="P118" s="340"/>
      <c r="Q118" s="850"/>
    </row>
    <row r="119" spans="1:17" ht="15.75" thickBot="1">
      <c r="A119" s="880"/>
      <c r="B119" s="1059"/>
      <c r="C119" s="906">
        <v>100</v>
      </c>
      <c r="D119" s="906">
        <v>98</v>
      </c>
      <c r="E119" s="906">
        <v>96</v>
      </c>
      <c r="F119" s="906">
        <v>94</v>
      </c>
      <c r="G119" s="882"/>
      <c r="H119" s="882"/>
      <c r="I119" s="882"/>
      <c r="J119" s="882"/>
      <c r="K119" s="882"/>
      <c r="L119" s="882"/>
      <c r="M119" s="883"/>
      <c r="N119" s="2378"/>
      <c r="O119" s="2378"/>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79"/>
      <c r="O120" s="2379"/>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79"/>
      <c r="O121" s="2379"/>
      <c r="P121" s="904"/>
      <c r="Q121" s="90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0" customWidth="1"/>
    <col min="2" max="2" width="19.25" style="1751" customWidth="1"/>
    <col min="3" max="4" width="12" style="1631"/>
    <col min="5" max="5" width="14.625" style="1631" customWidth="1"/>
    <col min="6" max="8" width="12" style="1631"/>
    <col min="9" max="9" width="12.25" style="1631" bestFit="1" customWidth="1"/>
    <col min="10" max="10" width="12" style="1631"/>
    <col min="11" max="11" width="8.125" style="1628" customWidth="1"/>
    <col min="12" max="12" width="12" style="1631"/>
    <col min="13" max="13" width="8.5" style="1631" customWidth="1"/>
    <col min="14" max="14" width="9.75" style="1631" customWidth="1"/>
    <col min="15" max="25" width="12" style="1631"/>
    <col min="26" max="26" width="9.375" style="1630" customWidth="1"/>
    <col min="27" max="32" width="9.375" style="1629" customWidth="1"/>
    <col min="33" max="36" width="9.375" style="1630" customWidth="1"/>
    <col min="37" max="38" width="9.375" style="1631" customWidth="1"/>
    <col min="39" max="16384" width="12" style="1631"/>
  </cols>
  <sheetData>
    <row r="1" spans="1:36" ht="28.5">
      <c r="A1" s="1476" t="s">
        <v>2145</v>
      </c>
      <c r="B1" s="1477"/>
      <c r="C1" s="86" t="s">
        <v>2904</v>
      </c>
      <c r="D1" s="1743">
        <f>SUM(D29:D30,D33:D39)</f>
        <v>0</v>
      </c>
      <c r="E1" s="1627"/>
      <c r="F1" s="1627"/>
      <c r="G1" s="1627"/>
      <c r="H1" s="1627"/>
      <c r="I1" s="1627"/>
      <c r="J1" s="1627"/>
      <c r="K1" s="2389"/>
      <c r="L1" s="1889" t="s">
        <v>1577</v>
      </c>
      <c r="M1" s="2143">
        <f>SUMPRODUCT((区片价!B5:B9=I2)*(区片价!C3:F3=E2)*(区片价!C5:F9))</f>
        <v>0</v>
      </c>
      <c r="N1" s="2146">
        <f>SUMPRODUCT((因素修正幅度!B5:B9=I2)*(因素修正幅度!C3:F3=E2)*(因素修正幅度!C5:F9))</f>
        <v>0</v>
      </c>
      <c r="O1" s="2393"/>
      <c r="P1" s="2393"/>
      <c r="Q1" s="2389"/>
      <c r="R1" s="3093" t="s">
        <v>3300</v>
      </c>
      <c r="S1" s="3093" t="s">
        <v>3301</v>
      </c>
      <c r="T1" s="3093" t="s">
        <v>3302</v>
      </c>
      <c r="U1" s="3093" t="s">
        <v>3303</v>
      </c>
      <c r="V1" s="3093" t="s">
        <v>3304</v>
      </c>
      <c r="W1" s="3094"/>
      <c r="X1" s="3094"/>
      <c r="Y1" s="3094"/>
      <c r="Z1" s="3094"/>
      <c r="AA1" s="3094"/>
      <c r="AB1" s="3094"/>
      <c r="AC1" s="3095"/>
      <c r="AD1" s="3096"/>
      <c r="AE1" s="3096"/>
      <c r="AF1" s="3096"/>
      <c r="AG1" s="3096"/>
      <c r="AH1" s="3096"/>
      <c r="AI1" s="3096"/>
      <c r="AJ1" s="3097"/>
    </row>
    <row r="2" spans="1:36" ht="15.75">
      <c r="A2" s="86" t="s">
        <v>2146</v>
      </c>
      <c r="B2" s="583" t="e">
        <f>C26</f>
        <v>#DIV/0!</v>
      </c>
      <c r="C2" s="1475" t="s">
        <v>1486</v>
      </c>
      <c r="D2" s="1632" t="s">
        <v>2147</v>
      </c>
      <c r="E2" s="1787" t="s">
        <v>210</v>
      </c>
      <c r="F2" s="1632" t="s">
        <v>2148</v>
      </c>
      <c r="G2" s="1609">
        <f>IF(E2="商业",项目基本情况!B37,IF(E2="办公",项目基本情况!C37,IF(E2="住宅",项目基本情况!D37,项目基本情况!E37)))</f>
        <v>0</v>
      </c>
      <c r="H2" s="1632" t="s">
        <v>2149</v>
      </c>
      <c r="I2" s="1609">
        <f>IF(E2="商业",项目基本情况!B38,IF(E2="办公",项目基本情况!C38,IF(E2="住宅",项目基本情况!D38,项目基本情况!E38)))</f>
        <v>0</v>
      </c>
      <c r="J2" s="1633"/>
      <c r="K2" s="2389"/>
      <c r="L2" s="1890" t="s">
        <v>1634</v>
      </c>
      <c r="M2" s="2144">
        <f>SUMPRODUCT((区片价!B10:B28=I2)*(区片价!C3:F3=E2)*(区片价!C10:F28))</f>
        <v>0</v>
      </c>
      <c r="N2" s="2146">
        <f>SUMPRODUCT((因素修正幅度!B10:B28=I2)*(因素修正幅度!C3:F3=E2)*(因素修正幅度!C10:F28))</f>
        <v>0</v>
      </c>
      <c r="O2" s="2389"/>
      <c r="P2" s="2389"/>
      <c r="Q2" s="2389"/>
      <c r="R2" s="3098">
        <v>1</v>
      </c>
      <c r="S2" s="3098">
        <f>ROUND(IF(G3&gt;1,IF(R2&lt;7,SUMPRODUCT((B93:B98=R2)*(C92:N92=G2)*(C93:N98)),SUMIF(C92:N92,G2,C100:N100)),IF(R2&lt;7,SUMPRODUCT((B102:B107=R2)*(C92:N92=G2)*(C102:N107)),SUMIF(C92:N92,G2,C109:N109))),4)</f>
        <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2150</v>
      </c>
      <c r="B3" s="583" t="e">
        <f>ROUND(B2*10000/D1,0)</f>
        <v>#DIV/0!</v>
      </c>
      <c r="C3" s="1475" t="s">
        <v>2151</v>
      </c>
      <c r="D3" s="1632" t="s">
        <v>1489</v>
      </c>
      <c r="E3" s="1788" t="s">
        <v>2907</v>
      </c>
      <c r="F3" s="1789" t="s">
        <v>2227</v>
      </c>
      <c r="G3" s="1634">
        <f>IF(F3="宗地容积率",'数据-汇总表'!I4,IF(F3="估价对象容积率",'数据-汇总表'!I6,'数据-汇总表'!I7))</f>
        <v>4</v>
      </c>
      <c r="H3" s="1635" t="s">
        <v>1490</v>
      </c>
      <c r="I3" s="1790">
        <v>3</v>
      </c>
      <c r="J3" s="1633" t="s">
        <v>1491</v>
      </c>
      <c r="K3" s="2389"/>
      <c r="L3" s="1890" t="s">
        <v>1807</v>
      </c>
      <c r="M3" s="2144">
        <f>SUMPRODUCT((区片价!B29:B48=I2)*(区片价!C3:F3=E2)*(区片价!C29:F48))</f>
        <v>0</v>
      </c>
      <c r="N3" s="2146">
        <f>SUMPRODUCT((因素修正幅度!B29:B48=I2)*(因素修正幅度!C3:F3=E2)*(因素修正幅度!C29:F48))</f>
        <v>0</v>
      </c>
      <c r="O3" s="2389"/>
      <c r="P3" s="2389"/>
      <c r="Q3" s="2389"/>
      <c r="R3" s="3098">
        <v>2</v>
      </c>
      <c r="S3" s="3098">
        <f>ROUND(IF(G3&gt;1,IF(R3&lt;7,SUMPRODUCT((B93:B98=R3)*(C92:N92=G2)*(C93:N98)),SUMIF(C92:N92,G2,C100:N100)),IF(R3&lt;7,SUMPRODUCT((B102:B107=R3)*(C92:N92=G2)*(C102:N107)),SUMIF(C92:N92,G2,C109:N109))),4)</f>
        <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897"/>
      <c r="B4" s="3898"/>
      <c r="C4" s="3898"/>
      <c r="D4" s="3899"/>
      <c r="E4" s="3899"/>
      <c r="F4" s="3899"/>
      <c r="G4" s="3899"/>
      <c r="H4" s="3899"/>
      <c r="I4" s="3899"/>
      <c r="J4" s="3900"/>
      <c r="K4" s="2389"/>
      <c r="L4" s="1890" t="s">
        <v>1487</v>
      </c>
      <c r="M4" s="2144">
        <f>SUMPRODUCT((区片价!B49:B75=I2)*(区片价!C3:F3=E2)*(区片价!C49:F75))</f>
        <v>0</v>
      </c>
      <c r="N4" s="2146">
        <f>SUMPRODUCT((因素修正幅度!B49:B75=I2)*(因素修正幅度!C3:F3=E2)*(因素修正幅度!C49:F75))</f>
        <v>0</v>
      </c>
      <c r="O4" s="2389"/>
      <c r="P4" s="2389"/>
      <c r="Q4" s="2389"/>
      <c r="R4" s="3098">
        <v>3</v>
      </c>
      <c r="S4" s="3098">
        <f>ROUND(IF(G3&gt;1,IF(R4&lt;7,SUMPRODUCT((B93:B98=R4)*(C92:N92=G2)*(C93:N98)),SUMIF(C92:N92,G2,C100:N100)),IF(R4&lt;7,SUMPRODUCT((B102:B107=R4)*(C92:N92=G2)*(C102:N107)),SUMIF(C92:N92,G2,C109:N109))),4)</f>
        <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3" customFormat="1" ht="15.75" thickBot="1">
      <c r="A5" s="1883" t="s">
        <v>2294</v>
      </c>
      <c r="B5" s="1636" t="s">
        <v>2152</v>
      </c>
      <c r="C5" s="1637" t="e">
        <f>ROUND(IF(E2="商业",IF(F16="增加",C6*C7+C16,C6*C7-C16),IF(E2="住宅",IF(F16="增加",C6*C12+C16,C6*C12-C16),IF(F16="增加",C6+C16,C6-C16))),0)</f>
        <v>#DIV/0!</v>
      </c>
      <c r="D5" s="1638"/>
      <c r="E5" s="1639"/>
      <c r="F5" s="1639"/>
      <c r="G5" s="1640"/>
      <c r="H5" s="1640"/>
      <c r="I5" s="1640"/>
      <c r="J5" s="1641"/>
      <c r="K5" s="2394"/>
      <c r="L5" s="1890" t="s">
        <v>1888</v>
      </c>
      <c r="M5" s="2144">
        <f>SUMPRODUCT((区片价!B76:B109=I2)*(区片价!C3:F3=E2)*(区片价!C76:F109))</f>
        <v>0</v>
      </c>
      <c r="N5" s="2146">
        <f>SUMPRODUCT((因素修正幅度!B76:B109=I2)*(因素修正幅度!C3:F3=E2)*(因素修正幅度!C76:F109))</f>
        <v>0</v>
      </c>
      <c r="O5" s="2389"/>
      <c r="P5" s="2389"/>
      <c r="Q5" s="2389"/>
      <c r="R5" s="3098">
        <v>4</v>
      </c>
      <c r="S5" s="3098">
        <f>ROUND(IF(G3&gt;1,IF(R5&lt;7,SUMPRODUCT((B93:B98=R5)*(C92:N92=G2)*(C93:N98)),SUMIF(C92:N92,G2,C100:N100)),IF(R5&lt;7,SUMPRODUCT((B102:B107=R5)*(C92:N92=G2)*(C102:N107)),SUMIF(C92:N92,G2,C109:N109))),4)</f>
        <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87" t="s">
        <v>2301</v>
      </c>
      <c r="B6" s="1644" t="s">
        <v>2152</v>
      </c>
      <c r="C6" s="1645">
        <f>SUMIF(L1:L12,G2,M1:M12)</f>
        <v>0</v>
      </c>
      <c r="D6" s="1646" t="s">
        <v>2153</v>
      </c>
      <c r="E6" s="1647"/>
      <c r="F6" s="1647"/>
      <c r="G6" s="1648"/>
      <c r="H6" s="1648"/>
      <c r="I6" s="1648"/>
      <c r="J6" s="1649"/>
      <c r="K6" s="2395"/>
      <c r="L6" s="1890" t="s">
        <v>366</v>
      </c>
      <c r="M6" s="2144">
        <f>SUMPRODUCT((区片价!B110:B157=I2)*(区片价!C3:F3=E2)*(区片价!C110:F157))</f>
        <v>0</v>
      </c>
      <c r="N6" s="2146">
        <f>SUMPRODUCT((因素修正幅度!B110:B157=I2)*(因素修正幅度!C3:F3=E2)*(因素修正幅度!C110:F157))</f>
        <v>0</v>
      </c>
      <c r="O6" s="2389"/>
      <c r="P6" s="2389"/>
      <c r="Q6" s="2389"/>
      <c r="R6" s="3098">
        <v>5</v>
      </c>
      <c r="S6" s="3098">
        <f>ROUND(IF(G3&gt;1,IF(R6&lt;7,SUMPRODUCT((B93:B98=R6)*(C92:N92=G2)*(C93:N98)),SUMIF(C92:N92,G2,C100:N100)),IF(R6&lt;7,SUMPRODUCT((B102:B107=R6)*(C92:N92=G2)*(C102:N107)),SUMIF(C92:N92,G2,C109:N109))),4)</f>
        <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884" t="str">
        <f>IF(E2="商业",IF(C8="不临58条商业街","",2),"")</f>
        <v/>
      </c>
      <c r="B7" s="1650" t="s">
        <v>2154</v>
      </c>
      <c r="C7" s="1651">
        <f>IF(C8="不临58条商业街",1,ROUND(1+(1.6*E8+1.2*E9+0.8*E10+0.4*E11)*C9,4))</f>
        <v>1</v>
      </c>
      <c r="D7" s="1652" t="s">
        <v>2155</v>
      </c>
      <c r="E7" s="1791">
        <v>60</v>
      </c>
      <c r="F7" s="1653"/>
      <c r="G7" s="1654"/>
      <c r="H7" s="1654"/>
      <c r="I7" s="1654"/>
      <c r="J7" s="1655"/>
      <c r="K7" s="2395"/>
      <c r="L7" s="1890" t="s">
        <v>1891</v>
      </c>
      <c r="M7" s="2144">
        <f>SUMPRODUCT((区片价!B158:B205=I2)*(区片价!C3:F3=E2)*(区片价!C158:F205))</f>
        <v>0</v>
      </c>
      <c r="N7" s="2146">
        <f>SUMPRODUCT((因素修正幅度!B158:B205=I2)*(因素修正幅度!C3:F3=E2)*(因素修正幅度!C158:F205))</f>
        <v>0</v>
      </c>
      <c r="O7" s="2389"/>
      <c r="P7" s="2389"/>
      <c r="Q7" s="2389"/>
      <c r="R7" s="3098">
        <v>6</v>
      </c>
      <c r="S7" s="3098">
        <f>ROUND(IF(G3&gt;1,IF(R7&lt;7,SUMPRODUCT((B93:B98=R7)*(C92:N92=G2)*(C93:N98)),SUMIF(C92:N92,G2,C100:N100)),IF(R7&lt;7,SUMPRODUCT((B102:B107=R7)*(C92:N92=G2)*(C102:N107)),SUMIF(C92:N92,G2,C109:N109))),4)</f>
        <v>0</v>
      </c>
      <c r="T7" s="3098" t="e">
        <f t="shared" si="0"/>
        <v>#DIV/0!</v>
      </c>
      <c r="U7" s="3099"/>
      <c r="V7" s="3098" t="e">
        <f t="shared" si="1"/>
        <v>#DIV/0!</v>
      </c>
      <c r="W7" s="3103" t="s">
        <v>3305</v>
      </c>
      <c r="X7" s="3104">
        <f>G2</f>
        <v>0</v>
      </c>
      <c r="Y7" s="3104" t="s">
        <v>3306</v>
      </c>
      <c r="Z7" s="3105">
        <f>G3</f>
        <v>4</v>
      </c>
      <c r="AA7" s="3106"/>
      <c r="AB7" s="3106"/>
      <c r="AC7" s="3107"/>
      <c r="AD7" s="3108"/>
      <c r="AE7" s="3108"/>
      <c r="AF7" s="3108"/>
      <c r="AG7" s="3108"/>
      <c r="AH7" s="3108"/>
      <c r="AI7" s="3108"/>
      <c r="AJ7" s="3109"/>
    </row>
    <row r="8" spans="1:36" ht="24">
      <c r="A8" s="3885"/>
      <c r="B8" s="1635" t="s">
        <v>2156</v>
      </c>
      <c r="C8" s="1792" t="s">
        <v>2889</v>
      </c>
      <c r="D8" s="1656" t="s">
        <v>1492</v>
      </c>
      <c r="E8" s="1657">
        <f>ROUND(C11/E7,4)</f>
        <v>0</v>
      </c>
      <c r="F8" s="1658" t="s">
        <v>2157</v>
      </c>
      <c r="G8" s="1659"/>
      <c r="H8" s="1659"/>
      <c r="I8" s="1659"/>
      <c r="J8" s="1660"/>
      <c r="K8" s="2389"/>
      <c r="L8" s="1890" t="s">
        <v>1893</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894" t="s">
        <v>3307</v>
      </c>
      <c r="X8" s="3895"/>
      <c r="Y8" s="3110" t="s">
        <v>327</v>
      </c>
      <c r="Z8" s="3110" t="s">
        <v>328</v>
      </c>
      <c r="AA8" s="3110" t="s">
        <v>323</v>
      </c>
      <c r="AB8" s="3110" t="s">
        <v>324</v>
      </c>
      <c r="AC8" s="3110" t="s">
        <v>325</v>
      </c>
      <c r="AD8" s="3110" t="s">
        <v>326</v>
      </c>
      <c r="AE8" s="3110" t="s">
        <v>1528</v>
      </c>
      <c r="AF8" s="3110" t="s">
        <v>1529</v>
      </c>
      <c r="AG8" s="3110" t="s">
        <v>1530</v>
      </c>
      <c r="AH8" s="3110" t="s">
        <v>1531</v>
      </c>
      <c r="AI8" s="3110" t="s">
        <v>1532</v>
      </c>
      <c r="AJ8" s="3110" t="s">
        <v>1533</v>
      </c>
    </row>
    <row r="9" spans="1:36" ht="15">
      <c r="A9" s="3885"/>
      <c r="B9" s="1635" t="s">
        <v>2158</v>
      </c>
      <c r="C9" s="1661">
        <f>SUMIF(修正!C59:C119,C8,修正!E59:E119)</f>
        <v>0</v>
      </c>
      <c r="D9" s="535" t="s">
        <v>1493</v>
      </c>
      <c r="E9" s="535">
        <f>ROUND(C11/E7,4)</f>
        <v>0</v>
      </c>
      <c r="F9" s="1658" t="s">
        <v>2159</v>
      </c>
      <c r="G9" s="1659"/>
      <c r="H9" s="1659"/>
      <c r="I9" s="1659"/>
      <c r="J9" s="1660"/>
      <c r="K9" s="2389"/>
      <c r="L9" s="1890" t="s">
        <v>1895</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896" t="s">
        <v>3308</v>
      </c>
      <c r="X9" s="3111" t="s">
        <v>2115</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885"/>
      <c r="B10" s="1635" t="s">
        <v>2160</v>
      </c>
      <c r="C10" s="535">
        <f>SUMIF(修正!C59:C119,C8,修正!F59:F119)</f>
        <v>0</v>
      </c>
      <c r="D10" s="535" t="s">
        <v>1494</v>
      </c>
      <c r="E10" s="535">
        <f>ROUND(C11/E7,4)</f>
        <v>0</v>
      </c>
      <c r="F10" s="1658" t="s">
        <v>2161</v>
      </c>
      <c r="G10" s="1659"/>
      <c r="H10" s="1659"/>
      <c r="I10" s="1659"/>
      <c r="J10" s="1660"/>
      <c r="K10" s="2389"/>
      <c r="L10" s="1890" t="s">
        <v>1899</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896"/>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885"/>
      <c r="B11" s="1662" t="s">
        <v>2162</v>
      </c>
      <c r="C11" s="1663">
        <f>C10/4</f>
        <v>0</v>
      </c>
      <c r="D11" s="1663" t="s">
        <v>1495</v>
      </c>
      <c r="E11" s="1663">
        <f>ROUND(C11/E7,4)</f>
        <v>0</v>
      </c>
      <c r="F11" s="1664" t="s">
        <v>2163</v>
      </c>
      <c r="G11" s="1665"/>
      <c r="H11" s="1665"/>
      <c r="I11" s="1665"/>
      <c r="J11" s="1666"/>
      <c r="K11" s="2389"/>
      <c r="L11" s="1890" t="s">
        <v>2304</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896" t="s">
        <v>3309</v>
      </c>
      <c r="X11" s="3115" t="s">
        <v>3306</v>
      </c>
      <c r="Y11" s="3116">
        <f>$G$3</f>
        <v>4</v>
      </c>
      <c r="Z11" s="3116">
        <f t="shared" ref="Z11:AJ11" si="3">$G$3</f>
        <v>4</v>
      </c>
      <c r="AA11" s="3116">
        <f t="shared" si="3"/>
        <v>4</v>
      </c>
      <c r="AB11" s="3116">
        <f t="shared" si="3"/>
        <v>4</v>
      </c>
      <c r="AC11" s="3116">
        <f t="shared" si="3"/>
        <v>4</v>
      </c>
      <c r="AD11" s="3116">
        <f t="shared" si="3"/>
        <v>4</v>
      </c>
      <c r="AE11" s="3116">
        <f t="shared" si="3"/>
        <v>4</v>
      </c>
      <c r="AF11" s="3116">
        <f t="shared" si="3"/>
        <v>4</v>
      </c>
      <c r="AG11" s="3116">
        <f t="shared" si="3"/>
        <v>4</v>
      </c>
      <c r="AH11" s="3116">
        <f t="shared" si="3"/>
        <v>4</v>
      </c>
      <c r="AI11" s="3116">
        <f t="shared" si="3"/>
        <v>4</v>
      </c>
      <c r="AJ11" s="3116">
        <f t="shared" si="3"/>
        <v>4</v>
      </c>
    </row>
    <row r="12" spans="1:36" ht="26.25" thickBot="1">
      <c r="A12" s="3884" t="s">
        <v>2302</v>
      </c>
      <c r="B12" s="1667" t="s">
        <v>2164</v>
      </c>
      <c r="C12" s="1651">
        <f>ROUND(C15*D15*E15*F15*G15*H15*I15*J15,4)</f>
        <v>1.32</v>
      </c>
      <c r="D12" s="1668" t="s">
        <v>2165</v>
      </c>
      <c r="E12" s="1669"/>
      <c r="F12" s="1669"/>
      <c r="G12" s="1670"/>
      <c r="H12" s="1670"/>
      <c r="I12" s="1670"/>
      <c r="J12" s="1671"/>
      <c r="K12" s="2389"/>
      <c r="L12" s="1891" t="s">
        <v>2305</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896"/>
      <c r="X12" s="3117" t="s">
        <v>2118</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901"/>
      <c r="B13" s="1672" t="s">
        <v>2166</v>
      </c>
      <c r="C13" s="1673" t="s">
        <v>2167</v>
      </c>
      <c r="D13" s="1674" t="s">
        <v>2168</v>
      </c>
      <c r="E13" s="1674" t="s">
        <v>2169</v>
      </c>
      <c r="F13" s="81" t="s">
        <v>1496</v>
      </c>
      <c r="G13" s="1793" t="s">
        <v>2223</v>
      </c>
      <c r="H13" s="1793" t="s">
        <v>2223</v>
      </c>
      <c r="I13" s="1793" t="s">
        <v>2223</v>
      </c>
      <c r="J13" s="1794" t="s">
        <v>2223</v>
      </c>
      <c r="K13" s="2389"/>
      <c r="L13" s="2389"/>
      <c r="M13" s="2389"/>
      <c r="N13" s="2389"/>
      <c r="O13" s="2389"/>
      <c r="P13" s="2389"/>
      <c r="Q13" s="2389"/>
      <c r="R13" s="3098">
        <v>12</v>
      </c>
      <c r="S13" s="3099">
        <v>0.64200000000000002</v>
      </c>
      <c r="T13" s="3098" t="e">
        <f t="shared" si="0"/>
        <v>#DIV/0!</v>
      </c>
      <c r="U13" s="3099"/>
      <c r="V13" s="3098" t="e">
        <f t="shared" si="1"/>
        <v>#DIV/0!</v>
      </c>
      <c r="W13" s="3896"/>
      <c r="X13" s="3117"/>
      <c r="Y13" s="3114">
        <f>(-0.163*(Y12^2)-0.59*Y12+7617)*(10^(-4))/Y11</f>
        <v>0.18928687500000002</v>
      </c>
      <c r="Z13" s="3114">
        <f t="shared" ref="Z13:AJ13" si="5">(-0.163*(Z12^2)-0.59*Z12+7617)*(10^(-4))/Z11</f>
        <v>0.18928687500000002</v>
      </c>
      <c r="AA13" s="3114">
        <f t="shared" si="5"/>
        <v>0.18928687500000002</v>
      </c>
      <c r="AB13" s="3114">
        <f t="shared" si="5"/>
        <v>0.18928687500000002</v>
      </c>
      <c r="AC13" s="3114">
        <f t="shared" si="5"/>
        <v>0.18928687500000002</v>
      </c>
      <c r="AD13" s="3114">
        <f t="shared" si="5"/>
        <v>0.18928687500000002</v>
      </c>
      <c r="AE13" s="3114">
        <f t="shared" si="5"/>
        <v>0.18928687500000002</v>
      </c>
      <c r="AF13" s="3114">
        <f t="shared" si="5"/>
        <v>0.18928687500000002</v>
      </c>
      <c r="AG13" s="3114">
        <f t="shared" si="5"/>
        <v>0.18928687500000002</v>
      </c>
      <c r="AH13" s="3114">
        <f t="shared" si="5"/>
        <v>0.18928687500000002</v>
      </c>
      <c r="AI13" s="3114">
        <f t="shared" si="5"/>
        <v>0.18928687500000002</v>
      </c>
      <c r="AJ13" s="3114">
        <f t="shared" si="5"/>
        <v>0.18928687500000002</v>
      </c>
    </row>
    <row r="14" spans="1:36" ht="15">
      <c r="A14" s="3901"/>
      <c r="B14" s="1675"/>
      <c r="C14" s="1795" t="s">
        <v>239</v>
      </c>
      <c r="D14" s="1491" t="s">
        <v>240</v>
      </c>
      <c r="E14" s="1491" t="s">
        <v>240</v>
      </c>
      <c r="F14" s="1796" t="s">
        <v>1497</v>
      </c>
      <c r="G14" s="1676" t="s">
        <v>2198</v>
      </c>
      <c r="H14" s="1677"/>
      <c r="I14" s="1678"/>
      <c r="J14" s="1679"/>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902"/>
      <c r="B15" s="1680" t="s">
        <v>2170</v>
      </c>
      <c r="C15" s="564">
        <f>IF(C14="有",1.1,1)</f>
        <v>1.1000000000000001</v>
      </c>
      <c r="D15" s="564">
        <f>IF(D14="有",1.1,1)</f>
        <v>1</v>
      </c>
      <c r="E15" s="564">
        <f>IF(E14="有",1.1,1)</f>
        <v>1</v>
      </c>
      <c r="F15" s="564">
        <f>IF(F14="500米范围内",1.2,IF(F14="500-1000米",1.1,1))</f>
        <v>1.2</v>
      </c>
      <c r="G15" s="1797">
        <v>1</v>
      </c>
      <c r="H15" s="1797">
        <v>1</v>
      </c>
      <c r="I15" s="1797">
        <v>1</v>
      </c>
      <c r="J15" s="1798">
        <v>1</v>
      </c>
      <c r="K15" s="2389"/>
      <c r="L15" s="1711" t="s">
        <v>2187</v>
      </c>
      <c r="M15" s="1712" t="s">
        <v>2188</v>
      </c>
      <c r="N15" s="1712" t="s">
        <v>2189</v>
      </c>
      <c r="O15" s="1712" t="s">
        <v>1206</v>
      </c>
      <c r="P15" s="1713" t="s">
        <v>2190</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884" t="s">
        <v>2303</v>
      </c>
      <c r="B16" s="1650" t="s">
        <v>2171</v>
      </c>
      <c r="C16" s="1783" t="e">
        <f>ROUND(SUM(G17:J17)/C17,0)</f>
        <v>#DIV/0!</v>
      </c>
      <c r="D16" s="1681" t="s">
        <v>2172</v>
      </c>
      <c r="E16" s="1799" t="s">
        <v>2175</v>
      </c>
      <c r="F16" s="1800" t="s">
        <v>2226</v>
      </c>
      <c r="G16" s="1801" t="s">
        <v>752</v>
      </c>
      <c r="H16" s="1801" t="s">
        <v>752</v>
      </c>
      <c r="I16" s="1801" t="s">
        <v>752</v>
      </c>
      <c r="J16" s="1802" t="s">
        <v>752</v>
      </c>
      <c r="K16" s="2389"/>
      <c r="L16" s="1717" t="s">
        <v>2192</v>
      </c>
      <c r="M16" s="1661">
        <v>0.25</v>
      </c>
      <c r="N16" s="1661">
        <v>0.2</v>
      </c>
      <c r="O16" s="1661">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885"/>
      <c r="B17" s="1682" t="s">
        <v>2173</v>
      </c>
      <c r="C17" s="1683">
        <f>SUMPRODUCT((修正!A2:A5=E2)*(修正!B1:M1=G2)*(修正!B2:M5))</f>
        <v>0</v>
      </c>
      <c r="D17" s="1684" t="s">
        <v>2174</v>
      </c>
      <c r="E17" s="1754" t="str">
        <f>IF(OR(G2="八级",G2="九级",G2="十级",G2="十一级",G2="十二级"),"五通一平","七通一平")</f>
        <v>七通一平</v>
      </c>
      <c r="F17" s="1685" t="s">
        <v>2176</v>
      </c>
      <c r="G17" s="1683">
        <f>SUMPRODUCT((七通一平=G16)*(修正!B1:M1=G2)*(修正!B6:M14))</f>
        <v>0</v>
      </c>
      <c r="H17" s="1683">
        <f>SUMPRODUCT((七通一平=H16)*(修正!B1:M1=G2)*(修正!B6:M14))</f>
        <v>0</v>
      </c>
      <c r="I17" s="1683">
        <f>SUMPRODUCT((七通一平=I16)*(修正!B1:M1=G2)*(修正!B6:M14))</f>
        <v>0</v>
      </c>
      <c r="J17" s="1686">
        <f>SUMPRODUCT((七通一平=J16)*(修正!B1:M1=G2)*(修正!B6:M14))</f>
        <v>0</v>
      </c>
      <c r="K17" s="2389"/>
      <c r="L17" s="1724" t="s">
        <v>2181</v>
      </c>
      <c r="M17" s="546">
        <f>ROUND($E$20*(1+M16),3)</f>
        <v>5.3999999999999999E-2</v>
      </c>
      <c r="N17" s="546">
        <f>ROUND($E$20*(1+N16),3)</f>
        <v>5.1999999999999998E-2</v>
      </c>
      <c r="O17" s="546">
        <f>ROUND($E$20*(1+O16),3)</f>
        <v>0.05</v>
      </c>
      <c r="P17" s="2752">
        <f>ROUND($E$20*(1+P16),3)</f>
        <v>4.8000000000000001E-2</v>
      </c>
      <c r="Q17" s="2749"/>
      <c r="R17" s="2749"/>
      <c r="S17" s="2749"/>
      <c r="T17" s="2749"/>
      <c r="U17" s="2749"/>
      <c r="V17" s="2749"/>
      <c r="W17" s="2749"/>
      <c r="X17" s="2749"/>
      <c r="Y17" s="2749"/>
      <c r="Z17" s="2750"/>
      <c r="AA17" s="2751"/>
      <c r="AB17" s="2751"/>
      <c r="AC17" s="2751"/>
      <c r="AD17" s="2751"/>
      <c r="AE17" s="1628"/>
      <c r="AF17" s="1628"/>
      <c r="AG17" s="1631"/>
      <c r="AH17" s="1631"/>
      <c r="AI17" s="1631"/>
      <c r="AJ17" s="1631"/>
    </row>
    <row r="18" spans="1:37" s="1643" customFormat="1" ht="15.75" thickBot="1">
      <c r="A18" s="1884" t="s">
        <v>2295</v>
      </c>
      <c r="B18" s="1687" t="s">
        <v>2177</v>
      </c>
      <c r="C18" s="1688">
        <f>SUMIF(修正!C18:C39,E3,修正!E18:E39)</f>
        <v>1.1000000000000001</v>
      </c>
      <c r="D18" s="1689"/>
      <c r="E18" s="1690"/>
      <c r="F18" s="1691"/>
      <c r="G18" s="1692"/>
      <c r="H18" s="1692"/>
      <c r="I18" s="1692"/>
      <c r="J18" s="1693"/>
      <c r="K18" s="2396"/>
      <c r="O18" s="2754"/>
      <c r="P18" s="2754"/>
      <c r="Q18" s="2755"/>
      <c r="R18" s="2755"/>
      <c r="S18" s="2755"/>
      <c r="T18" s="2750"/>
      <c r="U18" s="2750"/>
      <c r="V18" s="2750"/>
      <c r="W18" s="2749"/>
      <c r="X18" s="2749"/>
      <c r="Y18" s="2749"/>
      <c r="Z18" s="2756"/>
      <c r="AA18" s="2757"/>
      <c r="AB18" s="2757"/>
      <c r="AC18" s="2757"/>
      <c r="AD18" s="2757"/>
      <c r="AE18" s="1629"/>
      <c r="AF18" s="1629"/>
      <c r="AG18" s="1630"/>
      <c r="AH18" s="1630"/>
      <c r="AI18" s="1630"/>
    </row>
    <row r="19" spans="1:37" s="1643" customFormat="1" ht="27.75" thickBot="1">
      <c r="A19" s="1884" t="s">
        <v>2296</v>
      </c>
      <c r="B19" s="1687" t="s">
        <v>2178</v>
      </c>
      <c r="C19" s="1696">
        <f>ROUND(IF(H19="按公示增长率计算",SUMPRODUCT((地价!A3:A19=YEAR(G19)&amp;"-"&amp;ROUNDUP(MONTH(G19)/3,0))*(地价!X2:AB2=E2)*(地价!X3:AB19)),IF(H19="地价指数",M20/M19,(1+I19)^O19)),4)</f>
        <v>1.2132000000000001</v>
      </c>
      <c r="D19" s="1697" t="s">
        <v>1498</v>
      </c>
      <c r="E19" s="1698">
        <v>41640</v>
      </c>
      <c r="F19" s="1697" t="s">
        <v>1499</v>
      </c>
      <c r="G19" s="1699">
        <f>'数据-取费表'!B2</f>
        <v>42906</v>
      </c>
      <c r="H19" s="3040" t="s">
        <v>3371</v>
      </c>
      <c r="I19" s="1700" t="str">
        <f>IF(H19="季度增幅（自定义）",SUMIF(N21:N24,E2,O21:O24),"")</f>
        <v/>
      </c>
      <c r="J19" s="1693"/>
      <c r="K19" s="2396"/>
      <c r="L19" s="3268" t="s">
        <v>3369</v>
      </c>
      <c r="M19" s="3270">
        <f>ROUND(SUMIF(地价!B2:F2,E2,地价!B19:F19),0)</f>
        <v>258</v>
      </c>
      <c r="N19" s="3266" t="s">
        <v>2225</v>
      </c>
      <c r="O19" s="1701">
        <f>ROUNDDOWN(DATEDIF(E19,G19,"M")/3,0)</f>
        <v>13</v>
      </c>
      <c r="P19" s="2753"/>
      <c r="Q19" s="2755"/>
      <c r="R19" s="2755"/>
      <c r="S19" s="2755"/>
      <c r="T19" s="2750"/>
      <c r="U19" s="2750"/>
      <c r="V19" s="2750"/>
      <c r="W19" s="2749"/>
      <c r="X19" s="2749"/>
      <c r="Y19" s="2749"/>
      <c r="Z19" s="2756"/>
      <c r="AA19" s="2757"/>
      <c r="AB19" s="2757"/>
      <c r="AC19" s="2757"/>
      <c r="AD19" s="2757"/>
      <c r="AE19" s="1694"/>
      <c r="AF19" s="1695"/>
      <c r="AG19" s="1702"/>
      <c r="AH19" s="1630"/>
      <c r="AI19" s="1642"/>
      <c r="AJ19" s="1642"/>
      <c r="AK19" s="1642"/>
    </row>
    <row r="20" spans="1:37" s="1643" customFormat="1" ht="27.75" thickBot="1">
      <c r="A20" s="1885" t="s">
        <v>2297</v>
      </c>
      <c r="B20" s="1756" t="s">
        <v>2179</v>
      </c>
      <c r="C20" s="1703" t="e">
        <f>ROUND(POWER(1+G20,J20-I20)*(POWER(1+G20,I20)-1)/(POWER(1+G20,J20)-1),4)</f>
        <v>#DIV/0!</v>
      </c>
      <c r="D20" s="1757" t="s">
        <v>2180</v>
      </c>
      <c r="E20" s="2615">
        <v>4.3499999999999997E-2</v>
      </c>
      <c r="F20" s="1757" t="s">
        <v>2181</v>
      </c>
      <c r="G20" s="1758">
        <f>SUMIF(M15:P15,E2,M17:P17)</f>
        <v>5.1999999999999998E-2</v>
      </c>
      <c r="H20" s="1757" t="s">
        <v>2182</v>
      </c>
      <c r="I20" s="1759" t="e">
        <f>SUMIF('数据-取费表'!C6:C15,E2,'数据-取费表'!F6:F15)/COUNTIF('数据-取费表'!C6:C15,E2)</f>
        <v>#DIV/0!</v>
      </c>
      <c r="J20" s="1760">
        <f>IF(E2="住宅",70,IF(E2="商业",40,50))</f>
        <v>50</v>
      </c>
      <c r="K20" s="2396"/>
      <c r="L20" s="3269" t="s">
        <v>3370</v>
      </c>
      <c r="M20" s="3271">
        <f>ROUND(SUMPRODUCT((地价!A4:A19=YEAR(G19)&amp;"-"&amp;ROUNDUP(MONTH(G19)/3,0))*(地价!B2:F2=E2)*(地价!B4:F19)),0)</f>
        <v>313</v>
      </c>
      <c r="N20" s="3267" t="s">
        <v>3192</v>
      </c>
      <c r="O20" s="3041" t="s">
        <v>3193</v>
      </c>
      <c r="P20" s="3042" t="s">
        <v>3202</v>
      </c>
      <c r="R20" s="2755"/>
      <c r="S20" s="2755"/>
      <c r="T20" s="2750"/>
      <c r="U20" s="2750"/>
      <c r="V20" s="2750"/>
      <c r="W20" s="2749"/>
      <c r="X20" s="2749"/>
      <c r="Y20" s="2749"/>
      <c r="Z20" s="2756"/>
      <c r="AA20" s="2757"/>
      <c r="AB20" s="2757"/>
      <c r="AC20" s="2757"/>
      <c r="AD20" s="2757"/>
      <c r="AE20" s="1694"/>
      <c r="AF20" s="1694"/>
    </row>
    <row r="21" spans="1:37" s="1643" customFormat="1" ht="14.25">
      <c r="A21" s="1886" t="s">
        <v>2298</v>
      </c>
      <c r="B21" s="1803" t="s">
        <v>2890</v>
      </c>
      <c r="C21" s="1761">
        <f>IF(B21="容积率修正",IF(G3&lt;=10,D22,J22),C23)</f>
        <v>0</v>
      </c>
      <c r="D21" s="1762"/>
      <c r="E21" s="1762"/>
      <c r="F21" s="1762"/>
      <c r="G21" s="1762"/>
      <c r="H21" s="1762"/>
      <c r="I21" s="1762"/>
      <c r="J21" s="1763"/>
      <c r="K21" s="2396"/>
      <c r="N21" s="3043" t="s">
        <v>3194</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4"/>
      <c r="AF21" s="1694"/>
    </row>
    <row r="22" spans="1:37" s="1643" customFormat="1" ht="14.25">
      <c r="A22" s="190" t="s">
        <v>2301</v>
      </c>
      <c r="B22" s="1705" t="s">
        <v>2183</v>
      </c>
      <c r="C22" s="1784" t="s">
        <v>2196</v>
      </c>
      <c r="D22" s="1784">
        <f>IF(E22=G22,F22,IF(G3&lt;=10,ROUND(F22+(H22-F22)*(G3-E22)/(G22-E22),4),"——"))</f>
        <v>0</v>
      </c>
      <c r="E22" s="1634">
        <f>ROUNDDOWN(G3,1)</f>
        <v>4</v>
      </c>
      <c r="F22" s="17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4">
        <f>ROUNDUP(G3,1)</f>
        <v>4</v>
      </c>
      <c r="H22" s="17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4" t="s">
        <v>1512</v>
      </c>
      <c r="J22" s="1764" t="str">
        <f>IF(G3&gt;10,D113,"——")</f>
        <v>——</v>
      </c>
      <c r="K22" s="2396"/>
      <c r="N22" s="3043" t="s">
        <v>3195</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4"/>
      <c r="AF22" s="1694"/>
    </row>
    <row r="23" spans="1:37" ht="27.75" thickBot="1">
      <c r="A23" s="190" t="s">
        <v>2302</v>
      </c>
      <c r="B23" s="1876" t="s">
        <v>2184</v>
      </c>
      <c r="C23" s="1877">
        <f>ROUND(IF(G3&gt;1,IF(I3&lt;7,SUMPRODUCT((B93:B98=I3)*(C92:N92=G2)*(C93:N98)),SUMIF(C92:N92,G2,C100:N100)),IF(I3&lt;7,SUMPRODUCT((B102:B107=I3)*(C92:N92=G2)*(C102:N107)),SUMIF(C92:N92,G2,C109:N109))),4)</f>
        <v>0</v>
      </c>
      <c r="D23" s="1677"/>
      <c r="E23" s="1677"/>
      <c r="F23" s="1706"/>
      <c r="G23" s="1707"/>
      <c r="H23" s="1878"/>
      <c r="I23" s="1879"/>
      <c r="J23" s="1880"/>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0"/>
    </row>
    <row r="24" spans="1:37" s="1643" customFormat="1" ht="15.75" thickBot="1">
      <c r="A24" s="1885" t="s">
        <v>2299</v>
      </c>
      <c r="B24" s="1687" t="s">
        <v>2185</v>
      </c>
      <c r="C24" s="1696">
        <f>SUMIF(A45:A88,E2,B45:B88)</f>
        <v>1</v>
      </c>
      <c r="D24" s="1691"/>
      <c r="E24" s="1881"/>
      <c r="F24" s="1881"/>
      <c r="G24" s="1881"/>
      <c r="H24" s="1881"/>
      <c r="I24" s="1881"/>
      <c r="J24" s="1882"/>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4"/>
      <c r="AF24" s="1694"/>
    </row>
    <row r="25" spans="1:37" ht="15" thickBot="1">
      <c r="A25" s="1885" t="s">
        <v>2300</v>
      </c>
      <c r="B25" s="1708" t="s">
        <v>2186</v>
      </c>
      <c r="C25" s="1709"/>
      <c r="D25" s="1654"/>
      <c r="E25" s="1654"/>
      <c r="F25" s="1710"/>
      <c r="G25" s="1654"/>
      <c r="H25" s="1654"/>
      <c r="I25" s="1654"/>
      <c r="J25" s="1655"/>
      <c r="K25" s="2389"/>
      <c r="N25" s="3050" t="s">
        <v>3196</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88"/>
      <c r="B26" s="1705" t="s">
        <v>2218</v>
      </c>
      <c r="C26" s="541" t="e">
        <f>E29+SUM(E33:E39)</f>
        <v>#DIV/0!</v>
      </c>
      <c r="D26" s="1714"/>
      <c r="E26" s="1677"/>
      <c r="F26" s="1715"/>
      <c r="G26" s="1677"/>
      <c r="H26" s="1677"/>
      <c r="I26" s="1677"/>
      <c r="J26" s="1716"/>
      <c r="K26" s="2389"/>
      <c r="R26" s="2755"/>
      <c r="S26" s="2755"/>
      <c r="T26" s="2750"/>
      <c r="U26" s="2750"/>
      <c r="V26" s="2750"/>
      <c r="W26" s="2749"/>
      <c r="X26" s="2749"/>
      <c r="Y26" s="2749"/>
      <c r="Z26" s="2756"/>
      <c r="AA26" s="2757"/>
      <c r="AB26" s="2757"/>
      <c r="AC26" s="2757"/>
      <c r="AD26" s="2757"/>
    </row>
    <row r="27" spans="1:37" ht="15" thickBot="1">
      <c r="A27" s="1888"/>
      <c r="B27" s="1718" t="s">
        <v>2219</v>
      </c>
      <c r="C27" s="1719" t="e">
        <f>E30+SUM(I33:I39)</f>
        <v>#DIV/0!</v>
      </c>
      <c r="D27" s="1720"/>
      <c r="E27" s="1721"/>
      <c r="F27" s="1722"/>
      <c r="G27" s="1721"/>
      <c r="H27" s="1721"/>
      <c r="I27" s="1721"/>
      <c r="J27" s="1723"/>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5"/>
      <c r="B28" s="1725" t="s">
        <v>2217</v>
      </c>
      <c r="C28" s="1726" t="s">
        <v>2191</v>
      </c>
      <c r="D28" s="1726" t="s">
        <v>2208</v>
      </c>
      <c r="E28" s="1727" t="s">
        <v>2209</v>
      </c>
      <c r="F28" s="1728"/>
      <c r="G28" s="1670"/>
      <c r="H28" s="1670"/>
      <c r="I28" s="1670"/>
      <c r="J28" s="1671"/>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24">
      <c r="A29" s="1785"/>
      <c r="B29" s="1729" t="s">
        <v>2212</v>
      </c>
      <c r="C29" s="541" t="e">
        <f>ROUND(C5*C18*C19*C20*C21*C24,0)</f>
        <v>#DIV/0!</v>
      </c>
      <c r="D29" s="1752"/>
      <c r="E29" s="1786" t="e">
        <f>ROUND(C29*D29/10000,0)</f>
        <v>#DIV/0!</v>
      </c>
      <c r="F29" s="1730" t="s">
        <v>2193</v>
      </c>
      <c r="G29" s="1731"/>
      <c r="H29" s="1731"/>
      <c r="I29" s="1731"/>
      <c r="J29" s="1732"/>
      <c r="K29" s="2389"/>
      <c r="L29" s="2389"/>
      <c r="M29" s="2389"/>
      <c r="N29" s="2389"/>
      <c r="O29" s="2754"/>
      <c r="P29" s="2754"/>
      <c r="Q29" s="2755"/>
      <c r="R29" s="2755"/>
      <c r="S29" s="2755"/>
      <c r="T29" s="2750"/>
      <c r="U29" s="2750"/>
      <c r="V29" s="2750"/>
      <c r="W29" s="2749"/>
      <c r="X29" s="2749"/>
      <c r="Y29" s="2749"/>
      <c r="Z29" s="2756"/>
      <c r="AA29" s="2757"/>
      <c r="AB29" s="2757"/>
      <c r="AC29" s="2757"/>
      <c r="AD29" s="2757"/>
      <c r="AE29" s="1628"/>
      <c r="AF29" s="1628"/>
      <c r="AG29" s="1631"/>
      <c r="AH29" s="1631"/>
      <c r="AI29" s="1631"/>
      <c r="AJ29" s="1631"/>
    </row>
    <row r="30" spans="1:37" ht="24.75" thickBot="1">
      <c r="A30" s="1733"/>
      <c r="B30" s="1734" t="s">
        <v>2213</v>
      </c>
      <c r="C30" s="564" t="e">
        <f>ROUND(IF(E2="工业",C29*M39,C29*M38),0)</f>
        <v>#DIV/0!</v>
      </c>
      <c r="D30" s="1753"/>
      <c r="E30" s="1786" t="e">
        <f>ROUND(C30*D30/10000,0)</f>
        <v>#DIV/0!</v>
      </c>
      <c r="F30" s="1735" t="s">
        <v>2210</v>
      </c>
      <c r="G30" s="1736"/>
      <c r="H30" s="1736"/>
      <c r="I30" s="1736"/>
      <c r="J30" s="1737"/>
      <c r="K30" s="2389"/>
      <c r="L30" s="2389"/>
      <c r="M30" s="2389"/>
      <c r="N30" s="2389"/>
      <c r="O30" s="2754"/>
      <c r="P30" s="2754"/>
      <c r="Q30" s="2755"/>
      <c r="R30" s="2755"/>
      <c r="S30" s="2755"/>
      <c r="T30" s="2750"/>
      <c r="U30" s="2750"/>
      <c r="V30" s="2750"/>
      <c r="W30" s="2749"/>
      <c r="X30" s="2749"/>
      <c r="Y30" s="2749"/>
      <c r="Z30" s="2756"/>
      <c r="AA30" s="2757"/>
      <c r="AB30" s="2757"/>
      <c r="AC30" s="2757"/>
      <c r="AD30" s="2757"/>
      <c r="AE30" s="1628"/>
      <c r="AF30" s="1628"/>
      <c r="AG30" s="1631"/>
      <c r="AH30" s="1631"/>
      <c r="AI30" s="1631"/>
      <c r="AJ30" s="1631"/>
    </row>
    <row r="31" spans="1:37" ht="14.25">
      <c r="A31" s="1738"/>
      <c r="B31" s="1739" t="s">
        <v>2214</v>
      </c>
      <c r="C31" s="1740" t="s">
        <v>2215</v>
      </c>
      <c r="D31" s="1670"/>
      <c r="E31" s="1740"/>
      <c r="F31" s="1740"/>
      <c r="G31" s="1668" t="s">
        <v>2216</v>
      </c>
      <c r="H31" s="1670"/>
      <c r="I31" s="1741"/>
      <c r="J31" s="1671"/>
      <c r="K31" s="2389"/>
      <c r="L31" s="2389"/>
      <c r="M31" s="2389"/>
      <c r="N31" s="2389"/>
      <c r="O31" s="2754"/>
      <c r="P31" s="2754"/>
      <c r="Q31" s="2755"/>
      <c r="R31" s="2755"/>
      <c r="S31" s="2755"/>
      <c r="T31" s="2750"/>
      <c r="U31" s="2750"/>
      <c r="V31" s="2750"/>
      <c r="W31" s="2749"/>
      <c r="X31" s="2749"/>
      <c r="Y31" s="2749"/>
      <c r="Z31" s="2756"/>
      <c r="AA31" s="2757"/>
      <c r="AB31" s="2757"/>
      <c r="AC31" s="2757"/>
      <c r="AD31" s="2757"/>
      <c r="AE31" s="1628"/>
      <c r="AF31" s="1628"/>
      <c r="AG31" s="1631"/>
      <c r="AH31" s="1631"/>
      <c r="AI31" s="1631"/>
      <c r="AJ31" s="1631"/>
    </row>
    <row r="32" spans="1:37" ht="24">
      <c r="A32" s="1785"/>
      <c r="B32" s="1742"/>
      <c r="C32" s="171" t="s">
        <v>2191</v>
      </c>
      <c r="D32" s="168" t="s">
        <v>2208</v>
      </c>
      <c r="E32" s="168" t="s">
        <v>2209</v>
      </c>
      <c r="F32" s="1743" t="s">
        <v>2195</v>
      </c>
      <c r="G32" s="1704" t="s">
        <v>2191</v>
      </c>
      <c r="H32" s="1704" t="s">
        <v>2208</v>
      </c>
      <c r="I32" s="1704" t="s">
        <v>2209</v>
      </c>
      <c r="J32" s="1744"/>
      <c r="K32" s="2389"/>
      <c r="L32" s="2389"/>
      <c r="M32" s="2389"/>
      <c r="N32" s="2389"/>
      <c r="O32" s="2754"/>
      <c r="P32" s="2754"/>
      <c r="Q32" s="2755"/>
      <c r="R32" s="2755"/>
      <c r="S32" s="2755"/>
      <c r="T32" s="2750"/>
      <c r="U32" s="2750"/>
      <c r="V32" s="2750"/>
      <c r="W32" s="2749"/>
      <c r="X32" s="2749"/>
      <c r="Y32" s="2749"/>
      <c r="Z32" s="2756"/>
      <c r="AA32" s="2757"/>
      <c r="AB32" s="2757"/>
      <c r="AC32" s="2757"/>
      <c r="AD32" s="2757"/>
      <c r="AE32" s="1628"/>
      <c r="AF32" s="1628"/>
      <c r="AG32" s="1631"/>
      <c r="AH32" s="1631"/>
      <c r="AI32" s="1631"/>
      <c r="AJ32" s="1631"/>
    </row>
    <row r="33" spans="1:37" ht="14.25">
      <c r="A33" s="1745"/>
      <c r="B33" s="1746" t="s">
        <v>1514</v>
      </c>
      <c r="C33" s="541" t="e">
        <f>ROUND(C5*C19*C20*C24*F33,0)</f>
        <v>#DIV/0!</v>
      </c>
      <c r="D33" s="1752"/>
      <c r="E33" s="535" t="e">
        <f>ROUND(C33*D33/10000,0)</f>
        <v>#DIV/0!</v>
      </c>
      <c r="F33" s="535">
        <f>SUMIF(修正!A45:A56,G2,修正!B45:B56)</f>
        <v>0</v>
      </c>
      <c r="G33" s="535" t="e">
        <f t="shared" ref="G33:G39" si="6">ROUND(IF(E2="工业",C33*$M$39,C33*$M$38),0)</f>
        <v>#DIV/0!</v>
      </c>
      <c r="H33" s="535">
        <f>D33</f>
        <v>0</v>
      </c>
      <c r="I33" s="535" t="e">
        <f>ROUND(G33*H33/10000,0)</f>
        <v>#DIV/0!</v>
      </c>
      <c r="J33" s="1747"/>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5"/>
      <c r="B34" s="1673" t="s">
        <v>1515</v>
      </c>
      <c r="C34" s="541" t="e">
        <f>ROUND(C5*C19*C20*C24*F34,0)</f>
        <v>#DIV/0!</v>
      </c>
      <c r="D34" s="1752"/>
      <c r="E34" s="535" t="e">
        <f t="shared" ref="E34:E39" si="7">ROUND(C34*D34/10000,0)</f>
        <v>#DIV/0!</v>
      </c>
      <c r="F34" s="535">
        <f>SUMIF(修正!A45:A56,G2,修正!C45:C56)</f>
        <v>0</v>
      </c>
      <c r="G34" s="535" t="e">
        <f t="shared" si="6"/>
        <v>#DIV/0!</v>
      </c>
      <c r="H34" s="535">
        <f t="shared" ref="H34:H39" si="8">D34</f>
        <v>0</v>
      </c>
      <c r="I34" s="535" t="e">
        <f t="shared" ref="I34:I39" si="9">ROUND(G34*H34/10000,0)</f>
        <v>#DIV/0!</v>
      </c>
      <c r="J34" s="1747"/>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5"/>
      <c r="B35" s="1673" t="s">
        <v>1516</v>
      </c>
      <c r="C35" s="541" t="e">
        <f>ROUND(C5*C19*C20*C24*F35,0)</f>
        <v>#DIV/0!</v>
      </c>
      <c r="D35" s="1752"/>
      <c r="E35" s="535" t="e">
        <f t="shared" si="7"/>
        <v>#DIV/0!</v>
      </c>
      <c r="F35" s="535">
        <f>SUMIF(修正!A45:A56,G2,修正!D45:D56)</f>
        <v>0</v>
      </c>
      <c r="G35" s="535" t="e">
        <f t="shared" si="6"/>
        <v>#DIV/0!</v>
      </c>
      <c r="H35" s="535">
        <f t="shared" si="8"/>
        <v>0</v>
      </c>
      <c r="I35" s="535" t="e">
        <f t="shared" si="9"/>
        <v>#DIV/0!</v>
      </c>
      <c r="J35" s="1747"/>
      <c r="K35" s="2389"/>
      <c r="L35" s="2389"/>
      <c r="M35" s="2389"/>
      <c r="N35" s="2389"/>
      <c r="O35" s="2389"/>
      <c r="P35" s="2389"/>
      <c r="Q35" s="2389"/>
      <c r="R35" s="2389"/>
      <c r="S35" s="2389"/>
      <c r="T35" s="2389"/>
      <c r="U35" s="2389"/>
      <c r="V35" s="2389"/>
      <c r="W35" s="2389"/>
      <c r="X35" s="2389"/>
      <c r="Y35" s="2389"/>
      <c r="Z35" s="2390"/>
    </row>
    <row r="36" spans="1:37" ht="13.5" thickBot="1">
      <c r="A36" s="1745"/>
      <c r="B36" s="1673" t="s">
        <v>1517</v>
      </c>
      <c r="C36" s="541" t="e">
        <f>ROUND(C5*C19*C20*C24*F36,0)</f>
        <v>#DIV/0!</v>
      </c>
      <c r="D36" s="1752"/>
      <c r="E36" s="535" t="e">
        <f t="shared" si="7"/>
        <v>#DIV/0!</v>
      </c>
      <c r="F36" s="535">
        <f>SUMIF(修正!A45:A56,G2,修正!E45:E56)</f>
        <v>0</v>
      </c>
      <c r="G36" s="535" t="e">
        <f t="shared" si="6"/>
        <v>#DIV/0!</v>
      </c>
      <c r="H36" s="535">
        <f t="shared" si="8"/>
        <v>0</v>
      </c>
      <c r="I36" s="535" t="e">
        <f t="shared" si="9"/>
        <v>#DIV/0!</v>
      </c>
      <c r="J36" s="1747"/>
      <c r="K36" s="2389"/>
      <c r="L36" s="2393"/>
      <c r="M36" s="2393"/>
      <c r="N36" s="2389"/>
      <c r="O36" s="2389"/>
      <c r="P36" s="2389"/>
      <c r="Q36" s="2389"/>
      <c r="R36" s="2389"/>
      <c r="S36" s="2389"/>
      <c r="T36" s="2389"/>
      <c r="U36" s="2389"/>
      <c r="V36" s="2389"/>
      <c r="W36" s="2389"/>
      <c r="X36" s="2389"/>
      <c r="Y36" s="2389"/>
      <c r="Z36" s="2390"/>
    </row>
    <row r="37" spans="1:37" ht="12.75">
      <c r="A37" s="1745"/>
      <c r="B37" s="1673" t="s">
        <v>1518</v>
      </c>
      <c r="C37" s="535" t="e">
        <f>ROUND(C5*C19*C20*C24*F37,0)</f>
        <v>#DIV/0!</v>
      </c>
      <c r="D37" s="1752"/>
      <c r="E37" s="535" t="e">
        <f t="shared" si="7"/>
        <v>#DIV/0!</v>
      </c>
      <c r="F37" s="541">
        <f>SUMIF(修正!A45:A56,G2,修正!F45:F56)</f>
        <v>0</v>
      </c>
      <c r="G37" s="535" t="e">
        <f t="shared" si="6"/>
        <v>#DIV/0!</v>
      </c>
      <c r="H37" s="535">
        <f t="shared" si="8"/>
        <v>0</v>
      </c>
      <c r="I37" s="535" t="e">
        <f t="shared" si="9"/>
        <v>#DIV/0!</v>
      </c>
      <c r="J37" s="1747"/>
      <c r="K37" s="2389"/>
      <c r="L37" s="2397" t="s">
        <v>2211</v>
      </c>
      <c r="M37" s="2398"/>
      <c r="N37" s="2389"/>
      <c r="O37" s="2389"/>
      <c r="P37" s="2389"/>
      <c r="Q37" s="2389"/>
      <c r="R37" s="2389"/>
      <c r="S37" s="2389"/>
      <c r="T37" s="2389"/>
      <c r="U37" s="2389"/>
      <c r="V37" s="2389"/>
      <c r="W37" s="2389"/>
      <c r="X37" s="2389"/>
      <c r="Y37" s="2389"/>
      <c r="Z37" s="2390"/>
    </row>
    <row r="38" spans="1:37" ht="12.75">
      <c r="A38" s="1745"/>
      <c r="B38" s="1673" t="s">
        <v>1519</v>
      </c>
      <c r="C38" s="535" t="e">
        <f>ROUND(C5*C19*C20*C24*F38,0)</f>
        <v>#DIV/0!</v>
      </c>
      <c r="D38" s="1752"/>
      <c r="E38" s="535" t="e">
        <f t="shared" si="7"/>
        <v>#DIV/0!</v>
      </c>
      <c r="F38" s="541">
        <f>SUMIF(修正!A45:A56,G2,修正!G45:G56)</f>
        <v>0</v>
      </c>
      <c r="G38" s="535" t="e">
        <f t="shared" si="6"/>
        <v>#DIV/0!</v>
      </c>
      <c r="H38" s="535">
        <f t="shared" si="8"/>
        <v>0</v>
      </c>
      <c r="I38" s="535" t="e">
        <f t="shared" si="9"/>
        <v>#DIV/0!</v>
      </c>
      <c r="J38" s="1747"/>
      <c r="K38" s="2389"/>
      <c r="L38" s="1767" t="s">
        <v>2194</v>
      </c>
      <c r="M38" s="1768">
        <v>0.25</v>
      </c>
      <c r="N38" s="2389"/>
      <c r="O38" s="2389"/>
      <c r="P38" s="2389"/>
      <c r="Q38" s="2389"/>
      <c r="R38" s="2389"/>
      <c r="S38" s="2389"/>
      <c r="T38" s="2389"/>
      <c r="U38" s="2389"/>
      <c r="V38" s="2389"/>
      <c r="W38" s="2389"/>
      <c r="X38" s="2389"/>
      <c r="Y38" s="2389"/>
      <c r="Z38" s="2390"/>
    </row>
    <row r="39" spans="1:37" ht="13.5" thickBot="1">
      <c r="A39" s="1733"/>
      <c r="B39" s="1748" t="s">
        <v>1520</v>
      </c>
      <c r="C39" s="564" t="e">
        <f>ROUND(C5*C19*C20*C24*F39,0)</f>
        <v>#DIV/0!</v>
      </c>
      <c r="D39" s="1753"/>
      <c r="E39" s="564" t="e">
        <f t="shared" si="7"/>
        <v>#DIV/0!</v>
      </c>
      <c r="F39" s="1749">
        <f>SUMIF(修正!A45:A56,G2,修正!H45:H56)</f>
        <v>0</v>
      </c>
      <c r="G39" s="564" t="e">
        <f t="shared" si="6"/>
        <v>#DIV/0!</v>
      </c>
      <c r="H39" s="564">
        <f t="shared" si="8"/>
        <v>0</v>
      </c>
      <c r="I39" s="564" t="e">
        <f t="shared" si="9"/>
        <v>#DIV/0!</v>
      </c>
      <c r="J39" s="1750"/>
      <c r="K39" s="2389"/>
      <c r="L39" s="1769" t="s">
        <v>2190</v>
      </c>
      <c r="M39" s="1770">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2" t="s">
        <v>2129</v>
      </c>
      <c r="B45" s="1493"/>
      <c r="C45" s="1165"/>
      <c r="D45" s="300"/>
      <c r="E45" s="300"/>
      <c r="F45" s="298"/>
      <c r="G45" s="1549"/>
      <c r="H45" s="298"/>
      <c r="I45" s="1494"/>
      <c r="J45" s="1494"/>
      <c r="K45" s="1494"/>
      <c r="L45" s="1494"/>
      <c r="M45" s="1494"/>
      <c r="N45" s="1628"/>
      <c r="Z45" s="2390"/>
      <c r="AA45" s="2390"/>
      <c r="AB45" s="2390"/>
      <c r="AC45" s="2390"/>
      <c r="AD45" s="2390"/>
      <c r="AE45" s="2390"/>
      <c r="AF45" s="2390"/>
      <c r="AG45" s="2390"/>
      <c r="AH45" s="2390"/>
      <c r="AI45" s="2390"/>
      <c r="AJ45" s="2390"/>
    </row>
    <row r="46" spans="1:37" s="2389" customFormat="1" ht="15">
      <c r="A46" s="1495" t="s">
        <v>1</v>
      </c>
      <c r="B46" s="1496">
        <f>1+E48</f>
        <v>1</v>
      </c>
      <c r="C46" s="1497"/>
      <c r="D46" s="1498"/>
      <c r="E46" s="1499"/>
      <c r="F46" s="2142"/>
      <c r="G46" s="298"/>
      <c r="H46" s="1494"/>
      <c r="I46" s="1494"/>
      <c r="J46" s="1494"/>
      <c r="K46" s="1494"/>
      <c r="L46" s="1494"/>
      <c r="M46" s="1494"/>
      <c r="N46" s="1628"/>
      <c r="Z46" s="2390"/>
      <c r="AA46" s="2390"/>
      <c r="AB46" s="2390"/>
      <c r="AC46" s="2390"/>
      <c r="AD46" s="2390"/>
      <c r="AE46" s="2390"/>
      <c r="AF46" s="2390"/>
      <c r="AG46" s="2390"/>
      <c r="AH46" s="2390"/>
      <c r="AI46" s="2390"/>
      <c r="AJ46" s="2390"/>
    </row>
    <row r="47" spans="1:37" s="2389" customFormat="1" ht="24">
      <c r="A47" s="1501" t="s">
        <v>2130</v>
      </c>
      <c r="B47" s="1502" t="s">
        <v>2131</v>
      </c>
      <c r="C47" s="1503" t="s">
        <v>2132</v>
      </c>
      <c r="D47" s="1504" t="s">
        <v>2205</v>
      </c>
      <c r="E47" s="1505" t="s">
        <v>2207</v>
      </c>
      <c r="F47" s="2619" t="s">
        <v>2887</v>
      </c>
      <c r="G47" s="1504" t="s">
        <v>2203</v>
      </c>
      <c r="H47" s="2620" t="s">
        <v>2888</v>
      </c>
      <c r="I47" s="1504" t="s">
        <v>2206</v>
      </c>
      <c r="J47" s="949" t="s">
        <v>599</v>
      </c>
      <c r="K47" s="949" t="s">
        <v>600</v>
      </c>
      <c r="L47" s="949" t="s">
        <v>601</v>
      </c>
      <c r="M47" s="949" t="s">
        <v>602</v>
      </c>
      <c r="N47" s="949" t="s">
        <v>603</v>
      </c>
      <c r="AA47" s="2390"/>
      <c r="AB47" s="2390"/>
      <c r="AC47" s="2390"/>
      <c r="AD47" s="2390"/>
      <c r="AE47" s="2390"/>
      <c r="AF47" s="2390"/>
      <c r="AG47" s="2390"/>
      <c r="AH47" s="2390"/>
      <c r="AI47" s="2390"/>
      <c r="AJ47" s="2390"/>
      <c r="AK47" s="2390"/>
    </row>
    <row r="48" spans="1:37" s="2389" customFormat="1" ht="60">
      <c r="A48" s="1501" t="s">
        <v>2133</v>
      </c>
      <c r="B48" s="1506" t="str">
        <f>估价对象房地状况!C4</f>
        <v>估价对象自身商业用地较多，周边较少，周边仅有平安超市等住宅配套商业，商业规模较小，综合评价商业繁华度较差</v>
      </c>
      <c r="C48" s="1491" t="s">
        <v>122</v>
      </c>
      <c r="D48" s="2618">
        <f t="shared" ref="D48:D56" si="10">SUMIF($J$47:$N$47,C48,J48:N48)</f>
        <v>0</v>
      </c>
      <c r="E48" s="1508">
        <f>ROUND(SUM(D48:D56),4)</f>
        <v>0</v>
      </c>
      <c r="F48" s="1509" t="str">
        <f>IF(E2="商业",SUMIF(L1:L12,G2,N1:N12),"——")</f>
        <v>——</v>
      </c>
      <c r="G48" s="2616"/>
      <c r="H48" s="2634" t="str">
        <f t="shared" ref="H48:H56" si="11">IFERROR(ROUNDDOWN($F$48*I48/2,4),"——")</f>
        <v>——</v>
      </c>
      <c r="I48" s="1507">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84">
      <c r="A49" s="1501" t="s">
        <v>97</v>
      </c>
      <c r="B49" s="1510" t="str">
        <f>估价对象房地状况!C18</f>
        <v>估价对象周边有938、香河1路等公交线路，大香线等城市次干道，公共交通通达情况一般；项目自身有停车位、停车便捷程度一般，综合评价交通便捷度一般</v>
      </c>
      <c r="C49" s="1491" t="s">
        <v>122</v>
      </c>
      <c r="D49" s="2618">
        <f t="shared" si="10"/>
        <v>0</v>
      </c>
      <c r="E49" s="1511"/>
      <c r="F49" s="1509"/>
      <c r="G49" s="2616"/>
      <c r="H49" s="2634" t="str">
        <f t="shared" si="11"/>
        <v>——</v>
      </c>
      <c r="I49" s="1507">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1" t="s">
        <v>128</v>
      </c>
      <c r="B50" s="1510" t="str">
        <f>估价对象房地状况!C19</f>
        <v>零星有其他用地，基本不影响本宗地</v>
      </c>
      <c r="C50" s="1491" t="s">
        <v>122</v>
      </c>
      <c r="D50" s="2618">
        <f t="shared" si="10"/>
        <v>0</v>
      </c>
      <c r="E50" s="1511"/>
      <c r="F50" s="1509"/>
      <c r="G50" s="2616"/>
      <c r="H50" s="2634" t="str">
        <f t="shared" si="11"/>
        <v>——</v>
      </c>
      <c r="I50" s="1507">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1" t="s">
        <v>2134</v>
      </c>
      <c r="B51" s="2610" t="s">
        <v>2884</v>
      </c>
      <c r="C51" s="1491" t="s">
        <v>122</v>
      </c>
      <c r="D51" s="2618">
        <f t="shared" si="10"/>
        <v>0</v>
      </c>
      <c r="E51" s="1511"/>
      <c r="F51" s="1509"/>
      <c r="G51" s="2616"/>
      <c r="H51" s="2634" t="str">
        <f t="shared" si="11"/>
        <v>——</v>
      </c>
      <c r="I51" s="1507">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1" t="s">
        <v>2135</v>
      </c>
      <c r="B52" s="1510" t="str">
        <f>估价对象房地状况!C24</f>
        <v>城市次干道——大香线</v>
      </c>
      <c r="C52" s="1491" t="s">
        <v>122</v>
      </c>
      <c r="D52" s="2618">
        <f t="shared" si="10"/>
        <v>0</v>
      </c>
      <c r="E52" s="1511"/>
      <c r="F52" s="1509"/>
      <c r="G52" s="2616"/>
      <c r="H52" s="2634" t="str">
        <f t="shared" si="11"/>
        <v>——</v>
      </c>
      <c r="I52" s="1507">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1" t="s">
        <v>2136</v>
      </c>
      <c r="B53" s="2611" t="s">
        <v>2885</v>
      </c>
      <c r="C53" s="1491" t="s">
        <v>122</v>
      </c>
      <c r="D53" s="2618">
        <f t="shared" si="10"/>
        <v>0</v>
      </c>
      <c r="E53" s="1511"/>
      <c r="F53" s="1509"/>
      <c r="G53" s="2616"/>
      <c r="H53" s="2634" t="str">
        <f t="shared" si="11"/>
        <v>——</v>
      </c>
      <c r="I53" s="1507">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36">
      <c r="A54" s="1512" t="s">
        <v>2137</v>
      </c>
      <c r="B54" s="2612" t="str">
        <f>估价对象房地状况!C21</f>
        <v>估价对象所在区域公共配套，有银行、医院、邮局等，设施齐备度较好</v>
      </c>
      <c r="C54" s="1491" t="s">
        <v>122</v>
      </c>
      <c r="D54" s="2618">
        <f t="shared" si="10"/>
        <v>0</v>
      </c>
      <c r="E54" s="1511"/>
      <c r="F54" s="1509"/>
      <c r="G54" s="2616"/>
      <c r="H54" s="2634" t="str">
        <f t="shared" si="11"/>
        <v>——</v>
      </c>
      <c r="I54" s="1507">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2" t="s">
        <v>2138</v>
      </c>
      <c r="B55" s="1510" t="str">
        <f>估价对象房地状况!C22</f>
        <v>估价对象所在区域基础设施水平七通一平</v>
      </c>
      <c r="C55" s="1491" t="s">
        <v>122</v>
      </c>
      <c r="D55" s="2618">
        <f t="shared" si="10"/>
        <v>0</v>
      </c>
      <c r="E55" s="1511"/>
      <c r="F55" s="1509"/>
      <c r="G55" s="2616"/>
      <c r="H55" s="2634" t="str">
        <f t="shared" si="11"/>
        <v>——</v>
      </c>
      <c r="I55" s="1507">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48.75" thickBot="1">
      <c r="A56" s="1514" t="s">
        <v>2139</v>
      </c>
      <c r="B56" s="1515" t="str">
        <f>估价对象房地状况!C20</f>
        <v>区域自然环境：无；人文环境：亚太中医哮喘病研究所；综合评价环境状况一般</v>
      </c>
      <c r="C56" s="1491" t="s">
        <v>122</v>
      </c>
      <c r="D56" s="2618">
        <f t="shared" si="10"/>
        <v>0</v>
      </c>
      <c r="E56" s="1517"/>
      <c r="F56" s="1509"/>
      <c r="G56" s="2616"/>
      <c r="H56" s="2634" t="str">
        <f t="shared" si="11"/>
        <v>——</v>
      </c>
      <c r="I56" s="1516">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5" t="s">
        <v>1513</v>
      </c>
      <c r="B57" s="1496">
        <f>1+E59</f>
        <v>1</v>
      </c>
      <c r="C57" s="1518"/>
      <c r="D57" s="1498"/>
      <c r="E57" s="1499"/>
      <c r="F57" s="2142"/>
      <c r="G57" s="298"/>
      <c r="H57" s="298"/>
      <c r="I57" s="298"/>
      <c r="J57" s="1494"/>
      <c r="K57" s="1494"/>
      <c r="L57" s="1494"/>
      <c r="M57" s="1494"/>
      <c r="N57" s="1494"/>
      <c r="AA57" s="2390"/>
      <c r="AB57" s="2390"/>
      <c r="AC57" s="2390"/>
      <c r="AD57" s="2390"/>
      <c r="AE57" s="2390"/>
      <c r="AF57" s="2390"/>
      <c r="AG57" s="2390"/>
      <c r="AH57" s="2390"/>
      <c r="AI57" s="2390"/>
      <c r="AJ57" s="2390"/>
      <c r="AK57" s="2390"/>
    </row>
    <row r="58" spans="1:37" s="2389" customFormat="1" ht="24">
      <c r="A58" s="1501" t="s">
        <v>2130</v>
      </c>
      <c r="B58" s="1502"/>
      <c r="C58" s="1503" t="s">
        <v>2132</v>
      </c>
      <c r="D58" s="1504" t="s">
        <v>2205</v>
      </c>
      <c r="E58" s="1505" t="s">
        <v>2207</v>
      </c>
      <c r="F58" s="2619" t="s">
        <v>2662</v>
      </c>
      <c r="G58" s="1504" t="s">
        <v>2203</v>
      </c>
      <c r="H58" s="2620" t="s">
        <v>2888</v>
      </c>
      <c r="I58" s="1504" t="s">
        <v>2206</v>
      </c>
      <c r="J58" s="949" t="s">
        <v>599</v>
      </c>
      <c r="K58" s="949" t="s">
        <v>600</v>
      </c>
      <c r="L58" s="949" t="s">
        <v>601</v>
      </c>
      <c r="M58" s="949" t="s">
        <v>602</v>
      </c>
      <c r="N58" s="949" t="s">
        <v>603</v>
      </c>
      <c r="AA58" s="2390"/>
      <c r="AB58" s="2390"/>
      <c r="AC58" s="2390"/>
      <c r="AD58" s="2390"/>
      <c r="AE58" s="2390"/>
      <c r="AF58" s="2390"/>
      <c r="AG58" s="2390"/>
      <c r="AH58" s="2390"/>
      <c r="AI58" s="2390"/>
      <c r="AJ58" s="2390"/>
      <c r="AK58" s="2390"/>
    </row>
    <row r="59" spans="1:37" s="2389" customFormat="1" ht="24">
      <c r="A59" s="1501" t="s">
        <v>1377</v>
      </c>
      <c r="B59" s="1506">
        <f>估价对象房地状况!C17</f>
        <v>0</v>
      </c>
      <c r="C59" s="1491" t="s">
        <v>124</v>
      </c>
      <c r="D59" s="2618">
        <f t="shared" ref="D59:D67" si="15">SUMIF($J$58:$N$58,C59,J59:N59)</f>
        <v>0</v>
      </c>
      <c r="E59" s="1508">
        <f>ROUND(SUM(D59:D67),4)</f>
        <v>0</v>
      </c>
      <c r="F59" s="1509">
        <f>IF(E2="办公",SUMIF(L1:L12,G2,N1:N12),"——")</f>
        <v>0</v>
      </c>
      <c r="G59" s="2616"/>
      <c r="H59" s="2634">
        <f t="shared" ref="H59:H67" si="16">IFERROR(ROUNDDOWN($F$59*I59/2,4),"——")</f>
        <v>0</v>
      </c>
      <c r="I59" s="1507">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84">
      <c r="A60" s="1501" t="s">
        <v>97</v>
      </c>
      <c r="B60" s="1510" t="str">
        <f>估价对象房地状况!C18</f>
        <v>估价对象周边有938、香河1路等公交线路，大香线等城市次干道，公共交通通达情况一般；项目自身有停车位、停车便捷程度一般，综合评价交通便捷度一般</v>
      </c>
      <c r="C60" s="1491" t="s">
        <v>124</v>
      </c>
      <c r="D60" s="2618">
        <f t="shared" si="15"/>
        <v>0</v>
      </c>
      <c r="E60" s="1511"/>
      <c r="F60" s="1509"/>
      <c r="G60" s="2616"/>
      <c r="H60" s="2634">
        <f t="shared" si="16"/>
        <v>0</v>
      </c>
      <c r="I60" s="1507">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1" t="s">
        <v>128</v>
      </c>
      <c r="B61" s="1510" t="str">
        <f>估价对象房地状况!C19</f>
        <v>零星有其他用地，基本不影响本宗地</v>
      </c>
      <c r="C61" s="1491" t="s">
        <v>124</v>
      </c>
      <c r="D61" s="2618">
        <f t="shared" si="15"/>
        <v>0</v>
      </c>
      <c r="E61" s="1511"/>
      <c r="F61" s="1509"/>
      <c r="G61" s="2616"/>
      <c r="H61" s="2634">
        <f t="shared" si="16"/>
        <v>0</v>
      </c>
      <c r="I61" s="1507">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1" t="s">
        <v>2134</v>
      </c>
      <c r="B62" s="2610" t="s">
        <v>2884</v>
      </c>
      <c r="C62" s="1491" t="s">
        <v>124</v>
      </c>
      <c r="D62" s="2618">
        <f t="shared" si="15"/>
        <v>0</v>
      </c>
      <c r="E62" s="1511"/>
      <c r="F62" s="1509"/>
      <c r="G62" s="2616"/>
      <c r="H62" s="2634">
        <f t="shared" si="16"/>
        <v>0</v>
      </c>
      <c r="I62" s="1507">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1" t="s">
        <v>2135</v>
      </c>
      <c r="B63" s="1510" t="str">
        <f>估价对象房地状况!C24</f>
        <v>城市次干道——大香线</v>
      </c>
      <c r="C63" s="1491" t="s">
        <v>124</v>
      </c>
      <c r="D63" s="2618">
        <f t="shared" si="15"/>
        <v>0</v>
      </c>
      <c r="E63" s="1511"/>
      <c r="F63" s="1509"/>
      <c r="G63" s="2616"/>
      <c r="H63" s="2634">
        <f t="shared" si="16"/>
        <v>0</v>
      </c>
      <c r="I63" s="1507">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1" t="s">
        <v>2136</v>
      </c>
      <c r="B64" s="2611" t="s">
        <v>2885</v>
      </c>
      <c r="C64" s="1491" t="s">
        <v>124</v>
      </c>
      <c r="D64" s="2618">
        <f t="shared" si="15"/>
        <v>0</v>
      </c>
      <c r="E64" s="1511"/>
      <c r="F64" s="1509"/>
      <c r="G64" s="2616"/>
      <c r="H64" s="2634">
        <f t="shared" si="16"/>
        <v>0</v>
      </c>
      <c r="I64" s="1507">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36">
      <c r="A65" s="1501" t="s">
        <v>2137</v>
      </c>
      <c r="B65" s="2612" t="str">
        <f>估价对象房地状况!C21</f>
        <v>估价对象所在区域公共配套，有银行、医院、邮局等，设施齐备度较好</v>
      </c>
      <c r="C65" s="1491" t="s">
        <v>124</v>
      </c>
      <c r="D65" s="2618">
        <f t="shared" si="15"/>
        <v>0</v>
      </c>
      <c r="E65" s="1511"/>
      <c r="F65" s="1509"/>
      <c r="G65" s="2616"/>
      <c r="H65" s="2634">
        <f t="shared" si="16"/>
        <v>0</v>
      </c>
      <c r="I65" s="1507">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1" t="s">
        <v>2138</v>
      </c>
      <c r="B66" s="2612" t="str">
        <f>估价对象房地状况!C22</f>
        <v>估价对象所在区域基础设施水平七通一平</v>
      </c>
      <c r="C66" s="1491" t="s">
        <v>124</v>
      </c>
      <c r="D66" s="2618">
        <f t="shared" si="15"/>
        <v>0</v>
      </c>
      <c r="E66" s="1511"/>
      <c r="F66" s="1509"/>
      <c r="G66" s="2616"/>
      <c r="H66" s="2634">
        <f t="shared" si="16"/>
        <v>0</v>
      </c>
      <c r="I66" s="1507">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48.75" thickBot="1">
      <c r="A67" s="1514" t="s">
        <v>2139</v>
      </c>
      <c r="B67" s="1519" t="str">
        <f>估价对象房地状况!C20</f>
        <v>区域自然环境：无；人文环境：亚太中医哮喘病研究所；综合评价环境状况一般</v>
      </c>
      <c r="C67" s="1491" t="s">
        <v>124</v>
      </c>
      <c r="D67" s="2618">
        <f t="shared" si="15"/>
        <v>0</v>
      </c>
      <c r="E67" s="1517"/>
      <c r="F67" s="1509"/>
      <c r="G67" s="2616"/>
      <c r="H67" s="2634">
        <f t="shared" si="16"/>
        <v>0</v>
      </c>
      <c r="I67" s="1516">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5" t="s">
        <v>1206</v>
      </c>
      <c r="B68" s="1496">
        <f>1+E70</f>
        <v>1</v>
      </c>
      <c r="C68" s="1518"/>
      <c r="D68" s="1498"/>
      <c r="E68" s="1499"/>
      <c r="F68" s="2142"/>
      <c r="G68" s="298"/>
      <c r="H68" s="298"/>
      <c r="I68" s="298"/>
      <c r="J68" s="1494"/>
      <c r="K68" s="1494"/>
      <c r="L68" s="1494"/>
      <c r="M68" s="1494"/>
      <c r="N68" s="1494"/>
      <c r="AA68" s="2390"/>
      <c r="AB68" s="2390"/>
      <c r="AC68" s="2390"/>
      <c r="AD68" s="2390"/>
      <c r="AE68" s="2390"/>
      <c r="AF68" s="2390"/>
      <c r="AG68" s="2390"/>
      <c r="AH68" s="2390"/>
      <c r="AI68" s="2390"/>
      <c r="AJ68" s="2390"/>
      <c r="AK68" s="2390"/>
    </row>
    <row r="69" spans="1:37" s="2389" customFormat="1" ht="24">
      <c r="A69" s="1501" t="s">
        <v>2130</v>
      </c>
      <c r="B69" s="1502"/>
      <c r="C69" s="1503" t="s">
        <v>2132</v>
      </c>
      <c r="D69" s="1504" t="s">
        <v>2205</v>
      </c>
      <c r="E69" s="1505" t="s">
        <v>2207</v>
      </c>
      <c r="F69" s="2619" t="s">
        <v>2662</v>
      </c>
      <c r="G69" s="1504" t="s">
        <v>2203</v>
      </c>
      <c r="H69" s="2620" t="s">
        <v>2888</v>
      </c>
      <c r="I69" s="1504" t="s">
        <v>2206</v>
      </c>
      <c r="J69" s="949" t="s">
        <v>599</v>
      </c>
      <c r="K69" s="949" t="s">
        <v>600</v>
      </c>
      <c r="L69" s="949" t="s">
        <v>601</v>
      </c>
      <c r="M69" s="949" t="s">
        <v>602</v>
      </c>
      <c r="N69" s="949" t="s">
        <v>603</v>
      </c>
      <c r="AA69" s="2390"/>
      <c r="AB69" s="2390"/>
      <c r="AC69" s="2390"/>
      <c r="AD69" s="2390"/>
      <c r="AE69" s="2390"/>
      <c r="AF69" s="2390"/>
      <c r="AG69" s="2390"/>
      <c r="AH69" s="2390"/>
      <c r="AI69" s="2390"/>
      <c r="AJ69" s="2390"/>
      <c r="AK69" s="2390"/>
    </row>
    <row r="70" spans="1:37" s="2389" customFormat="1" ht="24">
      <c r="A70" s="1501" t="s">
        <v>138</v>
      </c>
      <c r="B70" s="1506">
        <f>估价对象房地状况!C15</f>
        <v>0</v>
      </c>
      <c r="C70" s="1491" t="s">
        <v>122</v>
      </c>
      <c r="D70" s="2618">
        <f t="shared" ref="D70:D78" si="20">SUMIF($J$69:$N$69,C70,J70:N70)</f>
        <v>0</v>
      </c>
      <c r="E70" s="1508">
        <f>ROUND(SUM(D70:D78),4)</f>
        <v>0</v>
      </c>
      <c r="F70" s="1509" t="str">
        <f>IF(E2="住宅",SUMIF(L1:L12,G2,N1:N12),"——")</f>
        <v>——</v>
      </c>
      <c r="G70" s="2616"/>
      <c r="H70" s="2634" t="str">
        <f t="shared" ref="H70:H78" si="21">IFERROR(ROUNDDOWN($F$70*I70/2,4),"——")</f>
        <v>——</v>
      </c>
      <c r="I70" s="1507">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84">
      <c r="A71" s="1501" t="s">
        <v>97</v>
      </c>
      <c r="B71" s="1510" t="str">
        <f>估价对象房地状况!C18</f>
        <v>估价对象周边有938、香河1路等公交线路，大香线等城市次干道，公共交通通达情况一般；项目自身有停车位、停车便捷程度一般，综合评价交通便捷度一般</v>
      </c>
      <c r="C71" s="1491" t="s">
        <v>122</v>
      </c>
      <c r="D71" s="2618">
        <f t="shared" si="20"/>
        <v>0</v>
      </c>
      <c r="E71" s="1520"/>
      <c r="F71" s="1509"/>
      <c r="G71" s="2616"/>
      <c r="H71" s="2634" t="str">
        <f t="shared" si="21"/>
        <v>——</v>
      </c>
      <c r="I71" s="1507">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1" t="s">
        <v>128</v>
      </c>
      <c r="B72" s="1510" t="str">
        <f>估价对象房地状况!C19</f>
        <v>零星有其他用地，基本不影响本宗地</v>
      </c>
      <c r="C72" s="1491" t="s">
        <v>122</v>
      </c>
      <c r="D72" s="2618">
        <f t="shared" si="20"/>
        <v>0</v>
      </c>
      <c r="E72" s="1520"/>
      <c r="F72" s="1509"/>
      <c r="G72" s="2616"/>
      <c r="H72" s="2634" t="str">
        <f t="shared" si="21"/>
        <v>——</v>
      </c>
      <c r="I72" s="1507">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1" t="s">
        <v>2140</v>
      </c>
      <c r="B73" s="1510" t="str">
        <f>估价对象房地状况!C24</f>
        <v>城市次干道——大香线</v>
      </c>
      <c r="C73" s="1491" t="s">
        <v>122</v>
      </c>
      <c r="D73" s="2618">
        <f t="shared" si="20"/>
        <v>0</v>
      </c>
      <c r="E73" s="1520"/>
      <c r="F73" s="1509"/>
      <c r="G73" s="2616"/>
      <c r="H73" s="2634" t="str">
        <f t="shared" si="21"/>
        <v>——</v>
      </c>
      <c r="I73" s="1507">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36">
      <c r="A74" s="1501" t="s">
        <v>2137</v>
      </c>
      <c r="B74" s="2612" t="str">
        <f>估价对象房地状况!C21</f>
        <v>估价对象所在区域公共配套，有银行、医院、邮局等，设施齐备度较好</v>
      </c>
      <c r="C74" s="1491" t="s">
        <v>122</v>
      </c>
      <c r="D74" s="2618">
        <f t="shared" si="20"/>
        <v>0</v>
      </c>
      <c r="E74" s="1520"/>
      <c r="F74" s="1509"/>
      <c r="G74" s="2616"/>
      <c r="H74" s="2634" t="str">
        <f t="shared" si="21"/>
        <v>——</v>
      </c>
      <c r="I74" s="1507">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1" t="s">
        <v>2138</v>
      </c>
      <c r="B75" s="2612" t="str">
        <f>估价对象房地状况!C22</f>
        <v>估价对象所在区域基础设施水平七通一平</v>
      </c>
      <c r="C75" s="1491" t="s">
        <v>122</v>
      </c>
      <c r="D75" s="2618">
        <f t="shared" si="20"/>
        <v>0</v>
      </c>
      <c r="E75" s="1520"/>
      <c r="F75" s="1509"/>
      <c r="G75" s="2616"/>
      <c r="H75" s="2634" t="str">
        <f t="shared" si="21"/>
        <v>——</v>
      </c>
      <c r="I75" s="1507">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1" t="s">
        <v>2136</v>
      </c>
      <c r="B76" s="2611" t="s">
        <v>2885</v>
      </c>
      <c r="C76" s="1491" t="s">
        <v>122</v>
      </c>
      <c r="D76" s="2618">
        <f t="shared" si="20"/>
        <v>0</v>
      </c>
      <c r="E76" s="1520"/>
      <c r="F76" s="1509"/>
      <c r="G76" s="2616"/>
      <c r="H76" s="2634" t="str">
        <f t="shared" si="21"/>
        <v>——</v>
      </c>
      <c r="I76" s="1507">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48">
      <c r="A77" s="1501" t="s">
        <v>2139</v>
      </c>
      <c r="B77" s="1506" t="str">
        <f>估价对象房地状况!C20</f>
        <v>区域自然环境：无；人文环境：亚太中医哮喘病研究所；综合评价环境状况一般</v>
      </c>
      <c r="C77" s="1491" t="s">
        <v>122</v>
      </c>
      <c r="D77" s="2618">
        <f t="shared" si="20"/>
        <v>0</v>
      </c>
      <c r="E77" s="1520"/>
      <c r="F77" s="1509"/>
      <c r="G77" s="2616"/>
      <c r="H77" s="2634" t="str">
        <f t="shared" si="21"/>
        <v>——</v>
      </c>
      <c r="I77" s="1507">
        <v>0.15</v>
      </c>
      <c r="J77" s="2617">
        <f t="shared" si="22"/>
        <v>0</v>
      </c>
      <c r="K77" s="2617">
        <f t="shared" si="23"/>
        <v>0</v>
      </c>
      <c r="L77" s="2617">
        <v>0</v>
      </c>
      <c r="M77" s="2617">
        <f t="shared" si="24"/>
        <v>0</v>
      </c>
      <c r="N77" s="2617">
        <f t="shared" si="24"/>
        <v>0</v>
      </c>
      <c r="Z77" s="1631"/>
      <c r="AA77" s="1630"/>
      <c r="AG77" s="1629"/>
      <c r="AK77" s="1630"/>
    </row>
    <row r="78" spans="1:37" ht="24.75" thickBot="1">
      <c r="A78" s="1514" t="s">
        <v>2141</v>
      </c>
      <c r="B78" s="2614" t="s">
        <v>2886</v>
      </c>
      <c r="C78" s="1491" t="s">
        <v>122</v>
      </c>
      <c r="D78" s="2618">
        <f t="shared" si="20"/>
        <v>0</v>
      </c>
      <c r="E78" s="1521"/>
      <c r="F78" s="1509"/>
      <c r="G78" s="2616"/>
      <c r="H78" s="2634" t="str">
        <f t="shared" si="21"/>
        <v>——</v>
      </c>
      <c r="I78" s="1516">
        <v>0.04</v>
      </c>
      <c r="J78" s="2617">
        <f t="shared" si="22"/>
        <v>0</v>
      </c>
      <c r="K78" s="2617">
        <f t="shared" si="23"/>
        <v>0</v>
      </c>
      <c r="L78" s="2617">
        <v>0</v>
      </c>
      <c r="M78" s="2617">
        <f t="shared" si="24"/>
        <v>0</v>
      </c>
      <c r="N78" s="2617">
        <f t="shared" si="24"/>
        <v>0</v>
      </c>
      <c r="Z78" s="1631"/>
      <c r="AA78" s="1630"/>
      <c r="AG78" s="1629"/>
      <c r="AK78" s="1630"/>
    </row>
    <row r="79" spans="1:37" ht="15">
      <c r="A79" s="1495" t="s">
        <v>1413</v>
      </c>
      <c r="B79" s="1496">
        <f>1+E81</f>
        <v>1</v>
      </c>
      <c r="C79" s="1518"/>
      <c r="D79" s="1498"/>
      <c r="E79" s="1499"/>
      <c r="F79" s="2142"/>
      <c r="G79" s="298"/>
      <c r="H79" s="298"/>
      <c r="I79" s="298"/>
      <c r="J79" s="1494"/>
      <c r="K79" s="1494"/>
      <c r="L79" s="1494"/>
      <c r="M79" s="1494"/>
      <c r="N79" s="1494"/>
      <c r="Z79" s="1631"/>
      <c r="AA79" s="1630"/>
      <c r="AG79" s="1629"/>
      <c r="AK79" s="1630"/>
    </row>
    <row r="80" spans="1:37" ht="24">
      <c r="A80" s="1501" t="s">
        <v>2130</v>
      </c>
      <c r="B80" s="1502"/>
      <c r="C80" s="1503" t="s">
        <v>2132</v>
      </c>
      <c r="D80" s="1504" t="s">
        <v>2205</v>
      </c>
      <c r="E80" s="1505" t="s">
        <v>2207</v>
      </c>
      <c r="F80" s="2619" t="s">
        <v>2662</v>
      </c>
      <c r="G80" s="1504" t="s">
        <v>2203</v>
      </c>
      <c r="H80" s="2620" t="s">
        <v>2888</v>
      </c>
      <c r="I80" s="1504" t="s">
        <v>2206</v>
      </c>
      <c r="J80" s="949" t="s">
        <v>599</v>
      </c>
      <c r="K80" s="949" t="s">
        <v>600</v>
      </c>
      <c r="L80" s="949" t="s">
        <v>601</v>
      </c>
      <c r="M80" s="949" t="s">
        <v>602</v>
      </c>
      <c r="N80" s="949" t="s">
        <v>603</v>
      </c>
      <c r="Z80" s="1631"/>
      <c r="AA80" s="1630"/>
      <c r="AG80" s="1629"/>
      <c r="AK80" s="1630"/>
    </row>
    <row r="81" spans="1:37" ht="36">
      <c r="A81" s="1501" t="s">
        <v>266</v>
      </c>
      <c r="B81" s="1510" t="str">
        <f>估价对象房地状况!G15</f>
        <v>估价对象位于北京经济技术开发区，园区建设成熟，产业集聚程度较好</v>
      </c>
      <c r="C81" s="1491" t="s">
        <v>124</v>
      </c>
      <c r="D81" s="2618">
        <f t="shared" ref="D81:D88" si="25">SUMIF($J$80:$N$80,C81,J81:N81)</f>
        <v>0</v>
      </c>
      <c r="E81" s="1508">
        <f>ROUND(SUM(D81:D88),4)</f>
        <v>0</v>
      </c>
      <c r="F81" s="1509" t="str">
        <f>IF(E2="工业",SUMIF(L1:L12,G2,N1:N12),"——")</f>
        <v>——</v>
      </c>
      <c r="G81" s="2616"/>
      <c r="H81" s="2634" t="str">
        <f t="shared" ref="H81:H88" si="26">IFERROR(ROUNDDOWN($F$81*I81/2,4),"——")</f>
        <v>——</v>
      </c>
      <c r="I81" s="1507">
        <v>0.26</v>
      </c>
      <c r="J81" s="2617">
        <f t="shared" ref="J81:J88" si="27">K81+$G81</f>
        <v>0</v>
      </c>
      <c r="K81" s="2617">
        <f t="shared" ref="K81:K88" si="28">$L81+$G81</f>
        <v>0</v>
      </c>
      <c r="L81" s="2617">
        <v>0</v>
      </c>
      <c r="M81" s="2617">
        <f t="shared" ref="M81:N88" si="29">L81-$G81</f>
        <v>0</v>
      </c>
      <c r="N81" s="2617">
        <f t="shared" si="29"/>
        <v>0</v>
      </c>
      <c r="Z81" s="1631"/>
      <c r="AA81" s="1630"/>
      <c r="AG81" s="1629"/>
      <c r="AK81" s="1630"/>
    </row>
    <row r="82" spans="1:37" ht="48">
      <c r="A82" s="1501" t="s">
        <v>97</v>
      </c>
      <c r="B82" s="1510" t="str">
        <f>估价对象房地状况!G16</f>
        <v>估价对象周边道路状况、公共交通通达情况、停车便捷程度，综合评价交通便捷度较好</v>
      </c>
      <c r="C82" s="1491" t="s">
        <v>124</v>
      </c>
      <c r="D82" s="2618">
        <f t="shared" si="25"/>
        <v>0</v>
      </c>
      <c r="E82" s="1520"/>
      <c r="F82" s="1509"/>
      <c r="G82" s="2616"/>
      <c r="H82" s="2634" t="str">
        <f t="shared" si="26"/>
        <v>——</v>
      </c>
      <c r="I82" s="1507">
        <v>0.33</v>
      </c>
      <c r="J82" s="2617">
        <f t="shared" si="27"/>
        <v>0</v>
      </c>
      <c r="K82" s="2617">
        <f t="shared" si="28"/>
        <v>0</v>
      </c>
      <c r="L82" s="2617">
        <v>0</v>
      </c>
      <c r="M82" s="2617">
        <f t="shared" si="29"/>
        <v>0</v>
      </c>
      <c r="N82" s="2617">
        <f t="shared" si="29"/>
        <v>0</v>
      </c>
      <c r="Z82" s="1631"/>
      <c r="AA82" s="1630"/>
      <c r="AG82" s="1629"/>
      <c r="AK82" s="1630"/>
    </row>
    <row r="83" spans="1:37" ht="24">
      <c r="A83" s="1501" t="s">
        <v>128</v>
      </c>
      <c r="B83" s="1510" t="str">
        <f>估价对象房地状况!G17</f>
        <v>零星有其他用地，基本不影响本宗地</v>
      </c>
      <c r="C83" s="1491" t="s">
        <v>124</v>
      </c>
      <c r="D83" s="2618">
        <f t="shared" si="25"/>
        <v>0</v>
      </c>
      <c r="E83" s="1520"/>
      <c r="F83" s="1509"/>
      <c r="G83" s="2616"/>
      <c r="H83" s="2634" t="str">
        <f t="shared" si="26"/>
        <v>——</v>
      </c>
      <c r="I83" s="1507">
        <v>0.05</v>
      </c>
      <c r="J83" s="2617">
        <f t="shared" si="27"/>
        <v>0</v>
      </c>
      <c r="K83" s="2617">
        <f t="shared" si="28"/>
        <v>0</v>
      </c>
      <c r="L83" s="2617">
        <v>0</v>
      </c>
      <c r="M83" s="2617">
        <f t="shared" si="29"/>
        <v>0</v>
      </c>
      <c r="N83" s="2617">
        <f t="shared" si="29"/>
        <v>0</v>
      </c>
      <c r="Z83" s="1631"/>
      <c r="AA83" s="1630"/>
      <c r="AG83" s="1629"/>
      <c r="AK83" s="1630"/>
    </row>
    <row r="84" spans="1:37" ht="14.25">
      <c r="A84" s="1501" t="s">
        <v>2140</v>
      </c>
      <c r="B84" s="1510" t="str">
        <f>估价对象房地状况!G22</f>
        <v>城市支路——裕民中路</v>
      </c>
      <c r="C84" s="1491" t="s">
        <v>124</v>
      </c>
      <c r="D84" s="2618">
        <f t="shared" si="25"/>
        <v>0</v>
      </c>
      <c r="E84" s="1520"/>
      <c r="F84" s="1509"/>
      <c r="G84" s="2616"/>
      <c r="H84" s="2634" t="str">
        <f t="shared" si="26"/>
        <v>——</v>
      </c>
      <c r="I84" s="1507">
        <v>0.04</v>
      </c>
      <c r="J84" s="2617">
        <f t="shared" si="27"/>
        <v>0</v>
      </c>
      <c r="K84" s="2617">
        <f t="shared" si="28"/>
        <v>0</v>
      </c>
      <c r="L84" s="2617">
        <v>0</v>
      </c>
      <c r="M84" s="2617">
        <f t="shared" si="29"/>
        <v>0</v>
      </c>
      <c r="N84" s="2617">
        <f t="shared" si="29"/>
        <v>0</v>
      </c>
      <c r="Z84" s="1631"/>
      <c r="AA84" s="1630"/>
      <c r="AG84" s="1629"/>
      <c r="AK84" s="1630"/>
    </row>
    <row r="85" spans="1:37" ht="24">
      <c r="A85" s="1501" t="s">
        <v>2137</v>
      </c>
      <c r="B85" s="2612" t="str">
        <f>估价对象房地状况!G19</f>
        <v>估价对象所在区域公共配套设施齐备情况</v>
      </c>
      <c r="C85" s="1491" t="s">
        <v>124</v>
      </c>
      <c r="D85" s="2618">
        <f t="shared" si="25"/>
        <v>0</v>
      </c>
      <c r="E85" s="1520"/>
      <c r="F85" s="1509"/>
      <c r="G85" s="2616"/>
      <c r="H85" s="2634" t="str">
        <f t="shared" si="26"/>
        <v>——</v>
      </c>
      <c r="I85" s="1507">
        <v>0.06</v>
      </c>
      <c r="J85" s="2617">
        <f t="shared" si="27"/>
        <v>0</v>
      </c>
      <c r="K85" s="2617">
        <f t="shared" si="28"/>
        <v>0</v>
      </c>
      <c r="L85" s="2617">
        <v>0</v>
      </c>
      <c r="M85" s="2617">
        <f t="shared" si="29"/>
        <v>0</v>
      </c>
      <c r="N85" s="2617">
        <f t="shared" si="29"/>
        <v>0</v>
      </c>
      <c r="Z85" s="1631"/>
      <c r="AA85" s="1630"/>
      <c r="AG85" s="1629"/>
      <c r="AK85" s="1630"/>
    </row>
    <row r="86" spans="1:37" ht="24">
      <c r="A86" s="1501" t="s">
        <v>2138</v>
      </c>
      <c r="B86" s="2612" t="str">
        <f>估价对象房地状况!G20</f>
        <v>估价对象所在区域基础设施水平</v>
      </c>
      <c r="C86" s="1491" t="s">
        <v>124</v>
      </c>
      <c r="D86" s="2618">
        <f t="shared" si="25"/>
        <v>0</v>
      </c>
      <c r="E86" s="1520"/>
      <c r="F86" s="1509"/>
      <c r="G86" s="2616"/>
      <c r="H86" s="2634" t="str">
        <f t="shared" si="26"/>
        <v>——</v>
      </c>
      <c r="I86" s="1507">
        <v>0.15</v>
      </c>
      <c r="J86" s="2617">
        <f t="shared" si="27"/>
        <v>0</v>
      </c>
      <c r="K86" s="2617">
        <f t="shared" si="28"/>
        <v>0</v>
      </c>
      <c r="L86" s="2617">
        <v>0</v>
      </c>
      <c r="M86" s="2617">
        <f t="shared" si="29"/>
        <v>0</v>
      </c>
      <c r="N86" s="2617">
        <f t="shared" si="29"/>
        <v>0</v>
      </c>
      <c r="Z86" s="1631"/>
      <c r="AA86" s="1630"/>
      <c r="AG86" s="1629"/>
      <c r="AK86" s="1630"/>
    </row>
    <row r="87" spans="1:37" ht="24">
      <c r="A87" s="1501" t="s">
        <v>2136</v>
      </c>
      <c r="B87" s="2611" t="s">
        <v>2885</v>
      </c>
      <c r="C87" s="1491" t="s">
        <v>124</v>
      </c>
      <c r="D87" s="2618">
        <f t="shared" si="25"/>
        <v>0</v>
      </c>
      <c r="E87" s="1520"/>
      <c r="F87" s="1509"/>
      <c r="G87" s="2616"/>
      <c r="H87" s="2634" t="str">
        <f t="shared" si="26"/>
        <v>——</v>
      </c>
      <c r="I87" s="1507">
        <v>0.05</v>
      </c>
      <c r="J87" s="2617">
        <f t="shared" si="27"/>
        <v>0</v>
      </c>
      <c r="K87" s="2617">
        <f t="shared" si="28"/>
        <v>0</v>
      </c>
      <c r="L87" s="2617">
        <v>0</v>
      </c>
      <c r="M87" s="2617">
        <f t="shared" si="29"/>
        <v>0</v>
      </c>
      <c r="N87" s="2617">
        <f t="shared" si="29"/>
        <v>0</v>
      </c>
      <c r="Z87" s="1631"/>
      <c r="AA87" s="1630"/>
      <c r="AG87" s="1629"/>
      <c r="AK87" s="1630"/>
    </row>
    <row r="88" spans="1:37" ht="36.75" thickBot="1">
      <c r="A88" s="1514" t="s">
        <v>2142</v>
      </c>
      <c r="B88" s="2613" t="str">
        <f>估价对象房地状况!G18</f>
        <v>该园区内无污染型企业，绿化较好，卫生条件良好，整体环境状况较好</v>
      </c>
      <c r="C88" s="1491" t="s">
        <v>124</v>
      </c>
      <c r="D88" s="2618">
        <f t="shared" si="25"/>
        <v>0</v>
      </c>
      <c r="E88" s="1521"/>
      <c r="F88" s="1509"/>
      <c r="G88" s="2616"/>
      <c r="H88" s="2634" t="str">
        <f t="shared" si="26"/>
        <v>——</v>
      </c>
      <c r="I88" s="1516">
        <v>0.06</v>
      </c>
      <c r="J88" s="2617">
        <f t="shared" si="27"/>
        <v>0</v>
      </c>
      <c r="K88" s="2617">
        <f t="shared" si="28"/>
        <v>0</v>
      </c>
      <c r="L88" s="2617">
        <v>0</v>
      </c>
      <c r="M88" s="2617">
        <f t="shared" si="29"/>
        <v>0</v>
      </c>
      <c r="N88" s="2617">
        <f t="shared" si="29"/>
        <v>0</v>
      </c>
      <c r="Z88" s="1631"/>
      <c r="AA88" s="1630"/>
      <c r="AG88" s="1629"/>
      <c r="AK88" s="1630"/>
    </row>
    <row r="90" spans="1:37">
      <c r="A90" s="3886" t="s">
        <v>2111</v>
      </c>
      <c r="B90" s="3886"/>
      <c r="C90" s="3886"/>
      <c r="D90" s="3886"/>
      <c r="E90" s="3886"/>
      <c r="F90" s="3886"/>
      <c r="G90" s="3886"/>
      <c r="H90" s="3886"/>
      <c r="I90" s="3886"/>
      <c r="J90" s="3886"/>
      <c r="K90" s="2623"/>
      <c r="L90" s="2623"/>
      <c r="M90" s="2623"/>
      <c r="N90" s="2623"/>
    </row>
    <row r="91" spans="1:37">
      <c r="A91" s="3888" t="s">
        <v>73</v>
      </c>
      <c r="B91" s="3888" t="s">
        <v>2112</v>
      </c>
      <c r="C91" s="1590" t="s">
        <v>2113</v>
      </c>
      <c r="D91" s="1591"/>
      <c r="E91" s="1591"/>
      <c r="F91" s="1591"/>
      <c r="G91" s="1591"/>
      <c r="H91" s="1591"/>
      <c r="I91" s="1591"/>
      <c r="J91" s="1592"/>
      <c r="K91" s="1580"/>
      <c r="L91" s="1580"/>
      <c r="M91" s="1580"/>
      <c r="N91" s="1580"/>
    </row>
    <row r="92" spans="1:37">
      <c r="A92" s="3888"/>
      <c r="B92" s="3888"/>
      <c r="C92" s="2622" t="s">
        <v>327</v>
      </c>
      <c r="D92" s="2622" t="s">
        <v>328</v>
      </c>
      <c r="E92" s="2622" t="s">
        <v>323</v>
      </c>
      <c r="F92" s="2622" t="s">
        <v>324</v>
      </c>
      <c r="G92" s="2622" t="s">
        <v>325</v>
      </c>
      <c r="H92" s="2622" t="s">
        <v>326</v>
      </c>
      <c r="I92" s="2622" t="s">
        <v>1528</v>
      </c>
      <c r="J92" s="2622" t="s">
        <v>1529</v>
      </c>
      <c r="K92" s="2622" t="s">
        <v>1530</v>
      </c>
      <c r="L92" s="2622" t="s">
        <v>1531</v>
      </c>
      <c r="M92" s="2622" t="s">
        <v>1532</v>
      </c>
      <c r="N92" s="2622" t="s">
        <v>1533</v>
      </c>
    </row>
    <row r="93" spans="1:37">
      <c r="A93" s="3889" t="s">
        <v>2114</v>
      </c>
      <c r="B93" s="1593">
        <v>1</v>
      </c>
      <c r="C93" s="1594">
        <v>1.9361999999999999</v>
      </c>
      <c r="D93" s="1594">
        <v>1.9361999999999999</v>
      </c>
      <c r="E93" s="1594">
        <v>1.8629</v>
      </c>
      <c r="F93" s="1594">
        <v>1.8629</v>
      </c>
      <c r="G93" s="1594">
        <v>1.8629</v>
      </c>
      <c r="H93" s="1594">
        <v>1.8629</v>
      </c>
      <c r="I93" s="1594">
        <v>1.8629</v>
      </c>
      <c r="J93" s="1594">
        <v>1.9419999999999999</v>
      </c>
      <c r="K93" s="1594">
        <v>1.9419999999999999</v>
      </c>
      <c r="L93" s="1594">
        <v>1.9419999999999999</v>
      </c>
      <c r="M93" s="1594">
        <v>1.9419999999999999</v>
      </c>
      <c r="N93" s="1594">
        <v>1.9419999999999999</v>
      </c>
    </row>
    <row r="94" spans="1:37">
      <c r="A94" s="3890"/>
      <c r="B94" s="1593">
        <v>2</v>
      </c>
      <c r="C94" s="1594">
        <v>1.4198</v>
      </c>
      <c r="D94" s="1594">
        <v>1.4198</v>
      </c>
      <c r="E94" s="1594">
        <v>1.3371999999999999</v>
      </c>
      <c r="F94" s="1594">
        <v>1.3371999999999999</v>
      </c>
      <c r="G94" s="1594">
        <v>1.3371999999999999</v>
      </c>
      <c r="H94" s="1594">
        <v>1.3371999999999999</v>
      </c>
      <c r="I94" s="1594">
        <v>1.3371999999999999</v>
      </c>
      <c r="J94" s="1594">
        <v>1.2799</v>
      </c>
      <c r="K94" s="1594">
        <v>1.2799</v>
      </c>
      <c r="L94" s="1594">
        <v>1.2799</v>
      </c>
      <c r="M94" s="1594">
        <v>1.2799</v>
      </c>
      <c r="N94" s="1594">
        <v>1.2799</v>
      </c>
    </row>
    <row r="95" spans="1:37">
      <c r="A95" s="3890"/>
      <c r="B95" s="1593">
        <v>3</v>
      </c>
      <c r="C95" s="1594">
        <v>1.1594</v>
      </c>
      <c r="D95" s="1594">
        <v>1.1594</v>
      </c>
      <c r="E95" s="1594">
        <v>1.0788</v>
      </c>
      <c r="F95" s="1594">
        <v>1.0788</v>
      </c>
      <c r="G95" s="1594">
        <v>1.0788</v>
      </c>
      <c r="H95" s="1594">
        <v>1.0788</v>
      </c>
      <c r="I95" s="1594">
        <v>1.0788</v>
      </c>
      <c r="J95" s="1594">
        <v>1.0072000000000001</v>
      </c>
      <c r="K95" s="1594">
        <v>1.0072000000000001</v>
      </c>
      <c r="L95" s="1594">
        <v>1.0072000000000001</v>
      </c>
      <c r="M95" s="1594">
        <v>1.0072000000000001</v>
      </c>
      <c r="N95" s="1594">
        <v>1.0072000000000001</v>
      </c>
    </row>
    <row r="96" spans="1:37">
      <c r="A96" s="3890"/>
      <c r="B96" s="1593">
        <v>4</v>
      </c>
      <c r="C96" s="1594">
        <v>0.96220000000000006</v>
      </c>
      <c r="D96" s="1594">
        <v>0.96220000000000006</v>
      </c>
      <c r="E96" s="1594">
        <v>0.86560000000000004</v>
      </c>
      <c r="F96" s="1594">
        <v>0.86560000000000004</v>
      </c>
      <c r="G96" s="1594">
        <v>0.86560000000000004</v>
      </c>
      <c r="H96" s="1594">
        <v>0.86560000000000004</v>
      </c>
      <c r="I96" s="1594">
        <v>0.86560000000000004</v>
      </c>
      <c r="J96" s="1594">
        <v>0.75249999999999995</v>
      </c>
      <c r="K96" s="1594">
        <v>0.75249999999999995</v>
      </c>
      <c r="L96" s="1594">
        <v>0.75249999999999995</v>
      </c>
      <c r="M96" s="1594">
        <v>0.75249999999999995</v>
      </c>
      <c r="N96" s="1594">
        <v>0.75249999999999995</v>
      </c>
    </row>
    <row r="97" spans="1:14">
      <c r="A97" s="3890"/>
      <c r="B97" s="1593">
        <v>5</v>
      </c>
      <c r="C97" s="1594">
        <v>0.8417</v>
      </c>
      <c r="D97" s="1594">
        <v>0.8417</v>
      </c>
      <c r="E97" s="1594">
        <v>0.73709999999999998</v>
      </c>
      <c r="F97" s="1594">
        <v>0.73709999999999998</v>
      </c>
      <c r="G97" s="1594">
        <v>0.73709999999999998</v>
      </c>
      <c r="H97" s="1594">
        <v>0.73709999999999998</v>
      </c>
      <c r="I97" s="1594">
        <v>0.73709999999999998</v>
      </c>
      <c r="J97" s="1594">
        <v>0.56589999999999996</v>
      </c>
      <c r="K97" s="1594">
        <v>0.56589999999999996</v>
      </c>
      <c r="L97" s="1594">
        <v>0.56589999999999996</v>
      </c>
      <c r="M97" s="1594">
        <v>0.56589999999999996</v>
      </c>
      <c r="N97" s="1594">
        <v>0.56589999999999996</v>
      </c>
    </row>
    <row r="98" spans="1:14">
      <c r="A98" s="3890"/>
      <c r="B98" s="1593">
        <v>6</v>
      </c>
      <c r="C98" s="1594">
        <v>0.76080000000000003</v>
      </c>
      <c r="D98" s="1594">
        <v>0.76080000000000003</v>
      </c>
      <c r="E98" s="1594">
        <v>0.6482</v>
      </c>
      <c r="F98" s="1594">
        <v>0.6482</v>
      </c>
      <c r="G98" s="1594">
        <v>0.6482</v>
      </c>
      <c r="H98" s="1594">
        <v>0.6482</v>
      </c>
      <c r="I98" s="1594">
        <v>0.6482</v>
      </c>
      <c r="J98" s="1594">
        <v>0.45250000000000001</v>
      </c>
      <c r="K98" s="1594">
        <v>0.45250000000000001</v>
      </c>
      <c r="L98" s="1594">
        <v>0.45250000000000001</v>
      </c>
      <c r="M98" s="1594">
        <v>0.45250000000000001</v>
      </c>
      <c r="N98" s="1594">
        <v>0.45250000000000001</v>
      </c>
    </row>
    <row r="99" spans="1:14">
      <c r="A99" s="3890"/>
      <c r="B99" s="1593" t="s">
        <v>2115</v>
      </c>
      <c r="C99" s="1595">
        <f>$I$3</f>
        <v>3</v>
      </c>
      <c r="D99" s="1595">
        <f t="shared" ref="D99:M99" si="30">$I$3</f>
        <v>3</v>
      </c>
      <c r="E99" s="1595">
        <f t="shared" si="30"/>
        <v>3</v>
      </c>
      <c r="F99" s="1595">
        <f t="shared" si="30"/>
        <v>3</v>
      </c>
      <c r="G99" s="1595">
        <f t="shared" si="30"/>
        <v>3</v>
      </c>
      <c r="H99" s="1595">
        <f t="shared" si="30"/>
        <v>3</v>
      </c>
      <c r="I99" s="1595">
        <f t="shared" si="30"/>
        <v>3</v>
      </c>
      <c r="J99" s="1595">
        <f t="shared" si="30"/>
        <v>3</v>
      </c>
      <c r="K99" s="1595">
        <f t="shared" si="30"/>
        <v>3</v>
      </c>
      <c r="L99" s="1595">
        <f t="shared" si="30"/>
        <v>3</v>
      </c>
      <c r="M99" s="1595">
        <f t="shared" si="30"/>
        <v>3</v>
      </c>
      <c r="N99" s="1595">
        <f>$I$3</f>
        <v>3</v>
      </c>
    </row>
    <row r="100" spans="1:14">
      <c r="A100" s="3891"/>
      <c r="B100" s="1593">
        <v>7</v>
      </c>
      <c r="C100" s="1596">
        <f>(-0.163*(C99^2)-0.59*C99+7617)*(10^(-4))</f>
        <v>0.76137630000000001</v>
      </c>
      <c r="D100" s="1596">
        <f>(-0.163*(D99^2)-0.59*D99+7617)*(10^(-4))</f>
        <v>0.76137630000000001</v>
      </c>
      <c r="E100" s="1596">
        <f>(-0.161*(E99^2)-7.509*E99+6533)*(10^(-4))</f>
        <v>0.6509024000000001</v>
      </c>
      <c r="F100" s="1596">
        <f>(-0.161*(F99^2)-7.509*F99+6533)*(10^(-4))</f>
        <v>0.6509024000000001</v>
      </c>
      <c r="G100" s="1596">
        <f>(-0.161*(G99^2)-7.509*G99+6533)*(10^(-4))</f>
        <v>0.6509024000000001</v>
      </c>
      <c r="H100" s="1596">
        <f>(-0.161*(H99^2)-7.509*H99+6533)*(10^(-4))</f>
        <v>0.6509024000000001</v>
      </c>
      <c r="I100" s="1596">
        <f>(-0.161*(I99^2)-7.509*I99+6533)*(10^(-4))</f>
        <v>0.6509024000000001</v>
      </c>
      <c r="J100" s="1596">
        <f>(-0.214*(J99^2)-21.991*J99+4665)*(10^(-4))</f>
        <v>0.45971010000000001</v>
      </c>
      <c r="K100" s="1596">
        <f>(-0.214*(K99^2)-21.991*K99+4665)*(10^(-4))</f>
        <v>0.45971010000000001</v>
      </c>
      <c r="L100" s="1596">
        <f>(-0.214*(L99^2)-21.991*L99+4665)*(10^(-4))</f>
        <v>0.45971010000000001</v>
      </c>
      <c r="M100" s="1596">
        <f>(-0.214*(M99^2)-21.991*M99+4665)*(10^(-4))</f>
        <v>0.45971010000000001</v>
      </c>
      <c r="N100" s="1596">
        <f>(-0.214*(N99^2)-21.991*N99+4665)*(10^(-4))</f>
        <v>0.45971010000000001</v>
      </c>
    </row>
    <row r="101" spans="1:14">
      <c r="A101" s="3889" t="s">
        <v>2116</v>
      </c>
      <c r="B101" s="1597" t="s">
        <v>98</v>
      </c>
      <c r="C101" s="1598">
        <f>$G$3</f>
        <v>4</v>
      </c>
      <c r="D101" s="1598">
        <f t="shared" ref="D101:N101" si="31">$G$3</f>
        <v>4</v>
      </c>
      <c r="E101" s="1598">
        <f t="shared" si="31"/>
        <v>4</v>
      </c>
      <c r="F101" s="1598">
        <f t="shared" si="31"/>
        <v>4</v>
      </c>
      <c r="G101" s="1598">
        <f t="shared" si="31"/>
        <v>4</v>
      </c>
      <c r="H101" s="1598">
        <f t="shared" si="31"/>
        <v>4</v>
      </c>
      <c r="I101" s="1598">
        <f t="shared" si="31"/>
        <v>4</v>
      </c>
      <c r="J101" s="1598">
        <f t="shared" si="31"/>
        <v>4</v>
      </c>
      <c r="K101" s="1598">
        <f t="shared" si="31"/>
        <v>4</v>
      </c>
      <c r="L101" s="1598">
        <f t="shared" si="31"/>
        <v>4</v>
      </c>
      <c r="M101" s="1598">
        <f t="shared" si="31"/>
        <v>4</v>
      </c>
      <c r="N101" s="1598">
        <f t="shared" si="31"/>
        <v>4</v>
      </c>
    </row>
    <row r="102" spans="1:14">
      <c r="A102" s="3890"/>
      <c r="B102" s="1593">
        <v>1</v>
      </c>
      <c r="C102" s="1594">
        <f>1.9362/C101</f>
        <v>0.48404999999999998</v>
      </c>
      <c r="D102" s="1594">
        <f>1.9362/D101</f>
        <v>0.48404999999999998</v>
      </c>
      <c r="E102" s="1594">
        <f>1.8629/E101</f>
        <v>0.465725</v>
      </c>
      <c r="F102" s="1594">
        <f>1.8629/F101</f>
        <v>0.465725</v>
      </c>
      <c r="G102" s="1594">
        <f>1.8629/G101</f>
        <v>0.465725</v>
      </c>
      <c r="H102" s="1594">
        <f>1.8629/H101</f>
        <v>0.465725</v>
      </c>
      <c r="I102" s="1594">
        <f>1.8629/I101</f>
        <v>0.465725</v>
      </c>
      <c r="J102" s="1594">
        <f>1.942/J101</f>
        <v>0.48549999999999999</v>
      </c>
      <c r="K102" s="1594">
        <f>1.942/K101</f>
        <v>0.48549999999999999</v>
      </c>
      <c r="L102" s="1594">
        <f>1.942/L101</f>
        <v>0.48549999999999999</v>
      </c>
      <c r="M102" s="1594">
        <f>1.942/M101</f>
        <v>0.48549999999999999</v>
      </c>
      <c r="N102" s="1594">
        <f>1.942/N101</f>
        <v>0.48549999999999999</v>
      </c>
    </row>
    <row r="103" spans="1:14">
      <c r="A103" s="3890"/>
      <c r="B103" s="1593">
        <v>2</v>
      </c>
      <c r="C103" s="1594">
        <f>1.4198/C101</f>
        <v>0.35494999999999999</v>
      </c>
      <c r="D103" s="1594">
        <f>1.4198/D101</f>
        <v>0.35494999999999999</v>
      </c>
      <c r="E103" s="1594">
        <f>1.3372/E101</f>
        <v>0.33429999999999999</v>
      </c>
      <c r="F103" s="1594">
        <f>1.3372/F101</f>
        <v>0.33429999999999999</v>
      </c>
      <c r="G103" s="1594">
        <f>1.3372/G101</f>
        <v>0.33429999999999999</v>
      </c>
      <c r="H103" s="1594">
        <f>1.3372/H101</f>
        <v>0.33429999999999999</v>
      </c>
      <c r="I103" s="1594">
        <f>1.3372/I101</f>
        <v>0.33429999999999999</v>
      </c>
      <c r="J103" s="1594">
        <f>1.2799/J101</f>
        <v>0.31997500000000001</v>
      </c>
      <c r="K103" s="1594">
        <f>1.2799/K101</f>
        <v>0.31997500000000001</v>
      </c>
      <c r="L103" s="1594">
        <f>1.2799/L101</f>
        <v>0.31997500000000001</v>
      </c>
      <c r="M103" s="1594">
        <f>1.2799/M101</f>
        <v>0.31997500000000001</v>
      </c>
      <c r="N103" s="1594">
        <f>1.2799/N101</f>
        <v>0.31997500000000001</v>
      </c>
    </row>
    <row r="104" spans="1:14">
      <c r="A104" s="3890"/>
      <c r="B104" s="1593">
        <v>3</v>
      </c>
      <c r="C104" s="1594">
        <f>1.1594/C101</f>
        <v>0.28985</v>
      </c>
      <c r="D104" s="1594">
        <f>1.1594/D101</f>
        <v>0.28985</v>
      </c>
      <c r="E104" s="1594">
        <f>1.0788/E101</f>
        <v>0.2697</v>
      </c>
      <c r="F104" s="1594">
        <f>1.0788/F101</f>
        <v>0.2697</v>
      </c>
      <c r="G104" s="1594">
        <f>1.0788/G101</f>
        <v>0.2697</v>
      </c>
      <c r="H104" s="1594">
        <f>1.0788/H101</f>
        <v>0.2697</v>
      </c>
      <c r="I104" s="1594">
        <f>1.0788/I101</f>
        <v>0.2697</v>
      </c>
      <c r="J104" s="1594">
        <f>1.0072/J101</f>
        <v>0.25180000000000002</v>
      </c>
      <c r="K104" s="1594">
        <f>1.0072/K101</f>
        <v>0.25180000000000002</v>
      </c>
      <c r="L104" s="1594">
        <f>1.0072/L101</f>
        <v>0.25180000000000002</v>
      </c>
      <c r="M104" s="1594">
        <f>1.0072/M101</f>
        <v>0.25180000000000002</v>
      </c>
      <c r="N104" s="1594">
        <f>1.0072/N101</f>
        <v>0.25180000000000002</v>
      </c>
    </row>
    <row r="105" spans="1:14">
      <c r="A105" s="3890"/>
      <c r="B105" s="1593">
        <v>4</v>
      </c>
      <c r="C105" s="1594">
        <f>0.9622/C101</f>
        <v>0.24055000000000001</v>
      </c>
      <c r="D105" s="1594">
        <f>0.9622/D101</f>
        <v>0.24055000000000001</v>
      </c>
      <c r="E105" s="1594">
        <f>0.8656/E101</f>
        <v>0.21640000000000001</v>
      </c>
      <c r="F105" s="1594">
        <f>0.8656/F101</f>
        <v>0.21640000000000001</v>
      </c>
      <c r="G105" s="1594">
        <f>0.8656/G101</f>
        <v>0.21640000000000001</v>
      </c>
      <c r="H105" s="1594">
        <f>0.8656/H101</f>
        <v>0.21640000000000001</v>
      </c>
      <c r="I105" s="1594">
        <f>0.8656/I101</f>
        <v>0.21640000000000001</v>
      </c>
      <c r="J105" s="1594">
        <f>0.7525/J101</f>
        <v>0.18812499999999999</v>
      </c>
      <c r="K105" s="1594">
        <f>0.7525/K101</f>
        <v>0.18812499999999999</v>
      </c>
      <c r="L105" s="1594">
        <f>0.7525/L101</f>
        <v>0.18812499999999999</v>
      </c>
      <c r="M105" s="1594">
        <f>0.7525/M101</f>
        <v>0.18812499999999999</v>
      </c>
      <c r="N105" s="1594">
        <f>0.7525/N101</f>
        <v>0.18812499999999999</v>
      </c>
    </row>
    <row r="106" spans="1:14">
      <c r="A106" s="3890"/>
      <c r="B106" s="1593">
        <v>5</v>
      </c>
      <c r="C106" s="1594">
        <f>0.8417/C101</f>
        <v>0.210425</v>
      </c>
      <c r="D106" s="1594">
        <f>0.8417/D101</f>
        <v>0.210425</v>
      </c>
      <c r="E106" s="1594">
        <f>0.7371/E101</f>
        <v>0.18427499999999999</v>
      </c>
      <c r="F106" s="1594">
        <f>0.7371/F101</f>
        <v>0.18427499999999999</v>
      </c>
      <c r="G106" s="1594">
        <f>0.7371/G101</f>
        <v>0.18427499999999999</v>
      </c>
      <c r="H106" s="1594">
        <f>0.7371/H101</f>
        <v>0.18427499999999999</v>
      </c>
      <c r="I106" s="1594">
        <f>0.7371/I101</f>
        <v>0.18427499999999999</v>
      </c>
      <c r="J106" s="1594">
        <f>0.5659/J101</f>
        <v>0.14147499999999999</v>
      </c>
      <c r="K106" s="1594">
        <f>0.5659/K101</f>
        <v>0.14147499999999999</v>
      </c>
      <c r="L106" s="1594">
        <f>0.5659/L101</f>
        <v>0.14147499999999999</v>
      </c>
      <c r="M106" s="1594">
        <f>0.5659/M101</f>
        <v>0.14147499999999999</v>
      </c>
      <c r="N106" s="1594">
        <f>0.5659/N101</f>
        <v>0.14147499999999999</v>
      </c>
    </row>
    <row r="107" spans="1:14">
      <c r="A107" s="3890"/>
      <c r="B107" s="1593">
        <v>6</v>
      </c>
      <c r="C107" s="1594">
        <f>0.7608/C101</f>
        <v>0.19020000000000001</v>
      </c>
      <c r="D107" s="1594">
        <f>0.7608/D101</f>
        <v>0.19020000000000001</v>
      </c>
      <c r="E107" s="1594">
        <f>0.6482/E101</f>
        <v>0.16205</v>
      </c>
      <c r="F107" s="1594">
        <f>0.6482/F101</f>
        <v>0.16205</v>
      </c>
      <c r="G107" s="1594">
        <f>0.6482/G101</f>
        <v>0.16205</v>
      </c>
      <c r="H107" s="1594">
        <f>0.6482/H101</f>
        <v>0.16205</v>
      </c>
      <c r="I107" s="1594">
        <f>0.6482/I101</f>
        <v>0.16205</v>
      </c>
      <c r="J107" s="1594">
        <f>0.4525/J101</f>
        <v>0.113125</v>
      </c>
      <c r="K107" s="1594">
        <f>0.4525/K101</f>
        <v>0.113125</v>
      </c>
      <c r="L107" s="1594">
        <f>0.4525/L101</f>
        <v>0.113125</v>
      </c>
      <c r="M107" s="1594">
        <f>0.4525/M101</f>
        <v>0.113125</v>
      </c>
      <c r="N107" s="1594">
        <f>0.4525/N101</f>
        <v>0.113125</v>
      </c>
    </row>
    <row r="108" spans="1:14">
      <c r="A108" s="3890"/>
      <c r="B108" s="3892" t="s">
        <v>2118</v>
      </c>
      <c r="C108" s="1595">
        <f>C99</f>
        <v>3</v>
      </c>
      <c r="D108" s="1595">
        <f t="shared" ref="D108:N108" si="32">D99</f>
        <v>3</v>
      </c>
      <c r="E108" s="1595">
        <f t="shared" si="32"/>
        <v>3</v>
      </c>
      <c r="F108" s="1595">
        <f t="shared" si="32"/>
        <v>3</v>
      </c>
      <c r="G108" s="1595">
        <f t="shared" si="32"/>
        <v>3</v>
      </c>
      <c r="H108" s="1595">
        <f t="shared" si="32"/>
        <v>3</v>
      </c>
      <c r="I108" s="1595">
        <f t="shared" si="32"/>
        <v>3</v>
      </c>
      <c r="J108" s="1595">
        <f t="shared" si="32"/>
        <v>3</v>
      </c>
      <c r="K108" s="1595">
        <f t="shared" si="32"/>
        <v>3</v>
      </c>
      <c r="L108" s="1595">
        <f t="shared" si="32"/>
        <v>3</v>
      </c>
      <c r="M108" s="1595">
        <f t="shared" si="32"/>
        <v>3</v>
      </c>
      <c r="N108" s="1595">
        <f t="shared" si="32"/>
        <v>3</v>
      </c>
    </row>
    <row r="109" spans="1:14">
      <c r="A109" s="3891"/>
      <c r="B109" s="3893"/>
      <c r="C109" s="1596">
        <f>(-0.163*(C108^2)-0.59*C108+7617)*(10^(-4))/C101</f>
        <v>0.190344075</v>
      </c>
      <c r="D109" s="1596">
        <f>(-0.163*(D108^2)-0.59*D108+7617)*(10^(-4))/D101</f>
        <v>0.190344075</v>
      </c>
      <c r="E109" s="1596">
        <f>(-0.161*(E108^2)-7.509*E108+6533)*(10^(-4))/E101</f>
        <v>0.16272560000000003</v>
      </c>
      <c r="F109" s="1596">
        <f>(-0.161*(F108^2)-7.509*F108+6533)*(10^(-4))/F101</f>
        <v>0.16272560000000003</v>
      </c>
      <c r="G109" s="1596">
        <f>(-0.161*(G108^2)-7.509*G108+6533)*(10^(-4))/G101</f>
        <v>0.16272560000000003</v>
      </c>
      <c r="H109" s="1596">
        <f>(-0.161*(H108^2)-7.509*H108+6533)*(10^(-4))/H101</f>
        <v>0.16272560000000003</v>
      </c>
      <c r="I109" s="1596">
        <f>(-0.161*(I108^2)-7.509*I108+6533)*(10^(-4))/I101</f>
        <v>0.16272560000000003</v>
      </c>
      <c r="J109" s="1596">
        <f>(-0.214*(J108^2)-21.991*J108+4665)*(10^(-4))/J101</f>
        <v>0.114927525</v>
      </c>
      <c r="K109" s="1596">
        <f>(-0.214*(K108^2)-21.991*K108+4665)*(10^(-4))/K101</f>
        <v>0.114927525</v>
      </c>
      <c r="L109" s="1596">
        <f>(-0.214*(L108^2)-21.991*L108+4665)*(10^(-4))/L101</f>
        <v>0.114927525</v>
      </c>
      <c r="M109" s="1596">
        <f>(-0.214*(M108^2)-21.991*M108+4665)*(10^(-4))/M101</f>
        <v>0.114927525</v>
      </c>
      <c r="N109" s="1596">
        <f>(-0.214*(N108^2)-21.991*N108+4665)*(10^(-4))/N101</f>
        <v>0.114927525</v>
      </c>
    </row>
    <row r="110" spans="1:14">
      <c r="A110" s="3887" t="s">
        <v>2119</v>
      </c>
      <c r="B110" s="3887"/>
      <c r="C110" s="3887"/>
      <c r="D110" s="3887"/>
      <c r="E110" s="3887"/>
      <c r="F110" s="3887"/>
      <c r="G110" s="3887"/>
      <c r="H110" s="3887"/>
      <c r="I110" s="3887"/>
      <c r="J110" s="3887"/>
      <c r="K110" s="2621"/>
      <c r="L110" s="2621"/>
      <c r="M110" s="2621"/>
      <c r="N110" s="2621"/>
    </row>
    <row r="112" spans="1:14" ht="12.75" thickBot="1"/>
    <row r="113" spans="1:13" ht="25.5" thickBot="1">
      <c r="A113" s="1606" t="s">
        <v>2121</v>
      </c>
      <c r="B113" s="2624">
        <f>G3</f>
        <v>4</v>
      </c>
      <c r="C113" s="1607" t="s">
        <v>2122</v>
      </c>
      <c r="D113" s="1608">
        <f>SUMPRODUCT((A115:A118=F113)*(B114:M114=H113)*B115:M118)</f>
        <v>0</v>
      </c>
      <c r="E113" s="1609" t="s">
        <v>73</v>
      </c>
      <c r="F113" s="1610" t="str">
        <f>E2</f>
        <v>办公</v>
      </c>
      <c r="G113" s="1609" t="s">
        <v>1911</v>
      </c>
      <c r="H113" s="1610">
        <f>G2</f>
        <v>0</v>
      </c>
      <c r="I113" s="1609"/>
      <c r="J113" s="1601"/>
      <c r="K113" s="1601"/>
      <c r="L113" s="1601"/>
      <c r="M113" s="1601"/>
    </row>
    <row r="114" spans="1:13" ht="12.75">
      <c r="A114" s="1613"/>
      <c r="B114" s="1614" t="s">
        <v>327</v>
      </c>
      <c r="C114" s="1614" t="s">
        <v>328</v>
      </c>
      <c r="D114" s="1614" t="s">
        <v>323</v>
      </c>
      <c r="E114" s="1615" t="s">
        <v>324</v>
      </c>
      <c r="F114" s="1615" t="s">
        <v>325</v>
      </c>
      <c r="G114" s="1615" t="s">
        <v>326</v>
      </c>
      <c r="H114" s="1616" t="s">
        <v>1528</v>
      </c>
      <c r="I114" s="1616" t="s">
        <v>1529</v>
      </c>
      <c r="J114" s="1617" t="s">
        <v>1530</v>
      </c>
      <c r="K114" s="1617" t="s">
        <v>1531</v>
      </c>
      <c r="L114" s="1617" t="s">
        <v>1532</v>
      </c>
      <c r="M114" s="1618" t="s">
        <v>1533</v>
      </c>
    </row>
    <row r="115" spans="1:13" ht="12.75">
      <c r="A115" s="1619" t="s">
        <v>2123</v>
      </c>
      <c r="B115" s="1620">
        <f>ROUND(0.9335-0.0094*B113,4)</f>
        <v>0.89590000000000003</v>
      </c>
      <c r="C115" s="1620">
        <f>B115</f>
        <v>0.89590000000000003</v>
      </c>
      <c r="D115" s="1620">
        <f>ROUND(0.8331-0.0109*B113,4)</f>
        <v>0.78949999999999998</v>
      </c>
      <c r="E115" s="1620">
        <f>D115</f>
        <v>0.78949999999999998</v>
      </c>
      <c r="F115" s="1620">
        <f>E115</f>
        <v>0.78949999999999998</v>
      </c>
      <c r="G115" s="1620">
        <f>F115</f>
        <v>0.78949999999999998</v>
      </c>
      <c r="H115" s="1620">
        <f>G115</f>
        <v>0.78949999999999998</v>
      </c>
      <c r="I115" s="1620">
        <f>ROUND(0.689-0.0155*B113,4)</f>
        <v>0.627</v>
      </c>
      <c r="J115" s="1620">
        <f t="shared" ref="J115:M118" si="33">I115</f>
        <v>0.627</v>
      </c>
      <c r="K115" s="1620">
        <f t="shared" si="33"/>
        <v>0.627</v>
      </c>
      <c r="L115" s="1620">
        <f t="shared" si="33"/>
        <v>0.627</v>
      </c>
      <c r="M115" s="1621">
        <f t="shared" si="33"/>
        <v>0.627</v>
      </c>
    </row>
    <row r="116" spans="1:13" ht="12.75">
      <c r="A116" s="1619" t="s">
        <v>2124</v>
      </c>
      <c r="B116" s="1620">
        <f>ROUND(0.949-0.012*B113,4)</f>
        <v>0.90100000000000002</v>
      </c>
      <c r="C116" s="1620">
        <f>B116</f>
        <v>0.90100000000000002</v>
      </c>
      <c r="D116" s="1620">
        <f>ROUND(0.8567-0.013*B113,4)</f>
        <v>0.80469999999999997</v>
      </c>
      <c r="E116" s="1620">
        <f t="shared" ref="E116:H117" si="34">D116</f>
        <v>0.80469999999999997</v>
      </c>
      <c r="F116" s="1620">
        <f t="shared" si="34"/>
        <v>0.80469999999999997</v>
      </c>
      <c r="G116" s="1620">
        <f t="shared" si="34"/>
        <v>0.80469999999999997</v>
      </c>
      <c r="H116" s="1620">
        <f t="shared" si="34"/>
        <v>0.80469999999999997</v>
      </c>
      <c r="I116" s="1620">
        <f>ROUND(0.7694-0.014*B113,4)</f>
        <v>0.71340000000000003</v>
      </c>
      <c r="J116" s="1620">
        <f t="shared" si="33"/>
        <v>0.71340000000000003</v>
      </c>
      <c r="K116" s="1620">
        <f t="shared" si="33"/>
        <v>0.71340000000000003</v>
      </c>
      <c r="L116" s="1620">
        <f t="shared" si="33"/>
        <v>0.71340000000000003</v>
      </c>
      <c r="M116" s="1621">
        <f t="shared" si="33"/>
        <v>0.71340000000000003</v>
      </c>
    </row>
    <row r="117" spans="1:13" ht="12.75">
      <c r="A117" s="1622" t="s">
        <v>1206</v>
      </c>
      <c r="B117" s="1620">
        <f>ROUND(0.8808-0.006*B113,4)</f>
        <v>0.85680000000000001</v>
      </c>
      <c r="C117" s="1620">
        <f>B117</f>
        <v>0.85680000000000001</v>
      </c>
      <c r="D117" s="1620">
        <f>ROUND(0.8748-0.008*B113,4)</f>
        <v>0.84279999999999999</v>
      </c>
      <c r="E117" s="1620">
        <f t="shared" si="34"/>
        <v>0.84279999999999999</v>
      </c>
      <c r="F117" s="1620">
        <f t="shared" si="34"/>
        <v>0.84279999999999999</v>
      </c>
      <c r="G117" s="1620">
        <f t="shared" si="34"/>
        <v>0.84279999999999999</v>
      </c>
      <c r="H117" s="1620">
        <f t="shared" si="34"/>
        <v>0.84279999999999999</v>
      </c>
      <c r="I117" s="1620">
        <f>ROUND(0.7412-0.0095*B113,4)</f>
        <v>0.70320000000000005</v>
      </c>
      <c r="J117" s="1620">
        <f t="shared" si="33"/>
        <v>0.70320000000000005</v>
      </c>
      <c r="K117" s="1620">
        <f t="shared" si="33"/>
        <v>0.70320000000000005</v>
      </c>
      <c r="L117" s="1620">
        <f t="shared" si="33"/>
        <v>0.70320000000000005</v>
      </c>
      <c r="M117" s="1621">
        <f t="shared" si="33"/>
        <v>0.70320000000000005</v>
      </c>
    </row>
    <row r="118" spans="1:13" ht="13.5" thickBot="1">
      <c r="A118" s="1127" t="s">
        <v>2125</v>
      </c>
      <c r="B118" s="1623">
        <f>ROUND(0.7275-0.01*B113,4)</f>
        <v>0.6875</v>
      </c>
      <c r="C118" s="1623">
        <f>B118</f>
        <v>0.6875</v>
      </c>
      <c r="D118" s="1623">
        <f>ROUND(0.7043-0.012*B113,4)</f>
        <v>0.65629999999999999</v>
      </c>
      <c r="E118" s="1623">
        <f>D118</f>
        <v>0.65629999999999999</v>
      </c>
      <c r="F118" s="1623">
        <f>E118</f>
        <v>0.65629999999999999</v>
      </c>
      <c r="G118" s="1623">
        <f>ROUND(0.6299-0.0122*B113,4)</f>
        <v>0.58109999999999995</v>
      </c>
      <c r="H118" s="1623">
        <f>G118</f>
        <v>0.58109999999999995</v>
      </c>
      <c r="I118" s="1623">
        <f>ROUND(0.5667-0.0136*B113,4)</f>
        <v>0.51229999999999998</v>
      </c>
      <c r="J118" s="1623">
        <f t="shared" si="33"/>
        <v>0.51229999999999998</v>
      </c>
      <c r="K118" s="1623">
        <f t="shared" si="33"/>
        <v>0.51229999999999998</v>
      </c>
      <c r="L118" s="1623">
        <f t="shared" si="33"/>
        <v>0.51229999999999998</v>
      </c>
      <c r="M118" s="1624">
        <f t="shared" si="33"/>
        <v>0.51229999999999998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0" customWidth="1"/>
    <col min="2" max="9" width="8.25" style="1572" customWidth="1"/>
    <col min="10" max="13" width="8.25" style="1500"/>
    <col min="14" max="14" width="10" style="1500" customWidth="1"/>
    <col min="15" max="16" width="8.25" style="1500"/>
    <col min="17" max="17" width="34.125" style="1500" customWidth="1"/>
    <col min="18" max="18" width="8.25" style="1500" customWidth="1"/>
    <col min="19" max="19" width="8.25" style="1500"/>
    <col min="20" max="20" width="11.625" style="1500" customWidth="1"/>
    <col min="21" max="16384" width="8.25" style="1500"/>
  </cols>
  <sheetData>
    <row r="1" spans="1:13" ht="19.5" customHeight="1" thickBot="1">
      <c r="A1" s="1550" t="s">
        <v>1911</v>
      </c>
      <c r="B1" s="1525" t="s">
        <v>1522</v>
      </c>
      <c r="C1" s="1525" t="s">
        <v>1523</v>
      </c>
      <c r="D1" s="1525" t="s">
        <v>1524</v>
      </c>
      <c r="E1" s="1525" t="s">
        <v>1525</v>
      </c>
      <c r="F1" s="1525" t="s">
        <v>1526</v>
      </c>
      <c r="G1" s="1525" t="s">
        <v>1527</v>
      </c>
      <c r="H1" s="1525" t="s">
        <v>1528</v>
      </c>
      <c r="I1" s="1525" t="s">
        <v>1529</v>
      </c>
      <c r="J1" s="1525" t="s">
        <v>1530</v>
      </c>
      <c r="K1" s="1525" t="s">
        <v>1531</v>
      </c>
      <c r="L1" s="1525" t="s">
        <v>1532</v>
      </c>
      <c r="M1" s="1526" t="s">
        <v>1533</v>
      </c>
    </row>
    <row r="2" spans="1:13" ht="19.5" customHeight="1">
      <c r="A2" s="1551" t="s">
        <v>1548</v>
      </c>
      <c r="B2" s="1552">
        <v>3.5</v>
      </c>
      <c r="C2" s="1552">
        <v>3.5</v>
      </c>
      <c r="D2" s="1553">
        <v>2.5</v>
      </c>
      <c r="E2" s="1553">
        <v>2.5</v>
      </c>
      <c r="F2" s="1553">
        <v>2.5</v>
      </c>
      <c r="G2" s="1553">
        <v>2.5</v>
      </c>
      <c r="H2" s="1553">
        <v>2.5</v>
      </c>
      <c r="I2" s="1552">
        <v>2</v>
      </c>
      <c r="J2" s="1552">
        <v>2</v>
      </c>
      <c r="K2" s="1552">
        <v>2</v>
      </c>
      <c r="L2" s="1552">
        <v>2</v>
      </c>
      <c r="M2" s="1554">
        <v>2</v>
      </c>
    </row>
    <row r="3" spans="1:13" ht="19.5" customHeight="1">
      <c r="A3" s="1555" t="s">
        <v>1549</v>
      </c>
      <c r="B3" s="1556">
        <v>3.5</v>
      </c>
      <c r="C3" s="1556">
        <v>3.5</v>
      </c>
      <c r="D3" s="1557">
        <v>2.5</v>
      </c>
      <c r="E3" s="1557">
        <v>2.5</v>
      </c>
      <c r="F3" s="1557">
        <v>2.5</v>
      </c>
      <c r="G3" s="1557">
        <v>2.5</v>
      </c>
      <c r="H3" s="1557">
        <v>2.5</v>
      </c>
      <c r="I3" s="1556">
        <v>2</v>
      </c>
      <c r="J3" s="1556">
        <v>2</v>
      </c>
      <c r="K3" s="1556">
        <v>2</v>
      </c>
      <c r="L3" s="1556">
        <v>2</v>
      </c>
      <c r="M3" s="1558">
        <v>2</v>
      </c>
    </row>
    <row r="4" spans="1:13" ht="19.5" customHeight="1">
      <c r="A4" s="1555" t="s">
        <v>2199</v>
      </c>
      <c r="B4" s="1557">
        <v>2.5</v>
      </c>
      <c r="C4" s="1557">
        <v>2.5</v>
      </c>
      <c r="D4" s="1557">
        <v>2.5</v>
      </c>
      <c r="E4" s="1557">
        <v>2.5</v>
      </c>
      <c r="F4" s="1557">
        <v>2.5</v>
      </c>
      <c r="G4" s="1557">
        <v>2.5</v>
      </c>
      <c r="H4" s="1557">
        <v>2.5</v>
      </c>
      <c r="I4" s="1556">
        <v>1.5</v>
      </c>
      <c r="J4" s="1556">
        <v>1.5</v>
      </c>
      <c r="K4" s="1556">
        <v>1.5</v>
      </c>
      <c r="L4" s="1556">
        <v>1.5</v>
      </c>
      <c r="M4" s="1558">
        <v>1.5</v>
      </c>
    </row>
    <row r="5" spans="1:13" ht="19.5" customHeight="1" thickBot="1">
      <c r="A5" s="1559" t="s">
        <v>1551</v>
      </c>
      <c r="B5" s="1560">
        <v>1.5</v>
      </c>
      <c r="C5" s="1560">
        <v>1.5</v>
      </c>
      <c r="D5" s="1560">
        <v>1.5</v>
      </c>
      <c r="E5" s="1560">
        <v>1.5</v>
      </c>
      <c r="F5" s="1560">
        <v>1.5</v>
      </c>
      <c r="G5" s="1561">
        <v>1.2</v>
      </c>
      <c r="H5" s="1561">
        <v>1.2</v>
      </c>
      <c r="I5" s="1561">
        <v>1</v>
      </c>
      <c r="J5" s="1561">
        <v>1</v>
      </c>
      <c r="K5" s="1561">
        <v>1</v>
      </c>
      <c r="L5" s="1561">
        <v>1</v>
      </c>
      <c r="M5" s="1562">
        <v>1</v>
      </c>
    </row>
    <row r="6" spans="1:13" ht="19.5" customHeight="1">
      <c r="A6" s="1563" t="s">
        <v>1912</v>
      </c>
      <c r="B6" s="1564">
        <v>80</v>
      </c>
      <c r="C6" s="1564">
        <v>80</v>
      </c>
      <c r="D6" s="1564">
        <v>65</v>
      </c>
      <c r="E6" s="1564">
        <v>65</v>
      </c>
      <c r="F6" s="1564">
        <v>65</v>
      </c>
      <c r="G6" s="1564">
        <v>65</v>
      </c>
      <c r="H6" s="1564">
        <v>65</v>
      </c>
      <c r="I6" s="1564">
        <v>50</v>
      </c>
      <c r="J6" s="1564">
        <v>50</v>
      </c>
      <c r="K6" s="1564">
        <v>50</v>
      </c>
      <c r="L6" s="1564">
        <v>50</v>
      </c>
      <c r="M6" s="1565">
        <v>50</v>
      </c>
    </row>
    <row r="7" spans="1:13" ht="19.5" customHeight="1">
      <c r="A7" s="1501" t="s">
        <v>1913</v>
      </c>
      <c r="B7" s="1502">
        <v>70</v>
      </c>
      <c r="C7" s="1502">
        <v>70</v>
      </c>
      <c r="D7" s="1502">
        <v>55</v>
      </c>
      <c r="E7" s="1502">
        <v>55</v>
      </c>
      <c r="F7" s="1502">
        <v>55</v>
      </c>
      <c r="G7" s="1502">
        <v>55</v>
      </c>
      <c r="H7" s="1502">
        <v>55</v>
      </c>
      <c r="I7" s="1502">
        <v>40</v>
      </c>
      <c r="J7" s="1502">
        <v>40</v>
      </c>
      <c r="K7" s="1502">
        <v>40</v>
      </c>
      <c r="L7" s="1502">
        <v>40</v>
      </c>
      <c r="M7" s="1566">
        <v>40</v>
      </c>
    </row>
    <row r="8" spans="1:13" ht="19.5" customHeight="1">
      <c r="A8" s="1501" t="s">
        <v>1914</v>
      </c>
      <c r="B8" s="1502">
        <v>20</v>
      </c>
      <c r="C8" s="1502">
        <v>20</v>
      </c>
      <c r="D8" s="1502">
        <v>15</v>
      </c>
      <c r="E8" s="1502">
        <v>15</v>
      </c>
      <c r="F8" s="1502">
        <v>15</v>
      </c>
      <c r="G8" s="1502">
        <v>15</v>
      </c>
      <c r="H8" s="1502">
        <v>15</v>
      </c>
      <c r="I8" s="1502">
        <v>10</v>
      </c>
      <c r="J8" s="1502">
        <v>10</v>
      </c>
      <c r="K8" s="1502">
        <v>10</v>
      </c>
      <c r="L8" s="1502">
        <v>10</v>
      </c>
      <c r="M8" s="1566">
        <v>10</v>
      </c>
    </row>
    <row r="9" spans="1:13" ht="19.5" customHeight="1">
      <c r="A9" s="1501" t="s">
        <v>1915</v>
      </c>
      <c r="B9" s="1502">
        <v>30</v>
      </c>
      <c r="C9" s="1502">
        <v>30</v>
      </c>
      <c r="D9" s="1502">
        <v>25</v>
      </c>
      <c r="E9" s="1502">
        <v>25</v>
      </c>
      <c r="F9" s="1502">
        <v>25</v>
      </c>
      <c r="G9" s="1502">
        <v>25</v>
      </c>
      <c r="H9" s="1502">
        <v>25</v>
      </c>
      <c r="I9" s="1502">
        <v>20</v>
      </c>
      <c r="J9" s="1502">
        <v>20</v>
      </c>
      <c r="K9" s="1502">
        <v>20</v>
      </c>
      <c r="L9" s="1502">
        <v>20</v>
      </c>
      <c r="M9" s="1566">
        <v>20</v>
      </c>
    </row>
    <row r="10" spans="1:13" ht="19.5" customHeight="1">
      <c r="A10" s="1501" t="s">
        <v>1916</v>
      </c>
      <c r="B10" s="1502">
        <v>45</v>
      </c>
      <c r="C10" s="1502">
        <v>45</v>
      </c>
      <c r="D10" s="1502">
        <v>35</v>
      </c>
      <c r="E10" s="1502">
        <v>35</v>
      </c>
      <c r="F10" s="1502">
        <v>35</v>
      </c>
      <c r="G10" s="1502">
        <v>35</v>
      </c>
      <c r="H10" s="1502">
        <v>35</v>
      </c>
      <c r="I10" s="1502">
        <v>25</v>
      </c>
      <c r="J10" s="1502">
        <v>25</v>
      </c>
      <c r="K10" s="1502">
        <v>25</v>
      </c>
      <c r="L10" s="1502">
        <v>25</v>
      </c>
      <c r="M10" s="1566">
        <v>25</v>
      </c>
    </row>
    <row r="11" spans="1:13" ht="19.5" customHeight="1">
      <c r="A11" s="1501" t="s">
        <v>1917</v>
      </c>
      <c r="B11" s="1502">
        <v>60</v>
      </c>
      <c r="C11" s="1502">
        <v>60</v>
      </c>
      <c r="D11" s="1502">
        <v>50</v>
      </c>
      <c r="E11" s="1502">
        <v>50</v>
      </c>
      <c r="F11" s="1502">
        <v>50</v>
      </c>
      <c r="G11" s="1502">
        <v>50</v>
      </c>
      <c r="H11" s="1502">
        <v>50</v>
      </c>
      <c r="I11" s="1502">
        <v>40</v>
      </c>
      <c r="J11" s="1502">
        <v>40</v>
      </c>
      <c r="K11" s="1502">
        <v>40</v>
      </c>
      <c r="L11" s="1502">
        <v>40</v>
      </c>
      <c r="M11" s="1566">
        <v>40</v>
      </c>
    </row>
    <row r="12" spans="1:13" ht="19.5" customHeight="1">
      <c r="A12" s="1501" t="s">
        <v>1918</v>
      </c>
      <c r="B12" s="1502">
        <v>50</v>
      </c>
      <c r="C12" s="1502">
        <v>50</v>
      </c>
      <c r="D12" s="1502">
        <v>40</v>
      </c>
      <c r="E12" s="1502">
        <v>40</v>
      </c>
      <c r="F12" s="1502">
        <v>40</v>
      </c>
      <c r="G12" s="1502">
        <v>40</v>
      </c>
      <c r="H12" s="1502">
        <v>40</v>
      </c>
      <c r="I12" s="1502">
        <v>30</v>
      </c>
      <c r="J12" s="1502">
        <v>30</v>
      </c>
      <c r="K12" s="1502">
        <v>30</v>
      </c>
      <c r="L12" s="1502">
        <v>30</v>
      </c>
      <c r="M12" s="1566">
        <v>30</v>
      </c>
    </row>
    <row r="13" spans="1:13" ht="19.5" customHeight="1">
      <c r="A13" s="1567" t="s">
        <v>1919</v>
      </c>
      <c r="B13" s="1513">
        <v>20</v>
      </c>
      <c r="C13" s="1513">
        <v>20</v>
      </c>
      <c r="D13" s="1513">
        <v>15</v>
      </c>
      <c r="E13" s="1513">
        <v>15</v>
      </c>
      <c r="F13" s="1513">
        <v>15</v>
      </c>
      <c r="G13" s="1513">
        <v>15</v>
      </c>
      <c r="H13" s="1513">
        <v>15</v>
      </c>
      <c r="I13" s="1513">
        <v>10</v>
      </c>
      <c r="J13" s="1513">
        <v>10</v>
      </c>
      <c r="K13" s="1513">
        <v>10</v>
      </c>
      <c r="L13" s="1513">
        <v>10</v>
      </c>
      <c r="M13" s="1568">
        <v>10</v>
      </c>
    </row>
    <row r="14" spans="1:13" ht="19.5" customHeight="1">
      <c r="A14" s="1502" t="s">
        <v>1920</v>
      </c>
      <c r="B14" s="1569">
        <v>0</v>
      </c>
      <c r="C14" s="1569">
        <v>0</v>
      </c>
      <c r="D14" s="1569">
        <v>0</v>
      </c>
      <c r="E14" s="1569">
        <v>0</v>
      </c>
      <c r="F14" s="1569">
        <v>0</v>
      </c>
      <c r="G14" s="1569">
        <v>0</v>
      </c>
      <c r="H14" s="1569">
        <v>0</v>
      </c>
      <c r="I14" s="1569">
        <v>0</v>
      </c>
      <c r="J14" s="1569">
        <v>0</v>
      </c>
      <c r="K14" s="1569">
        <v>0</v>
      </c>
      <c r="L14" s="1569">
        <v>0</v>
      </c>
      <c r="M14" s="1569">
        <v>0</v>
      </c>
    </row>
    <row r="16" spans="1:13" ht="19.5" customHeight="1">
      <c r="A16" s="1570" t="s">
        <v>1921</v>
      </c>
      <c r="B16" s="1570"/>
      <c r="C16" s="1571"/>
      <c r="D16" s="1571"/>
      <c r="E16" s="1570"/>
      <c r="F16" s="1571"/>
      <c r="G16" s="1571"/>
    </row>
    <row r="17" spans="1:9" ht="19.5" customHeight="1">
      <c r="A17" s="1502" t="s">
        <v>1922</v>
      </c>
      <c r="B17" s="1573" t="s">
        <v>1923</v>
      </c>
      <c r="C17" s="1755" t="s">
        <v>2224</v>
      </c>
      <c r="D17" s="1574"/>
      <c r="E17" s="1502" t="s">
        <v>1924</v>
      </c>
      <c r="F17" s="1575"/>
      <c r="G17" s="1575"/>
    </row>
    <row r="18" spans="1:9" s="1581" customFormat="1" ht="19.5" customHeight="1">
      <c r="A18" s="3888" t="s">
        <v>1548</v>
      </c>
      <c r="B18" s="1576" t="s">
        <v>1925</v>
      </c>
      <c r="C18" s="1577" t="s">
        <v>1926</v>
      </c>
      <c r="D18" s="1578"/>
      <c r="E18" s="1576">
        <v>1</v>
      </c>
      <c r="F18" s="1579" t="s">
        <v>1927</v>
      </c>
      <c r="G18" s="1580"/>
      <c r="H18" s="1572"/>
      <c r="I18" s="1572"/>
    </row>
    <row r="19" spans="1:9" s="1581" customFormat="1" ht="19.5" customHeight="1">
      <c r="A19" s="3888"/>
      <c r="B19" s="3888" t="s">
        <v>1928</v>
      </c>
      <c r="C19" s="1577" t="s">
        <v>1929</v>
      </c>
      <c r="D19" s="1578"/>
      <c r="E19" s="1576">
        <v>0.9</v>
      </c>
      <c r="F19" s="1579" t="s">
        <v>1930</v>
      </c>
      <c r="G19" s="1580"/>
      <c r="H19" s="1572"/>
      <c r="I19" s="1572"/>
    </row>
    <row r="20" spans="1:9" s="1581" customFormat="1" ht="19.5" customHeight="1">
      <c r="A20" s="3888"/>
      <c r="B20" s="3888"/>
      <c r="C20" s="1577" t="s">
        <v>1931</v>
      </c>
      <c r="D20" s="1578"/>
      <c r="E20" s="1576">
        <v>1.1000000000000001</v>
      </c>
      <c r="F20" s="1579" t="s">
        <v>1932</v>
      </c>
      <c r="G20" s="1580"/>
      <c r="H20" s="1572"/>
      <c r="I20" s="1572"/>
    </row>
    <row r="21" spans="1:9" s="1581" customFormat="1" ht="19.5" customHeight="1">
      <c r="A21" s="3888"/>
      <c r="B21" s="3888"/>
      <c r="C21" s="1577" t="s">
        <v>1933</v>
      </c>
      <c r="D21" s="1578"/>
      <c r="E21" s="1576">
        <v>0.8</v>
      </c>
      <c r="F21" s="1579" t="s">
        <v>1934</v>
      </c>
      <c r="G21" s="1580"/>
      <c r="H21" s="1572"/>
      <c r="I21" s="1572"/>
    </row>
    <row r="22" spans="1:9" s="1581" customFormat="1" ht="19.5" customHeight="1">
      <c r="A22" s="3888"/>
      <c r="B22" s="3888"/>
      <c r="C22" s="1577" t="s">
        <v>1935</v>
      </c>
      <c r="D22" s="1578"/>
      <c r="E22" s="1576">
        <v>0.5</v>
      </c>
      <c r="F22" s="1579"/>
      <c r="G22" s="1580"/>
      <c r="H22" s="1572"/>
      <c r="I22" s="1572"/>
    </row>
    <row r="23" spans="1:9" s="1581" customFormat="1" ht="19.5" customHeight="1">
      <c r="A23" s="3888" t="s">
        <v>1549</v>
      </c>
      <c r="B23" s="1576" t="s">
        <v>1925</v>
      </c>
      <c r="C23" s="1577" t="s">
        <v>1936</v>
      </c>
      <c r="D23" s="1578"/>
      <c r="E23" s="1576">
        <v>1</v>
      </c>
      <c r="F23" s="1579" t="s">
        <v>1937</v>
      </c>
      <c r="G23" s="1580"/>
      <c r="H23" s="1572"/>
      <c r="I23" s="1572"/>
    </row>
    <row r="24" spans="1:9" s="1581" customFormat="1" ht="19.5" customHeight="1">
      <c r="A24" s="3888"/>
      <c r="B24" s="3888" t="s">
        <v>1928</v>
      </c>
      <c r="C24" s="1577" t="s">
        <v>1938</v>
      </c>
      <c r="D24" s="1578"/>
      <c r="E24" s="1576">
        <v>0.5</v>
      </c>
      <c r="F24" s="1579"/>
      <c r="G24" s="1580"/>
      <c r="H24" s="1572"/>
      <c r="I24" s="1572"/>
    </row>
    <row r="25" spans="1:9" s="1581" customFormat="1" ht="19.5" customHeight="1">
      <c r="A25" s="3888"/>
      <c r="B25" s="3888"/>
      <c r="C25" s="1577" t="s">
        <v>1939</v>
      </c>
      <c r="D25" s="1578"/>
      <c r="E25" s="1576">
        <v>1.1000000000000001</v>
      </c>
      <c r="F25" s="1579"/>
      <c r="G25" s="1580"/>
      <c r="H25" s="1572"/>
      <c r="I25" s="1572"/>
    </row>
    <row r="26" spans="1:9" s="1581" customFormat="1" ht="19.5" customHeight="1">
      <c r="A26" s="3888"/>
      <c r="B26" s="3888"/>
      <c r="C26" s="1577" t="s">
        <v>1940</v>
      </c>
      <c r="D26" s="1578"/>
      <c r="E26" s="1576">
        <v>1.1000000000000001</v>
      </c>
      <c r="F26" s="1579"/>
      <c r="G26" s="1580"/>
      <c r="H26" s="1572"/>
      <c r="I26" s="1572"/>
    </row>
    <row r="27" spans="1:9" s="1581" customFormat="1" ht="19.5" customHeight="1">
      <c r="A27" s="3888"/>
      <c r="B27" s="3888"/>
      <c r="C27" s="1577" t="s">
        <v>1941</v>
      </c>
      <c r="D27" s="1578"/>
      <c r="E27" s="1576">
        <v>0.9</v>
      </c>
      <c r="F27" s="1579" t="s">
        <v>1942</v>
      </c>
      <c r="G27" s="1580"/>
      <c r="H27" s="1572"/>
      <c r="I27" s="1572"/>
    </row>
    <row r="28" spans="1:9" s="1581" customFormat="1" ht="19.5" customHeight="1">
      <c r="A28" s="3888"/>
      <c r="B28" s="3888"/>
      <c r="C28" s="1577" t="s">
        <v>1943</v>
      </c>
      <c r="D28" s="1578"/>
      <c r="E28" s="1576">
        <v>0.9</v>
      </c>
      <c r="F28" s="1579" t="s">
        <v>1944</v>
      </c>
      <c r="G28" s="1580"/>
      <c r="H28" s="1572"/>
      <c r="I28" s="1572"/>
    </row>
    <row r="29" spans="1:9" s="1581" customFormat="1" ht="19.5" customHeight="1">
      <c r="A29" s="3888"/>
      <c r="B29" s="3888"/>
      <c r="C29" s="1577" t="s">
        <v>1945</v>
      </c>
      <c r="D29" s="1578"/>
      <c r="E29" s="1576">
        <v>0.9</v>
      </c>
      <c r="F29" s="1579" t="s">
        <v>1946</v>
      </c>
      <c r="G29" s="1580"/>
      <c r="H29" s="1572"/>
      <c r="I29" s="1572"/>
    </row>
    <row r="30" spans="1:9" s="1581" customFormat="1" ht="19.5" customHeight="1">
      <c r="A30" s="3888"/>
      <c r="B30" s="3888"/>
      <c r="C30" s="1577" t="s">
        <v>1947</v>
      </c>
      <c r="D30" s="1578"/>
      <c r="E30" s="1576">
        <v>0.9</v>
      </c>
      <c r="F30" s="1579" t="s">
        <v>1948</v>
      </c>
      <c r="G30" s="1580"/>
      <c r="H30" s="1572"/>
      <c r="I30" s="1572"/>
    </row>
    <row r="31" spans="1:9" s="1581" customFormat="1" ht="19.5" customHeight="1">
      <c r="A31" s="3888"/>
      <c r="B31" s="3888"/>
      <c r="C31" s="1577" t="s">
        <v>1949</v>
      </c>
      <c r="D31" s="1578"/>
      <c r="E31" s="1576">
        <v>0.8</v>
      </c>
      <c r="F31" s="1579" t="s">
        <v>1950</v>
      </c>
      <c r="G31" s="1580"/>
      <c r="H31" s="1572"/>
      <c r="I31" s="1572"/>
    </row>
    <row r="32" spans="1:9" s="1581" customFormat="1" ht="19.5" customHeight="1">
      <c r="A32" s="3888"/>
      <c r="B32" s="3888"/>
      <c r="C32" s="1577" t="s">
        <v>1951</v>
      </c>
      <c r="D32" s="1578"/>
      <c r="E32" s="1576">
        <v>0.8</v>
      </c>
      <c r="F32" s="1579" t="s">
        <v>1952</v>
      </c>
      <c r="G32" s="1580"/>
      <c r="H32" s="1572"/>
      <c r="I32" s="1572"/>
    </row>
    <row r="33" spans="1:9" s="1581" customFormat="1" ht="19.5" customHeight="1">
      <c r="A33" s="3888" t="s">
        <v>1550</v>
      </c>
      <c r="B33" s="1576" t="s">
        <v>1925</v>
      </c>
      <c r="C33" s="1577" t="s">
        <v>1953</v>
      </c>
      <c r="D33" s="1578"/>
      <c r="E33" s="1576">
        <v>1</v>
      </c>
      <c r="F33" s="1579" t="s">
        <v>1954</v>
      </c>
      <c r="G33" s="1580"/>
      <c r="H33" s="1572"/>
      <c r="I33" s="1572"/>
    </row>
    <row r="34" spans="1:9" s="1581" customFormat="1" ht="19.5" customHeight="1">
      <c r="A34" s="3888"/>
      <c r="B34" s="1576" t="s">
        <v>1928</v>
      </c>
      <c r="C34" s="1577" t="s">
        <v>1955</v>
      </c>
      <c r="D34" s="1578"/>
      <c r="E34" s="1576">
        <v>1.5</v>
      </c>
      <c r="F34" s="1579" t="s">
        <v>1956</v>
      </c>
      <c r="G34" s="1580"/>
      <c r="H34" s="1572"/>
      <c r="I34" s="1572"/>
    </row>
    <row r="35" spans="1:9" s="1581" customFormat="1" ht="19.5" customHeight="1">
      <c r="A35" s="3888" t="s">
        <v>1551</v>
      </c>
      <c r="B35" s="1576" t="s">
        <v>1925</v>
      </c>
      <c r="C35" s="1577" t="s">
        <v>1957</v>
      </c>
      <c r="D35" s="1578"/>
      <c r="E35" s="1576">
        <v>1</v>
      </c>
      <c r="F35" s="1579" t="s">
        <v>1958</v>
      </c>
      <c r="G35" s="1580"/>
      <c r="H35" s="1572"/>
      <c r="I35" s="1572"/>
    </row>
    <row r="36" spans="1:9" s="1581" customFormat="1" ht="19.5" customHeight="1">
      <c r="A36" s="3888"/>
      <c r="B36" s="3888" t="s">
        <v>1928</v>
      </c>
      <c r="C36" s="1577" t="s">
        <v>1959</v>
      </c>
      <c r="D36" s="1578"/>
      <c r="E36" s="1576">
        <v>1</v>
      </c>
      <c r="F36" s="1579" t="s">
        <v>1960</v>
      </c>
      <c r="G36" s="1580"/>
      <c r="H36" s="1572"/>
      <c r="I36" s="1572"/>
    </row>
    <row r="37" spans="1:9" s="1581" customFormat="1" ht="19.5" customHeight="1">
      <c r="A37" s="3888"/>
      <c r="B37" s="3888"/>
      <c r="C37" s="1577" t="s">
        <v>1961</v>
      </c>
      <c r="D37" s="1578"/>
      <c r="E37" s="1576">
        <v>1.5</v>
      </c>
      <c r="F37" s="1579" t="s">
        <v>1962</v>
      </c>
      <c r="G37" s="1580"/>
      <c r="H37" s="1572"/>
      <c r="I37" s="1572"/>
    </row>
    <row r="38" spans="1:9" s="1581" customFormat="1" ht="19.5" customHeight="1">
      <c r="A38" s="3888"/>
      <c r="B38" s="3888"/>
      <c r="C38" s="1577" t="s">
        <v>1963</v>
      </c>
      <c r="D38" s="1578"/>
      <c r="E38" s="1576">
        <v>1</v>
      </c>
      <c r="F38" s="1579" t="s">
        <v>1964</v>
      </c>
      <c r="G38" s="1580"/>
      <c r="H38" s="1572"/>
      <c r="I38" s="1572"/>
    </row>
    <row r="39" spans="1:9" s="1581" customFormat="1" ht="19.5" customHeight="1">
      <c r="A39" s="3888"/>
      <c r="B39" s="3888"/>
      <c r="C39" s="1577" t="s">
        <v>1965</v>
      </c>
      <c r="D39" s="1578"/>
      <c r="E39" s="1576">
        <v>1</v>
      </c>
      <c r="F39" s="1579" t="s">
        <v>1966</v>
      </c>
      <c r="G39" s="1580"/>
      <c r="H39" s="1572"/>
      <c r="I39" s="1572"/>
    </row>
    <row r="40" spans="1:9" s="1581" customFormat="1" ht="19.5" customHeight="1">
      <c r="A40" s="1582" t="s">
        <v>1967</v>
      </c>
      <c r="B40" s="1582"/>
      <c r="C40" s="1582"/>
      <c r="D40" s="1582"/>
      <c r="E40" s="1582"/>
      <c r="F40" s="1583"/>
      <c r="G40" s="1583"/>
      <c r="H40" s="1572"/>
      <c r="I40" s="1572"/>
    </row>
    <row r="42" spans="1:9" ht="19.5" customHeight="1">
      <c r="A42" s="1584"/>
      <c r="B42" s="1502" t="s">
        <v>1968</v>
      </c>
      <c r="C42" s="1502" t="s">
        <v>1968</v>
      </c>
      <c r="D42" s="1502" t="s">
        <v>1968</v>
      </c>
      <c r="E42" s="1513" t="s">
        <v>1968</v>
      </c>
      <c r="F42" s="1513" t="s">
        <v>1968</v>
      </c>
      <c r="G42" s="1513" t="s">
        <v>1969</v>
      </c>
      <c r="H42" s="1513" t="s">
        <v>1968</v>
      </c>
    </row>
    <row r="43" spans="1:9" ht="19.5" customHeight="1">
      <c r="A43" s="1585"/>
      <c r="B43" s="1513" t="s">
        <v>1548</v>
      </c>
      <c r="C43" s="1513" t="s">
        <v>1548</v>
      </c>
      <c r="D43" s="1513" t="s">
        <v>1548</v>
      </c>
      <c r="E43" s="1513" t="s">
        <v>1548</v>
      </c>
      <c r="F43" s="1502" t="s">
        <v>1549</v>
      </c>
      <c r="G43" s="1502" t="s">
        <v>1551</v>
      </c>
      <c r="H43" s="1502" t="s">
        <v>1970</v>
      </c>
    </row>
    <row r="44" spans="1:9" ht="19.5" customHeight="1">
      <c r="A44" s="1586"/>
      <c r="B44" s="1502">
        <v>1</v>
      </c>
      <c r="C44" s="1502">
        <v>2</v>
      </c>
      <c r="D44" s="1502">
        <v>3</v>
      </c>
      <c r="E44" s="1513">
        <v>4</v>
      </c>
      <c r="F44" s="1574" t="s">
        <v>1971</v>
      </c>
      <c r="G44" s="1574" t="s">
        <v>1971</v>
      </c>
      <c r="H44" s="1574" t="s">
        <v>1971</v>
      </c>
    </row>
    <row r="45" spans="1:9" ht="19.5" customHeight="1">
      <c r="A45" s="1587" t="s">
        <v>1522</v>
      </c>
      <c r="B45" s="1502">
        <v>0.8</v>
      </c>
      <c r="C45" s="1502">
        <v>0.5</v>
      </c>
      <c r="D45" s="1502">
        <v>0.36</v>
      </c>
      <c r="E45" s="1502">
        <v>0.3</v>
      </c>
      <c r="F45" s="1574">
        <v>0.3</v>
      </c>
      <c r="G45" s="1502">
        <v>0.3</v>
      </c>
      <c r="H45" s="1502">
        <v>0.25</v>
      </c>
    </row>
    <row r="46" spans="1:9" ht="19.5" customHeight="1">
      <c r="A46" s="1587" t="s">
        <v>1523</v>
      </c>
      <c r="B46" s="1502">
        <v>0.8</v>
      </c>
      <c r="C46" s="1502">
        <v>0.5</v>
      </c>
      <c r="D46" s="1502">
        <v>0.36</v>
      </c>
      <c r="E46" s="1502">
        <v>0.3</v>
      </c>
      <c r="F46" s="1502">
        <v>0.3</v>
      </c>
      <c r="G46" s="1502">
        <v>0.3</v>
      </c>
      <c r="H46" s="1502">
        <v>0.25</v>
      </c>
    </row>
    <row r="47" spans="1:9" ht="19.5" customHeight="1">
      <c r="A47" s="1587" t="s">
        <v>1524</v>
      </c>
      <c r="B47" s="1502">
        <v>0.7</v>
      </c>
      <c r="C47" s="1502">
        <v>0.4</v>
      </c>
      <c r="D47" s="1502">
        <v>0.28000000000000003</v>
      </c>
      <c r="E47" s="1502">
        <v>0.25</v>
      </c>
      <c r="F47" s="1502">
        <v>0.25</v>
      </c>
      <c r="G47" s="1502">
        <v>0.25</v>
      </c>
      <c r="H47" s="1502">
        <v>0.2</v>
      </c>
    </row>
    <row r="48" spans="1:9" ht="19.5" customHeight="1">
      <c r="A48" s="1587" t="s">
        <v>1525</v>
      </c>
      <c r="B48" s="1502">
        <v>0.7</v>
      </c>
      <c r="C48" s="1502">
        <v>0.4</v>
      </c>
      <c r="D48" s="1502">
        <v>0.28000000000000003</v>
      </c>
      <c r="E48" s="1502">
        <v>0.25</v>
      </c>
      <c r="F48" s="1502">
        <v>0.25</v>
      </c>
      <c r="G48" s="1502">
        <v>0.25</v>
      </c>
      <c r="H48" s="1502">
        <v>0.2</v>
      </c>
    </row>
    <row r="49" spans="1:8" s="1572" customFormat="1" ht="19.5" customHeight="1">
      <c r="A49" s="1587" t="s">
        <v>1526</v>
      </c>
      <c r="B49" s="1502">
        <v>0.7</v>
      </c>
      <c r="C49" s="1502">
        <v>0.4</v>
      </c>
      <c r="D49" s="1502">
        <v>0.28000000000000003</v>
      </c>
      <c r="E49" s="1502">
        <v>0.25</v>
      </c>
      <c r="F49" s="1502">
        <v>0.25</v>
      </c>
      <c r="G49" s="1502">
        <v>0.25</v>
      </c>
      <c r="H49" s="1502">
        <v>0.2</v>
      </c>
    </row>
    <row r="50" spans="1:8" s="1572" customFormat="1" ht="19.5" customHeight="1">
      <c r="A50" s="1587" t="s">
        <v>1527</v>
      </c>
      <c r="B50" s="1502">
        <v>0.7</v>
      </c>
      <c r="C50" s="1502">
        <v>0.4</v>
      </c>
      <c r="D50" s="1502">
        <v>0.28000000000000003</v>
      </c>
      <c r="E50" s="1502">
        <v>0.25</v>
      </c>
      <c r="F50" s="1502">
        <v>0.25</v>
      </c>
      <c r="G50" s="1502">
        <v>0.25</v>
      </c>
      <c r="H50" s="1502">
        <v>0.2</v>
      </c>
    </row>
    <row r="51" spans="1:8" s="1572" customFormat="1" ht="19.5" customHeight="1">
      <c r="A51" s="1587" t="s">
        <v>1528</v>
      </c>
      <c r="B51" s="1502">
        <v>0.7</v>
      </c>
      <c r="C51" s="1502">
        <v>0.4</v>
      </c>
      <c r="D51" s="1502">
        <v>0.28000000000000003</v>
      </c>
      <c r="E51" s="1502">
        <v>0.25</v>
      </c>
      <c r="F51" s="1502">
        <v>0.25</v>
      </c>
      <c r="G51" s="1502">
        <v>0.25</v>
      </c>
      <c r="H51" s="1502">
        <v>0.2</v>
      </c>
    </row>
    <row r="52" spans="1:8" s="1572" customFormat="1" ht="19.5" customHeight="1">
      <c r="A52" s="1587" t="s">
        <v>1529</v>
      </c>
      <c r="B52" s="1502">
        <v>0.6</v>
      </c>
      <c r="C52" s="1502">
        <v>0.3</v>
      </c>
      <c r="D52" s="1502">
        <v>0.2</v>
      </c>
      <c r="E52" s="1502">
        <v>0.2</v>
      </c>
      <c r="F52" s="1502">
        <v>0.2</v>
      </c>
      <c r="G52" s="1502">
        <v>0.2</v>
      </c>
      <c r="H52" s="1502">
        <v>0.15</v>
      </c>
    </row>
    <row r="53" spans="1:8" s="1572" customFormat="1" ht="19.5" customHeight="1">
      <c r="A53" s="1587" t="s">
        <v>1530</v>
      </c>
      <c r="B53" s="1502">
        <v>0.6</v>
      </c>
      <c r="C53" s="1502">
        <v>0.3</v>
      </c>
      <c r="D53" s="1502">
        <v>0.2</v>
      </c>
      <c r="E53" s="1502">
        <v>0.2</v>
      </c>
      <c r="F53" s="1502">
        <v>0.2</v>
      </c>
      <c r="G53" s="1502">
        <v>0.2</v>
      </c>
      <c r="H53" s="1502">
        <v>0.15</v>
      </c>
    </row>
    <row r="54" spans="1:8" s="1572" customFormat="1" ht="19.5" customHeight="1">
      <c r="A54" s="1587" t="s">
        <v>1531</v>
      </c>
      <c r="B54" s="1502">
        <v>0.6</v>
      </c>
      <c r="C54" s="1502">
        <v>0.3</v>
      </c>
      <c r="D54" s="1502">
        <v>0.2</v>
      </c>
      <c r="E54" s="1502">
        <v>0.2</v>
      </c>
      <c r="F54" s="1502">
        <v>0.2</v>
      </c>
      <c r="G54" s="1502">
        <v>0.2</v>
      </c>
      <c r="H54" s="1502">
        <v>0.15</v>
      </c>
    </row>
    <row r="55" spans="1:8" s="1572" customFormat="1" ht="19.5" customHeight="1">
      <c r="A55" s="1587" t="s">
        <v>1532</v>
      </c>
      <c r="B55" s="1502">
        <v>0.6</v>
      </c>
      <c r="C55" s="1502">
        <v>0.3</v>
      </c>
      <c r="D55" s="1502">
        <v>0.2</v>
      </c>
      <c r="E55" s="1502">
        <v>0.2</v>
      </c>
      <c r="F55" s="1502">
        <v>0.2</v>
      </c>
      <c r="G55" s="1502">
        <v>0.2</v>
      </c>
      <c r="H55" s="1502">
        <v>0.15</v>
      </c>
    </row>
    <row r="56" spans="1:8" s="1572" customFormat="1" ht="19.5" customHeight="1">
      <c r="A56" s="1587" t="s">
        <v>1533</v>
      </c>
      <c r="B56" s="1502">
        <v>0.6</v>
      </c>
      <c r="C56" s="1502">
        <v>0.3</v>
      </c>
      <c r="D56" s="1502">
        <v>0.2</v>
      </c>
      <c r="E56" s="1502">
        <v>0.2</v>
      </c>
      <c r="F56" s="1502">
        <v>0.2</v>
      </c>
      <c r="G56" s="1502">
        <v>0.2</v>
      </c>
      <c r="H56" s="1502">
        <v>0.15</v>
      </c>
    </row>
    <row r="58" spans="1:8" s="1572" customFormat="1" ht="19.5" customHeight="1">
      <c r="A58" s="1588"/>
      <c r="B58" s="1570"/>
      <c r="C58" s="1570"/>
      <c r="D58" s="1570" t="s">
        <v>1972</v>
      </c>
      <c r="E58" s="1570"/>
      <c r="F58" s="1570"/>
    </row>
    <row r="59" spans="1:8" s="1572" customFormat="1" ht="19.5" customHeight="1">
      <c r="A59" s="1576" t="s">
        <v>1973</v>
      </c>
      <c r="B59" s="1576" t="s">
        <v>1974</v>
      </c>
      <c r="C59" s="1576" t="s">
        <v>1975</v>
      </c>
      <c r="D59" s="1576" t="s">
        <v>1976</v>
      </c>
      <c r="E59" s="1576" t="s">
        <v>1977</v>
      </c>
      <c r="F59" s="1576" t="s">
        <v>1978</v>
      </c>
    </row>
    <row r="60" spans="1:8" ht="13.5">
      <c r="A60" s="1772"/>
      <c r="B60" s="1772"/>
      <c r="C60" s="1772" t="s">
        <v>2110</v>
      </c>
      <c r="D60" s="1772"/>
      <c r="E60" s="1589" t="s">
        <v>23</v>
      </c>
      <c r="F60" s="1772" t="s">
        <v>23</v>
      </c>
    </row>
    <row r="61" spans="1:8" s="1572" customFormat="1" ht="24">
      <c r="A61" s="1576">
        <v>1</v>
      </c>
      <c r="B61" s="3888" t="s">
        <v>1979</v>
      </c>
      <c r="C61" s="1502" t="s">
        <v>1980</v>
      </c>
      <c r="D61" s="1502" t="s">
        <v>1981</v>
      </c>
      <c r="E61" s="1589">
        <v>0.5</v>
      </c>
      <c r="F61" s="1576">
        <v>80</v>
      </c>
    </row>
    <row r="62" spans="1:8" s="1572" customFormat="1" ht="24">
      <c r="A62" s="1576">
        <v>2</v>
      </c>
      <c r="B62" s="3888"/>
      <c r="C62" s="1502" t="s">
        <v>1982</v>
      </c>
      <c r="D62" s="1502" t="s">
        <v>1983</v>
      </c>
      <c r="E62" s="1589">
        <v>0.5</v>
      </c>
      <c r="F62" s="1576">
        <v>80</v>
      </c>
    </row>
    <row r="63" spans="1:8" s="1572" customFormat="1" ht="36">
      <c r="A63" s="1576">
        <v>3</v>
      </c>
      <c r="B63" s="3888"/>
      <c r="C63" s="1502" t="s">
        <v>1984</v>
      </c>
      <c r="D63" s="1502" t="s">
        <v>1985</v>
      </c>
      <c r="E63" s="1589">
        <v>0.5</v>
      </c>
      <c r="F63" s="1576">
        <v>80</v>
      </c>
    </row>
    <row r="64" spans="1:8" s="1572" customFormat="1" ht="36">
      <c r="A64" s="1576">
        <v>4</v>
      </c>
      <c r="B64" s="3888"/>
      <c r="C64" s="1502" t="s">
        <v>1986</v>
      </c>
      <c r="D64" s="1502" t="s">
        <v>1987</v>
      </c>
      <c r="E64" s="1589">
        <v>0.4</v>
      </c>
      <c r="F64" s="1576">
        <v>60</v>
      </c>
    </row>
    <row r="65" spans="1:6" s="1572" customFormat="1" ht="36">
      <c r="A65" s="1576">
        <v>5</v>
      </c>
      <c r="B65" s="3888"/>
      <c r="C65" s="1502" t="s">
        <v>1988</v>
      </c>
      <c r="D65" s="1502" t="s">
        <v>1989</v>
      </c>
      <c r="E65" s="1589">
        <v>0.2</v>
      </c>
      <c r="F65" s="1576">
        <v>30</v>
      </c>
    </row>
    <row r="66" spans="1:6" s="1572" customFormat="1" ht="36">
      <c r="A66" s="1576">
        <v>6</v>
      </c>
      <c r="B66" s="3888"/>
      <c r="C66" s="1502" t="s">
        <v>1990</v>
      </c>
      <c r="D66" s="1502" t="s">
        <v>1991</v>
      </c>
      <c r="E66" s="1589">
        <v>0.3</v>
      </c>
      <c r="F66" s="1576">
        <v>50</v>
      </c>
    </row>
    <row r="67" spans="1:6" s="1572" customFormat="1" ht="36">
      <c r="A67" s="1576">
        <v>7</v>
      </c>
      <c r="B67" s="3888"/>
      <c r="C67" s="1502" t="s">
        <v>1992</v>
      </c>
      <c r="D67" s="1502" t="s">
        <v>1993</v>
      </c>
      <c r="E67" s="1589">
        <v>0.2</v>
      </c>
      <c r="F67" s="1576">
        <v>30</v>
      </c>
    </row>
    <row r="68" spans="1:6" s="1572" customFormat="1" ht="36">
      <c r="A68" s="1576">
        <v>8</v>
      </c>
      <c r="B68" s="3888"/>
      <c r="C68" s="1502" t="s">
        <v>1994</v>
      </c>
      <c r="D68" s="1502" t="s">
        <v>1995</v>
      </c>
      <c r="E68" s="1589">
        <v>0.2</v>
      </c>
      <c r="F68" s="1576">
        <v>30</v>
      </c>
    </row>
    <row r="69" spans="1:6" s="1572" customFormat="1" ht="36">
      <c r="A69" s="1576">
        <v>9</v>
      </c>
      <c r="B69" s="3888"/>
      <c r="C69" s="1502" t="s">
        <v>1996</v>
      </c>
      <c r="D69" s="1502" t="s">
        <v>1997</v>
      </c>
      <c r="E69" s="1589">
        <v>0.2</v>
      </c>
      <c r="F69" s="1576">
        <v>30</v>
      </c>
    </row>
    <row r="70" spans="1:6" s="1572" customFormat="1" ht="48">
      <c r="A70" s="1576">
        <v>10</v>
      </c>
      <c r="B70" s="3888"/>
      <c r="C70" s="1502" t="s">
        <v>1998</v>
      </c>
      <c r="D70" s="1502" t="s">
        <v>1999</v>
      </c>
      <c r="E70" s="1589">
        <v>0.2</v>
      </c>
      <c r="F70" s="1576">
        <v>30</v>
      </c>
    </row>
    <row r="71" spans="1:6" s="1572" customFormat="1" ht="48">
      <c r="A71" s="1576">
        <v>11</v>
      </c>
      <c r="B71" s="3888"/>
      <c r="C71" s="1502" t="s">
        <v>2000</v>
      </c>
      <c r="D71" s="1502" t="s">
        <v>2001</v>
      </c>
      <c r="E71" s="1589">
        <v>0.2</v>
      </c>
      <c r="F71" s="1576">
        <v>30</v>
      </c>
    </row>
    <row r="72" spans="1:6" s="1572" customFormat="1" ht="36">
      <c r="A72" s="1576">
        <v>12</v>
      </c>
      <c r="B72" s="3888"/>
      <c r="C72" s="1502" t="s">
        <v>2002</v>
      </c>
      <c r="D72" s="1502" t="s">
        <v>2003</v>
      </c>
      <c r="E72" s="1589">
        <v>0.5</v>
      </c>
      <c r="F72" s="1576">
        <v>80</v>
      </c>
    </row>
    <row r="73" spans="1:6" s="1572" customFormat="1" ht="24">
      <c r="A73" s="1576">
        <v>13</v>
      </c>
      <c r="B73" s="3888"/>
      <c r="C73" s="1502" t="s">
        <v>2004</v>
      </c>
      <c r="D73" s="1502" t="s">
        <v>2005</v>
      </c>
      <c r="E73" s="1589">
        <v>0.4</v>
      </c>
      <c r="F73" s="1576">
        <v>60</v>
      </c>
    </row>
    <row r="74" spans="1:6" s="1572" customFormat="1" ht="24">
      <c r="A74" s="1576">
        <v>14</v>
      </c>
      <c r="B74" s="3888"/>
      <c r="C74" s="1502" t="s">
        <v>2006</v>
      </c>
      <c r="D74" s="1502" t="s">
        <v>2007</v>
      </c>
      <c r="E74" s="1589">
        <v>0.2</v>
      </c>
      <c r="F74" s="1576">
        <v>30</v>
      </c>
    </row>
    <row r="75" spans="1:6" s="1572" customFormat="1" ht="24">
      <c r="A75" s="1576">
        <v>15</v>
      </c>
      <c r="B75" s="3888"/>
      <c r="C75" s="1502" t="s">
        <v>2008</v>
      </c>
      <c r="D75" s="1502" t="s">
        <v>2009</v>
      </c>
      <c r="E75" s="1589">
        <v>0.2</v>
      </c>
      <c r="F75" s="1576">
        <v>30</v>
      </c>
    </row>
    <row r="76" spans="1:6" s="1572" customFormat="1" ht="24">
      <c r="A76" s="1576">
        <v>16</v>
      </c>
      <c r="B76" s="3888" t="s">
        <v>2010</v>
      </c>
      <c r="C76" s="1502" t="s">
        <v>2011</v>
      </c>
      <c r="D76" s="1502" t="s">
        <v>2012</v>
      </c>
      <c r="E76" s="1589">
        <v>0.5</v>
      </c>
      <c r="F76" s="1576">
        <v>80</v>
      </c>
    </row>
    <row r="77" spans="1:6" s="1572" customFormat="1" ht="24">
      <c r="A77" s="1576">
        <v>17</v>
      </c>
      <c r="B77" s="3888"/>
      <c r="C77" s="1502" t="s">
        <v>2013</v>
      </c>
      <c r="D77" s="1502" t="s">
        <v>2014</v>
      </c>
      <c r="E77" s="1589">
        <v>0.5</v>
      </c>
      <c r="F77" s="1576">
        <v>80</v>
      </c>
    </row>
    <row r="78" spans="1:6" s="1572" customFormat="1" ht="24">
      <c r="A78" s="1576">
        <v>18</v>
      </c>
      <c r="B78" s="3888"/>
      <c r="C78" s="1502" t="s">
        <v>2015</v>
      </c>
      <c r="D78" s="1502" t="s">
        <v>2016</v>
      </c>
      <c r="E78" s="1589">
        <v>0.2</v>
      </c>
      <c r="F78" s="1576">
        <v>30</v>
      </c>
    </row>
    <row r="79" spans="1:6" s="1572" customFormat="1" ht="24">
      <c r="A79" s="1576">
        <v>19</v>
      </c>
      <c r="B79" s="3888"/>
      <c r="C79" s="1502" t="s">
        <v>2017</v>
      </c>
      <c r="D79" s="1502" t="s">
        <v>2018</v>
      </c>
      <c r="E79" s="1589">
        <v>0.5</v>
      </c>
      <c r="F79" s="1576">
        <v>80</v>
      </c>
    </row>
    <row r="80" spans="1:6" s="1572" customFormat="1" ht="36">
      <c r="A80" s="1576">
        <v>20</v>
      </c>
      <c r="B80" s="3888"/>
      <c r="C80" s="1502" t="s">
        <v>2019</v>
      </c>
      <c r="D80" s="1502" t="s">
        <v>2020</v>
      </c>
      <c r="E80" s="1589">
        <v>0.2</v>
      </c>
      <c r="F80" s="1576">
        <v>30</v>
      </c>
    </row>
    <row r="81" spans="1:6" s="1572" customFormat="1" ht="36">
      <c r="A81" s="1576">
        <v>21</v>
      </c>
      <c r="B81" s="3888"/>
      <c r="C81" s="1502" t="s">
        <v>2021</v>
      </c>
      <c r="D81" s="1502" t="s">
        <v>2022</v>
      </c>
      <c r="E81" s="1589">
        <v>0.2</v>
      </c>
      <c r="F81" s="1576">
        <v>30</v>
      </c>
    </row>
    <row r="82" spans="1:6" s="1572" customFormat="1" ht="48">
      <c r="A82" s="1576">
        <v>22</v>
      </c>
      <c r="B82" s="3888"/>
      <c r="C82" s="1502" t="s">
        <v>2023</v>
      </c>
      <c r="D82" s="1502" t="s">
        <v>2024</v>
      </c>
      <c r="E82" s="1589">
        <v>0.2</v>
      </c>
      <c r="F82" s="1576">
        <v>30</v>
      </c>
    </row>
    <row r="83" spans="1:6" s="1572" customFormat="1" ht="48">
      <c r="A83" s="1576">
        <v>23</v>
      </c>
      <c r="B83" s="3888"/>
      <c r="C83" s="1502" t="s">
        <v>2025</v>
      </c>
      <c r="D83" s="1502" t="s">
        <v>2026</v>
      </c>
      <c r="E83" s="1589">
        <v>0.2</v>
      </c>
      <c r="F83" s="1576">
        <v>30</v>
      </c>
    </row>
    <row r="84" spans="1:6" s="1572" customFormat="1" ht="36">
      <c r="A84" s="1576">
        <v>24</v>
      </c>
      <c r="B84" s="3888"/>
      <c r="C84" s="1502" t="s">
        <v>2027</v>
      </c>
      <c r="D84" s="1502" t="s">
        <v>2028</v>
      </c>
      <c r="E84" s="1589">
        <v>0.2</v>
      </c>
      <c r="F84" s="1576">
        <v>30</v>
      </c>
    </row>
    <row r="85" spans="1:6" s="1572" customFormat="1" ht="36">
      <c r="A85" s="1576">
        <v>25</v>
      </c>
      <c r="B85" s="3888"/>
      <c r="C85" s="1502" t="s">
        <v>2029</v>
      </c>
      <c r="D85" s="1502" t="s">
        <v>2030</v>
      </c>
      <c r="E85" s="1589">
        <v>0.5</v>
      </c>
      <c r="F85" s="1576">
        <v>80</v>
      </c>
    </row>
    <row r="86" spans="1:6" s="1572" customFormat="1" ht="36">
      <c r="A86" s="1576">
        <v>26</v>
      </c>
      <c r="B86" s="3888"/>
      <c r="C86" s="1502" t="s">
        <v>2031</v>
      </c>
      <c r="D86" s="1502" t="s">
        <v>2032</v>
      </c>
      <c r="E86" s="1589">
        <v>0.2</v>
      </c>
      <c r="F86" s="1576">
        <v>30</v>
      </c>
    </row>
    <row r="87" spans="1:6" s="1572" customFormat="1" ht="36">
      <c r="A87" s="1576">
        <v>27</v>
      </c>
      <c r="B87" s="3888"/>
      <c r="C87" s="1502" t="s">
        <v>2033</v>
      </c>
      <c r="D87" s="1502" t="s">
        <v>2034</v>
      </c>
      <c r="E87" s="1589">
        <v>0.2</v>
      </c>
      <c r="F87" s="1576">
        <v>30</v>
      </c>
    </row>
    <row r="88" spans="1:6" s="1572" customFormat="1" ht="36">
      <c r="A88" s="1576">
        <v>28</v>
      </c>
      <c r="B88" s="3888"/>
      <c r="C88" s="1502" t="s">
        <v>2035</v>
      </c>
      <c r="D88" s="1502" t="s">
        <v>2036</v>
      </c>
      <c r="E88" s="1589">
        <v>0.2</v>
      </c>
      <c r="F88" s="1576">
        <v>30</v>
      </c>
    </row>
    <row r="89" spans="1:6" s="1572" customFormat="1" ht="24">
      <c r="A89" s="1576">
        <v>29</v>
      </c>
      <c r="B89" s="3888"/>
      <c r="C89" s="1502" t="s">
        <v>2037</v>
      </c>
      <c r="D89" s="1502" t="s">
        <v>2038</v>
      </c>
      <c r="E89" s="1589">
        <v>0.2</v>
      </c>
      <c r="F89" s="1576">
        <v>30</v>
      </c>
    </row>
    <row r="90" spans="1:6" s="1572" customFormat="1" ht="24">
      <c r="A90" s="1576">
        <v>30</v>
      </c>
      <c r="B90" s="3888"/>
      <c r="C90" s="1502" t="s">
        <v>2039</v>
      </c>
      <c r="D90" s="1502" t="s">
        <v>2040</v>
      </c>
      <c r="E90" s="1589">
        <v>0.2</v>
      </c>
      <c r="F90" s="1576">
        <v>30</v>
      </c>
    </row>
    <row r="91" spans="1:6" s="1572" customFormat="1" ht="36">
      <c r="A91" s="1576">
        <v>31</v>
      </c>
      <c r="B91" s="3888"/>
      <c r="C91" s="1502" t="s">
        <v>2041</v>
      </c>
      <c r="D91" s="1502" t="s">
        <v>2042</v>
      </c>
      <c r="E91" s="1589">
        <v>0.2</v>
      </c>
      <c r="F91" s="1576">
        <v>30</v>
      </c>
    </row>
    <row r="92" spans="1:6" s="1572" customFormat="1" ht="24">
      <c r="A92" s="1576">
        <v>32</v>
      </c>
      <c r="B92" s="3888" t="s">
        <v>2043</v>
      </c>
      <c r="C92" s="1576" t="s">
        <v>2044</v>
      </c>
      <c r="D92" s="1502" t="s">
        <v>2045</v>
      </c>
      <c r="E92" s="1589">
        <v>0.2</v>
      </c>
      <c r="F92" s="1576">
        <v>30</v>
      </c>
    </row>
    <row r="93" spans="1:6" s="1572" customFormat="1" ht="36">
      <c r="A93" s="1576">
        <v>33</v>
      </c>
      <c r="B93" s="3888"/>
      <c r="C93" s="1576" t="s">
        <v>2046</v>
      </c>
      <c r="D93" s="1502" t="s">
        <v>2047</v>
      </c>
      <c r="E93" s="1589">
        <v>0.2</v>
      </c>
      <c r="F93" s="1576">
        <v>30</v>
      </c>
    </row>
    <row r="94" spans="1:6" s="1572" customFormat="1" ht="48">
      <c r="A94" s="1576">
        <v>34</v>
      </c>
      <c r="B94" s="3888"/>
      <c r="C94" s="1576" t="s">
        <v>2048</v>
      </c>
      <c r="D94" s="1502" t="s">
        <v>2049</v>
      </c>
      <c r="E94" s="1589">
        <v>0.2</v>
      </c>
      <c r="F94" s="1576">
        <v>30</v>
      </c>
    </row>
    <row r="95" spans="1:6" s="1572" customFormat="1" ht="36">
      <c r="A95" s="1576">
        <v>35</v>
      </c>
      <c r="B95" s="3888"/>
      <c r="C95" s="1576" t="s">
        <v>2050</v>
      </c>
      <c r="D95" s="1502" t="s">
        <v>2051</v>
      </c>
      <c r="E95" s="1589">
        <v>0.2</v>
      </c>
      <c r="F95" s="1576">
        <v>30</v>
      </c>
    </row>
    <row r="96" spans="1:6" s="1572" customFormat="1" ht="48">
      <c r="A96" s="1576">
        <v>36</v>
      </c>
      <c r="B96" s="3888"/>
      <c r="C96" s="1502" t="s">
        <v>2052</v>
      </c>
      <c r="D96" s="1502" t="s">
        <v>2053</v>
      </c>
      <c r="E96" s="1589">
        <v>0.2</v>
      </c>
      <c r="F96" s="1576">
        <v>30</v>
      </c>
    </row>
    <row r="97" spans="1:6" s="1572" customFormat="1" ht="36">
      <c r="A97" s="1576">
        <v>37</v>
      </c>
      <c r="B97" s="3888"/>
      <c r="C97" s="1576" t="s">
        <v>2054</v>
      </c>
      <c r="D97" s="1502" t="s">
        <v>2055</v>
      </c>
      <c r="E97" s="1589">
        <v>0.2</v>
      </c>
      <c r="F97" s="1576">
        <v>30</v>
      </c>
    </row>
    <row r="98" spans="1:6" s="1572" customFormat="1" ht="36">
      <c r="A98" s="1576">
        <v>38</v>
      </c>
      <c r="B98" s="3888"/>
      <c r="C98" s="1576" t="s">
        <v>2056</v>
      </c>
      <c r="D98" s="1502" t="s">
        <v>2057</v>
      </c>
      <c r="E98" s="1589">
        <v>0.2</v>
      </c>
      <c r="F98" s="1576">
        <v>30</v>
      </c>
    </row>
    <row r="99" spans="1:6" s="1572" customFormat="1" ht="36">
      <c r="A99" s="1576">
        <v>39</v>
      </c>
      <c r="B99" s="3888" t="s">
        <v>2058</v>
      </c>
      <c r="C99" s="1576" t="s">
        <v>2059</v>
      </c>
      <c r="D99" s="1502" t="s">
        <v>2060</v>
      </c>
      <c r="E99" s="1589">
        <v>0.3</v>
      </c>
      <c r="F99" s="1576">
        <v>50</v>
      </c>
    </row>
    <row r="100" spans="1:6" s="1572" customFormat="1" ht="24">
      <c r="A100" s="1576">
        <v>40</v>
      </c>
      <c r="B100" s="3888"/>
      <c r="C100" s="1576" t="s">
        <v>2061</v>
      </c>
      <c r="D100" s="1502" t="s">
        <v>2062</v>
      </c>
      <c r="E100" s="1589">
        <v>0.2</v>
      </c>
      <c r="F100" s="1576">
        <v>30</v>
      </c>
    </row>
    <row r="101" spans="1:6" s="1572" customFormat="1" ht="36">
      <c r="A101" s="1576">
        <v>41</v>
      </c>
      <c r="B101" s="3888"/>
      <c r="C101" s="1576" t="s">
        <v>2063</v>
      </c>
      <c r="D101" s="1502" t="s">
        <v>2060</v>
      </c>
      <c r="E101" s="1589">
        <v>0.2</v>
      </c>
      <c r="F101" s="1576">
        <v>30</v>
      </c>
    </row>
    <row r="102" spans="1:6" s="1572" customFormat="1" ht="48">
      <c r="A102" s="1576">
        <v>42</v>
      </c>
      <c r="B102" s="1576" t="s">
        <v>2064</v>
      </c>
      <c r="C102" s="1502" t="s">
        <v>2065</v>
      </c>
      <c r="D102" s="1502" t="s">
        <v>2066</v>
      </c>
      <c r="E102" s="1589">
        <v>0.2</v>
      </c>
      <c r="F102" s="1576">
        <v>30</v>
      </c>
    </row>
    <row r="103" spans="1:6" s="1572" customFormat="1" ht="24">
      <c r="A103" s="1576">
        <v>43</v>
      </c>
      <c r="B103" s="1576" t="s">
        <v>2067</v>
      </c>
      <c r="C103" s="1576" t="s">
        <v>2068</v>
      </c>
      <c r="D103" s="1502" t="s">
        <v>2069</v>
      </c>
      <c r="E103" s="1589">
        <v>0.2</v>
      </c>
      <c r="F103" s="1576">
        <v>30</v>
      </c>
    </row>
    <row r="104" spans="1:6" s="1572" customFormat="1" ht="36">
      <c r="A104" s="1576">
        <v>44</v>
      </c>
      <c r="B104" s="1576" t="s">
        <v>2070</v>
      </c>
      <c r="C104" s="1576" t="s">
        <v>2071</v>
      </c>
      <c r="D104" s="1502" t="s">
        <v>2072</v>
      </c>
      <c r="E104" s="1589">
        <v>0.2</v>
      </c>
      <c r="F104" s="1576">
        <v>30</v>
      </c>
    </row>
    <row r="105" spans="1:6" s="1572" customFormat="1" ht="36">
      <c r="A105" s="1576">
        <v>45</v>
      </c>
      <c r="B105" s="3888" t="s">
        <v>2073</v>
      </c>
      <c r="C105" s="1576" t="s">
        <v>2074</v>
      </c>
      <c r="D105" s="1502" t="s">
        <v>2075</v>
      </c>
      <c r="E105" s="1589">
        <v>0.2</v>
      </c>
      <c r="F105" s="1576">
        <v>30</v>
      </c>
    </row>
    <row r="106" spans="1:6" s="1572" customFormat="1" ht="36">
      <c r="A106" s="1576">
        <v>46</v>
      </c>
      <c r="B106" s="3888"/>
      <c r="C106" s="1576" t="s">
        <v>2076</v>
      </c>
      <c r="D106" s="1502" t="s">
        <v>2077</v>
      </c>
      <c r="E106" s="1589">
        <v>0.2</v>
      </c>
      <c r="F106" s="1576">
        <v>30</v>
      </c>
    </row>
    <row r="107" spans="1:6" s="1572" customFormat="1" ht="36">
      <c r="A107" s="1576">
        <v>47</v>
      </c>
      <c r="B107" s="3888" t="s">
        <v>2078</v>
      </c>
      <c r="C107" s="1576" t="s">
        <v>2079</v>
      </c>
      <c r="D107" s="1502" t="s">
        <v>2080</v>
      </c>
      <c r="E107" s="1589">
        <v>0.3</v>
      </c>
      <c r="F107" s="1576">
        <v>50</v>
      </c>
    </row>
    <row r="108" spans="1:6" s="1572" customFormat="1" ht="36">
      <c r="A108" s="1576">
        <v>48</v>
      </c>
      <c r="B108" s="3888"/>
      <c r="C108" s="1576" t="s">
        <v>2081</v>
      </c>
      <c r="D108" s="1502" t="s">
        <v>2082</v>
      </c>
      <c r="E108" s="1589">
        <v>0.2</v>
      </c>
      <c r="F108" s="1576">
        <v>30</v>
      </c>
    </row>
    <row r="109" spans="1:6" s="1572" customFormat="1" ht="36">
      <c r="A109" s="1576">
        <v>49</v>
      </c>
      <c r="B109" s="1576" t="s">
        <v>2083</v>
      </c>
      <c r="C109" s="1576" t="s">
        <v>2084</v>
      </c>
      <c r="D109" s="1502" t="s">
        <v>2085</v>
      </c>
      <c r="E109" s="1589">
        <v>0.2</v>
      </c>
      <c r="F109" s="1576">
        <v>30</v>
      </c>
    </row>
    <row r="110" spans="1:6" s="1572" customFormat="1" ht="36">
      <c r="A110" s="1576">
        <v>50</v>
      </c>
      <c r="B110" s="1576" t="s">
        <v>2086</v>
      </c>
      <c r="C110" s="1576" t="s">
        <v>2087</v>
      </c>
      <c r="D110" s="1502" t="s">
        <v>2088</v>
      </c>
      <c r="E110" s="1589">
        <v>0.2</v>
      </c>
      <c r="F110" s="1576">
        <v>30</v>
      </c>
    </row>
    <row r="111" spans="1:6" s="1572" customFormat="1" ht="36">
      <c r="A111" s="1576">
        <v>51</v>
      </c>
      <c r="B111" s="3888" t="s">
        <v>2089</v>
      </c>
      <c r="C111" s="1576" t="s">
        <v>2090</v>
      </c>
      <c r="D111" s="1502" t="s">
        <v>2091</v>
      </c>
      <c r="E111" s="1589">
        <v>0.2</v>
      </c>
      <c r="F111" s="1576">
        <v>30</v>
      </c>
    </row>
    <row r="112" spans="1:6" s="1572" customFormat="1" ht="24">
      <c r="A112" s="1576">
        <v>52</v>
      </c>
      <c r="B112" s="3888"/>
      <c r="C112" s="1576" t="s">
        <v>2092</v>
      </c>
      <c r="D112" s="1502" t="s">
        <v>2093</v>
      </c>
      <c r="E112" s="1589">
        <v>0.2</v>
      </c>
      <c r="F112" s="1576">
        <v>30</v>
      </c>
    </row>
    <row r="113" spans="1:6" s="1572" customFormat="1" ht="24">
      <c r="A113" s="1576">
        <v>53</v>
      </c>
      <c r="B113" s="3888"/>
      <c r="C113" s="1576" t="s">
        <v>2094</v>
      </c>
      <c r="D113" s="1502" t="s">
        <v>2095</v>
      </c>
      <c r="E113" s="1589">
        <v>0.2</v>
      </c>
      <c r="F113" s="1576">
        <v>30</v>
      </c>
    </row>
    <row r="114" spans="1:6" ht="36">
      <c r="A114" s="1576">
        <v>54</v>
      </c>
      <c r="B114" s="1576" t="s">
        <v>2096</v>
      </c>
      <c r="C114" s="1576" t="s">
        <v>2097</v>
      </c>
      <c r="D114" s="1502" t="s">
        <v>2098</v>
      </c>
      <c r="E114" s="1589">
        <v>0.2</v>
      </c>
      <c r="F114" s="1576">
        <v>30</v>
      </c>
    </row>
    <row r="115" spans="1:6" ht="24">
      <c r="A115" s="1576">
        <v>55</v>
      </c>
      <c r="B115" s="1576" t="s">
        <v>2099</v>
      </c>
      <c r="C115" s="1576" t="s">
        <v>2100</v>
      </c>
      <c r="D115" s="1502" t="s">
        <v>2101</v>
      </c>
      <c r="E115" s="1589">
        <v>0.2</v>
      </c>
      <c r="F115" s="1576">
        <v>30</v>
      </c>
    </row>
    <row r="116" spans="1:6" ht="24">
      <c r="A116" s="1576">
        <v>56</v>
      </c>
      <c r="B116" s="3888" t="s">
        <v>2102</v>
      </c>
      <c r="C116" s="1576" t="s">
        <v>2103</v>
      </c>
      <c r="D116" s="1502" t="s">
        <v>2104</v>
      </c>
      <c r="E116" s="1589">
        <v>0.2</v>
      </c>
      <c r="F116" s="1576">
        <v>30</v>
      </c>
    </row>
    <row r="117" spans="1:6" ht="36">
      <c r="A117" s="1576">
        <v>57</v>
      </c>
      <c r="B117" s="3888"/>
      <c r="C117" s="1576" t="s">
        <v>2105</v>
      </c>
      <c r="D117" s="1502" t="s">
        <v>2106</v>
      </c>
      <c r="E117" s="1589">
        <v>0.2</v>
      </c>
      <c r="F117" s="1576">
        <v>30</v>
      </c>
    </row>
    <row r="118" spans="1:6" ht="36">
      <c r="A118" s="1576">
        <v>58</v>
      </c>
      <c r="B118" s="1576" t="s">
        <v>2107</v>
      </c>
      <c r="C118" s="1576" t="s">
        <v>2108</v>
      </c>
      <c r="D118" s="1502" t="s">
        <v>2109</v>
      </c>
      <c r="E118" s="1589">
        <v>0.2</v>
      </c>
      <c r="F118" s="1576">
        <v>30</v>
      </c>
    </row>
    <row r="119" spans="1:6" ht="13.5">
      <c r="A119" s="1576"/>
      <c r="B119" s="1576"/>
      <c r="C119" s="1576" t="s">
        <v>2110</v>
      </c>
      <c r="D119" s="1576"/>
      <c r="E119" s="1589" t="s">
        <v>1920</v>
      </c>
      <c r="F119" s="1576" t="s">
        <v>1920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6"/>
    <col min="2" max="16384" width="9" style="1601"/>
  </cols>
  <sheetData>
    <row r="1" spans="1:14" ht="14.25">
      <c r="A1" s="1599" t="s">
        <v>2120</v>
      </c>
      <c r="B1" s="1600"/>
      <c r="C1" s="1600"/>
      <c r="D1" s="1600"/>
      <c r="E1" s="1600"/>
      <c r="F1" s="1600"/>
      <c r="G1" s="1600"/>
      <c r="H1" s="1600"/>
      <c r="I1" s="1600"/>
      <c r="J1" s="1600"/>
      <c r="K1" s="1600"/>
      <c r="L1" s="1600"/>
      <c r="M1" s="1600"/>
      <c r="N1" s="1600"/>
    </row>
    <row r="2" spans="1:14">
      <c r="A2" s="1602" t="s">
        <v>2117</v>
      </c>
      <c r="B2" s="1603" t="s">
        <v>1522</v>
      </c>
      <c r="C2" s="1603" t="s">
        <v>1523</v>
      </c>
      <c r="D2" s="1603" t="s">
        <v>1524</v>
      </c>
      <c r="E2" s="1603" t="s">
        <v>1525</v>
      </c>
      <c r="F2" s="1603" t="s">
        <v>1526</v>
      </c>
      <c r="G2" s="1603" t="s">
        <v>1527</v>
      </c>
      <c r="H2" s="1604" t="s">
        <v>1528</v>
      </c>
      <c r="I2" s="1604" t="s">
        <v>1529</v>
      </c>
      <c r="J2" s="1605" t="s">
        <v>1530</v>
      </c>
      <c r="K2" s="1605" t="s">
        <v>1531</v>
      </c>
      <c r="L2" s="1605" t="s">
        <v>1532</v>
      </c>
      <c r="M2" s="1605" t="s">
        <v>1533</v>
      </c>
    </row>
    <row r="3" spans="1:14">
      <c r="A3" s="1602">
        <v>0.1</v>
      </c>
      <c r="B3" s="1611">
        <v>15.052</v>
      </c>
      <c r="C3" s="1611">
        <v>15.052</v>
      </c>
      <c r="D3" s="1611">
        <v>14.263</v>
      </c>
      <c r="E3" s="1611">
        <v>14.263</v>
      </c>
      <c r="F3" s="1611">
        <v>14.263</v>
      </c>
      <c r="G3" s="1611">
        <v>14.263</v>
      </c>
      <c r="H3" s="1611">
        <v>14.263</v>
      </c>
      <c r="I3" s="1611">
        <v>14.097</v>
      </c>
      <c r="J3" s="1611">
        <v>14.097</v>
      </c>
      <c r="K3" s="1611">
        <v>14.097</v>
      </c>
      <c r="L3" s="1611">
        <v>14.097</v>
      </c>
      <c r="M3" s="1611">
        <v>14.097</v>
      </c>
      <c r="N3" s="1612"/>
    </row>
    <row r="4" spans="1:14">
      <c r="A4" s="1602">
        <v>0.2</v>
      </c>
      <c r="B4" s="1611">
        <v>7.5259999999999998</v>
      </c>
      <c r="C4" s="1611">
        <v>7.5259999999999998</v>
      </c>
      <c r="D4" s="1611">
        <v>7.1315</v>
      </c>
      <c r="E4" s="1611">
        <v>7.1315</v>
      </c>
      <c r="F4" s="1611">
        <v>7.1315</v>
      </c>
      <c r="G4" s="1611">
        <v>7.1315</v>
      </c>
      <c r="H4" s="1611">
        <v>7.1315</v>
      </c>
      <c r="I4" s="1611">
        <v>7.0484999999999998</v>
      </c>
      <c r="J4" s="1611">
        <v>7.0484999999999998</v>
      </c>
      <c r="K4" s="1611">
        <v>7.0484999999999998</v>
      </c>
      <c r="L4" s="1611">
        <v>7.0484999999999998</v>
      </c>
      <c r="M4" s="1611">
        <v>7.0484999999999998</v>
      </c>
    </row>
    <row r="5" spans="1:14">
      <c r="A5" s="1602">
        <v>0.3</v>
      </c>
      <c r="B5" s="1611">
        <v>5.0172999999999996</v>
      </c>
      <c r="C5" s="1611">
        <v>5.0172999999999996</v>
      </c>
      <c r="D5" s="1611">
        <v>4.7542999999999997</v>
      </c>
      <c r="E5" s="1611">
        <v>4.7542999999999997</v>
      </c>
      <c r="F5" s="1611">
        <v>4.7542999999999997</v>
      </c>
      <c r="G5" s="1611">
        <v>4.7542999999999997</v>
      </c>
      <c r="H5" s="1611">
        <v>4.7542999999999997</v>
      </c>
      <c r="I5" s="1611">
        <v>4.6989999999999998</v>
      </c>
      <c r="J5" s="1611">
        <v>4.6989999999999998</v>
      </c>
      <c r="K5" s="1611">
        <v>4.6989999999999998</v>
      </c>
      <c r="L5" s="1611">
        <v>4.6989999999999998</v>
      </c>
      <c r="M5" s="1611">
        <v>4.6989999999999998</v>
      </c>
    </row>
    <row r="6" spans="1:14">
      <c r="A6" s="1602">
        <v>0.4</v>
      </c>
      <c r="B6" s="1611">
        <v>3.7629999999999999</v>
      </c>
      <c r="C6" s="1611">
        <v>3.7629999999999999</v>
      </c>
      <c r="D6" s="1611">
        <v>3.5657999999999999</v>
      </c>
      <c r="E6" s="1611">
        <v>3.5657999999999999</v>
      </c>
      <c r="F6" s="1611">
        <v>3.5657999999999999</v>
      </c>
      <c r="G6" s="1611">
        <v>3.5657999999999999</v>
      </c>
      <c r="H6" s="1611">
        <v>3.5657999999999999</v>
      </c>
      <c r="I6" s="1611">
        <v>3.5243000000000002</v>
      </c>
      <c r="J6" s="1611">
        <v>3.5243000000000002</v>
      </c>
      <c r="K6" s="1611">
        <v>3.5243000000000002</v>
      </c>
      <c r="L6" s="1611">
        <v>3.5243000000000002</v>
      </c>
      <c r="M6" s="1611">
        <v>3.5243000000000002</v>
      </c>
    </row>
    <row r="7" spans="1:14">
      <c r="A7" s="1602">
        <v>0.5</v>
      </c>
      <c r="B7" s="1611">
        <v>3.0104000000000002</v>
      </c>
      <c r="C7" s="1611">
        <v>3.0104000000000002</v>
      </c>
      <c r="D7" s="1611">
        <v>2.8525999999999998</v>
      </c>
      <c r="E7" s="1611">
        <v>2.8525999999999998</v>
      </c>
      <c r="F7" s="1611">
        <v>2.8525999999999998</v>
      </c>
      <c r="G7" s="1611">
        <v>2.8525999999999998</v>
      </c>
      <c r="H7" s="1611">
        <v>2.8525999999999998</v>
      </c>
      <c r="I7" s="1611">
        <v>2.8193999999999999</v>
      </c>
      <c r="J7" s="1611">
        <v>2.8193999999999999</v>
      </c>
      <c r="K7" s="1611">
        <v>2.8193999999999999</v>
      </c>
      <c r="L7" s="1611">
        <v>2.8193999999999999</v>
      </c>
      <c r="M7" s="1611">
        <v>2.8193999999999999</v>
      </c>
    </row>
    <row r="8" spans="1:14">
      <c r="A8" s="1602">
        <v>0.6</v>
      </c>
      <c r="B8" s="1611">
        <v>2.5087000000000002</v>
      </c>
      <c r="C8" s="1611">
        <v>2.5087000000000002</v>
      </c>
      <c r="D8" s="1611">
        <v>2.3772000000000002</v>
      </c>
      <c r="E8" s="1611">
        <v>2.3772000000000002</v>
      </c>
      <c r="F8" s="1611">
        <v>2.3772000000000002</v>
      </c>
      <c r="G8" s="1611">
        <v>2.3772000000000002</v>
      </c>
      <c r="H8" s="1611">
        <v>2.3772000000000002</v>
      </c>
      <c r="I8" s="1611">
        <v>2.3494999999999999</v>
      </c>
      <c r="J8" s="1611">
        <v>2.3494999999999999</v>
      </c>
      <c r="K8" s="1611">
        <v>2.3494999999999999</v>
      </c>
      <c r="L8" s="1611">
        <v>2.3494999999999999</v>
      </c>
      <c r="M8" s="1611">
        <v>2.3494999999999999</v>
      </c>
    </row>
    <row r="9" spans="1:14">
      <c r="A9" s="1602">
        <v>0.7</v>
      </c>
      <c r="B9" s="1611">
        <v>2.1503000000000001</v>
      </c>
      <c r="C9" s="1611">
        <v>2.1503000000000001</v>
      </c>
      <c r="D9" s="1611">
        <v>2.0375999999999999</v>
      </c>
      <c r="E9" s="1611">
        <v>2.0375999999999999</v>
      </c>
      <c r="F9" s="1611">
        <v>2.0375999999999999</v>
      </c>
      <c r="G9" s="1611">
        <v>2.0375999999999999</v>
      </c>
      <c r="H9" s="1611">
        <v>2.0375999999999999</v>
      </c>
      <c r="I9" s="1611">
        <v>2.0139</v>
      </c>
      <c r="J9" s="1611">
        <v>2.0139</v>
      </c>
      <c r="K9" s="1611">
        <v>2.0139</v>
      </c>
      <c r="L9" s="1611">
        <v>2.0139</v>
      </c>
      <c r="M9" s="1611">
        <v>2.0139</v>
      </c>
    </row>
    <row r="10" spans="1:14">
      <c r="A10" s="1602">
        <v>0.8</v>
      </c>
      <c r="B10" s="1611">
        <v>1.8815</v>
      </c>
      <c r="C10" s="1611">
        <v>1.8815</v>
      </c>
      <c r="D10" s="1611">
        <v>1.7828999999999999</v>
      </c>
      <c r="E10" s="1611">
        <v>1.7828999999999999</v>
      </c>
      <c r="F10" s="1611">
        <v>1.7828999999999999</v>
      </c>
      <c r="G10" s="1611">
        <v>1.7828999999999999</v>
      </c>
      <c r="H10" s="1611">
        <v>1.7828999999999999</v>
      </c>
      <c r="I10" s="1611">
        <v>1.7621</v>
      </c>
      <c r="J10" s="1611">
        <v>1.7621</v>
      </c>
      <c r="K10" s="1611">
        <v>1.7621</v>
      </c>
      <c r="L10" s="1611">
        <v>1.7621</v>
      </c>
      <c r="M10" s="1611">
        <v>1.7621</v>
      </c>
    </row>
    <row r="11" spans="1:14">
      <c r="A11" s="1602">
        <v>0.9</v>
      </c>
      <c r="B11" s="1611">
        <v>1.6724000000000001</v>
      </c>
      <c r="C11" s="1611">
        <v>1.6724000000000001</v>
      </c>
      <c r="D11" s="1611">
        <v>1.5848</v>
      </c>
      <c r="E11" s="1611">
        <v>1.5848</v>
      </c>
      <c r="F11" s="1611">
        <v>1.5848</v>
      </c>
      <c r="G11" s="1611">
        <v>1.5848</v>
      </c>
      <c r="H11" s="1611">
        <v>1.5848</v>
      </c>
      <c r="I11" s="1611">
        <v>1.5663</v>
      </c>
      <c r="J11" s="1611">
        <v>1.5663</v>
      </c>
      <c r="K11" s="1611">
        <v>1.5663</v>
      </c>
      <c r="L11" s="1611">
        <v>1.5663</v>
      </c>
      <c r="M11" s="1611">
        <v>1.5663</v>
      </c>
    </row>
    <row r="12" spans="1:14">
      <c r="A12" s="1602">
        <v>1</v>
      </c>
      <c r="B12" s="1611">
        <v>1.5052000000000001</v>
      </c>
      <c r="C12" s="1611">
        <v>1.5052000000000001</v>
      </c>
      <c r="D12" s="1611">
        <v>1.4262999999999999</v>
      </c>
      <c r="E12" s="1611">
        <v>1.4262999999999999</v>
      </c>
      <c r="F12" s="1611">
        <v>1.4262999999999999</v>
      </c>
      <c r="G12" s="1611">
        <v>1.4262999999999999</v>
      </c>
      <c r="H12" s="1611">
        <v>1.4262999999999999</v>
      </c>
      <c r="I12" s="1611">
        <v>1.4097</v>
      </c>
      <c r="J12" s="1611">
        <v>1.4097</v>
      </c>
      <c r="K12" s="1611">
        <v>1.4097</v>
      </c>
      <c r="L12" s="1611">
        <v>1.4097</v>
      </c>
      <c r="M12" s="1611">
        <v>1.4097</v>
      </c>
    </row>
    <row r="13" spans="1:14">
      <c r="A13" s="1602">
        <v>1.1000000000000001</v>
      </c>
      <c r="B13" s="1611">
        <v>1.4509000000000001</v>
      </c>
      <c r="C13" s="1611">
        <v>1.4509000000000001</v>
      </c>
      <c r="D13" s="1611">
        <v>1.3697999999999999</v>
      </c>
      <c r="E13" s="1611">
        <v>1.3697999999999999</v>
      </c>
      <c r="F13" s="1611">
        <v>1.3697999999999999</v>
      </c>
      <c r="G13" s="1611">
        <v>1.3697999999999999</v>
      </c>
      <c r="H13" s="1611">
        <v>1.3697999999999999</v>
      </c>
      <c r="I13" s="1611">
        <v>1.343</v>
      </c>
      <c r="J13" s="1611">
        <v>1.343</v>
      </c>
      <c r="K13" s="1611">
        <v>1.343</v>
      </c>
      <c r="L13" s="1611">
        <v>1.343</v>
      </c>
      <c r="M13" s="1611">
        <v>1.343</v>
      </c>
    </row>
    <row r="14" spans="1:14">
      <c r="A14" s="1602">
        <v>1.2</v>
      </c>
      <c r="B14" s="1611">
        <v>1.4035</v>
      </c>
      <c r="C14" s="1611">
        <v>1.4035</v>
      </c>
      <c r="D14" s="1611">
        <v>1.3205</v>
      </c>
      <c r="E14" s="1611">
        <v>1.3205</v>
      </c>
      <c r="F14" s="1611">
        <v>1.3205</v>
      </c>
      <c r="G14" s="1611">
        <v>1.3205</v>
      </c>
      <c r="H14" s="1611">
        <v>1.3205</v>
      </c>
      <c r="I14" s="1611">
        <v>1.2845</v>
      </c>
      <c r="J14" s="1611">
        <v>1.2845</v>
      </c>
      <c r="K14" s="1611">
        <v>1.2845</v>
      </c>
      <c r="L14" s="1611">
        <v>1.2845</v>
      </c>
      <c r="M14" s="1611">
        <v>1.2845</v>
      </c>
    </row>
    <row r="15" spans="1:14">
      <c r="A15" s="1602">
        <v>1.3</v>
      </c>
      <c r="B15" s="1611">
        <v>1.3622000000000001</v>
      </c>
      <c r="C15" s="1611">
        <v>1.3622000000000001</v>
      </c>
      <c r="D15" s="1611">
        <v>1.2775000000000001</v>
      </c>
      <c r="E15" s="1611">
        <v>1.2775000000000001</v>
      </c>
      <c r="F15" s="1611">
        <v>1.2775000000000001</v>
      </c>
      <c r="G15" s="1611">
        <v>1.2775000000000001</v>
      </c>
      <c r="H15" s="1611">
        <v>1.2775000000000001</v>
      </c>
      <c r="I15" s="1611">
        <v>1.2332000000000001</v>
      </c>
      <c r="J15" s="1611">
        <v>1.2332000000000001</v>
      </c>
      <c r="K15" s="1611">
        <v>1.2332000000000001</v>
      </c>
      <c r="L15" s="1611">
        <v>1.2332000000000001</v>
      </c>
      <c r="M15" s="1611">
        <v>1.2332000000000001</v>
      </c>
    </row>
    <row r="16" spans="1:14">
      <c r="A16" s="1602">
        <v>1.4</v>
      </c>
      <c r="B16" s="1611">
        <v>1.3262</v>
      </c>
      <c r="C16" s="1611">
        <v>1.3262</v>
      </c>
      <c r="D16" s="1611">
        <v>1.2402</v>
      </c>
      <c r="E16" s="1611">
        <v>1.2402</v>
      </c>
      <c r="F16" s="1611">
        <v>1.2402</v>
      </c>
      <c r="G16" s="1611">
        <v>1.2402</v>
      </c>
      <c r="H16" s="1611">
        <v>1.2402</v>
      </c>
      <c r="I16" s="1611">
        <v>1.1881999999999999</v>
      </c>
      <c r="J16" s="1611">
        <v>1.1881999999999999</v>
      </c>
      <c r="K16" s="1611">
        <v>1.1881999999999999</v>
      </c>
      <c r="L16" s="1611">
        <v>1.1881999999999999</v>
      </c>
      <c r="M16" s="1611">
        <v>1.1881999999999999</v>
      </c>
      <c r="N16" s="1612"/>
    </row>
    <row r="17" spans="1:14">
      <c r="A17" s="1602">
        <v>1.5</v>
      </c>
      <c r="B17" s="1611">
        <v>1.2948</v>
      </c>
      <c r="C17" s="1611">
        <v>1.2948</v>
      </c>
      <c r="D17" s="1611">
        <v>1.2075</v>
      </c>
      <c r="E17" s="1611">
        <v>1.2075</v>
      </c>
      <c r="F17" s="1611">
        <v>1.2075</v>
      </c>
      <c r="G17" s="1611">
        <v>1.2075</v>
      </c>
      <c r="H17" s="1611">
        <v>1.2075</v>
      </c>
      <c r="I17" s="1611">
        <v>1.1486000000000001</v>
      </c>
      <c r="J17" s="1611">
        <v>1.1486000000000001</v>
      </c>
      <c r="K17" s="1611">
        <v>1.1486000000000001</v>
      </c>
      <c r="L17" s="1611">
        <v>1.1486000000000001</v>
      </c>
      <c r="M17" s="1611">
        <v>1.1486000000000001</v>
      </c>
      <c r="N17" s="1612"/>
    </row>
    <row r="18" spans="1:14">
      <c r="A18" s="1602">
        <v>1.6</v>
      </c>
      <c r="B18" s="1611">
        <v>1.2673000000000001</v>
      </c>
      <c r="C18" s="1611">
        <v>1.2673000000000001</v>
      </c>
      <c r="D18" s="1611">
        <v>1.1789000000000001</v>
      </c>
      <c r="E18" s="1611">
        <v>1.1789000000000001</v>
      </c>
      <c r="F18" s="1611">
        <v>1.1789000000000001</v>
      </c>
      <c r="G18" s="1611">
        <v>1.1789000000000001</v>
      </c>
      <c r="H18" s="1611">
        <v>1.1789000000000001</v>
      </c>
      <c r="I18" s="1611">
        <v>1.1134999999999999</v>
      </c>
      <c r="J18" s="1611">
        <v>1.1134999999999999</v>
      </c>
      <c r="K18" s="1611">
        <v>1.1134999999999999</v>
      </c>
      <c r="L18" s="1611">
        <v>1.1134999999999999</v>
      </c>
      <c r="M18" s="1611">
        <v>1.1134999999999999</v>
      </c>
    </row>
    <row r="19" spans="1:14">
      <c r="A19" s="1602">
        <v>1.7</v>
      </c>
      <c r="B19" s="1611">
        <v>1.2428999999999999</v>
      </c>
      <c r="C19" s="1611">
        <v>1.2428999999999999</v>
      </c>
      <c r="D19" s="1611">
        <v>1.1534</v>
      </c>
      <c r="E19" s="1611">
        <v>1.1534</v>
      </c>
      <c r="F19" s="1611">
        <v>1.1534</v>
      </c>
      <c r="G19" s="1611">
        <v>1.1534</v>
      </c>
      <c r="H19" s="1611">
        <v>1.1534</v>
      </c>
      <c r="I19" s="1611">
        <v>1.0820000000000001</v>
      </c>
      <c r="J19" s="1611">
        <v>1.0820000000000001</v>
      </c>
      <c r="K19" s="1611">
        <v>1.0820000000000001</v>
      </c>
      <c r="L19" s="1611">
        <v>1.0820000000000001</v>
      </c>
      <c r="M19" s="1611">
        <v>1.0820000000000001</v>
      </c>
    </row>
    <row r="20" spans="1:14">
      <c r="A20" s="1602">
        <v>1.8</v>
      </c>
      <c r="B20" s="1611">
        <v>1.2206999999999999</v>
      </c>
      <c r="C20" s="1611">
        <v>1.2206999999999999</v>
      </c>
      <c r="D20" s="1611">
        <v>1.1304000000000001</v>
      </c>
      <c r="E20" s="1611">
        <v>1.1304000000000001</v>
      </c>
      <c r="F20" s="1611">
        <v>1.1304000000000001</v>
      </c>
      <c r="G20" s="1611">
        <v>1.1304000000000001</v>
      </c>
      <c r="H20" s="1611">
        <v>1.1304000000000001</v>
      </c>
      <c r="I20" s="1611">
        <v>1.0531999999999999</v>
      </c>
      <c r="J20" s="1611">
        <v>1.0531999999999999</v>
      </c>
      <c r="K20" s="1611">
        <v>1.0531999999999999</v>
      </c>
      <c r="L20" s="1611">
        <v>1.0531999999999999</v>
      </c>
      <c r="M20" s="1611">
        <v>1.0531999999999999</v>
      </c>
    </row>
    <row r="21" spans="1:14">
      <c r="A21" s="1602">
        <v>1.9</v>
      </c>
      <c r="B21" s="1611">
        <v>1.2</v>
      </c>
      <c r="C21" s="1611">
        <v>1.2</v>
      </c>
      <c r="D21" s="1611">
        <v>1.1089</v>
      </c>
      <c r="E21" s="1611">
        <v>1.1089</v>
      </c>
      <c r="F21" s="1611">
        <v>1.1089</v>
      </c>
      <c r="G21" s="1611">
        <v>1.1089</v>
      </c>
      <c r="H21" s="1611">
        <v>1.1089</v>
      </c>
      <c r="I21" s="1611">
        <v>1.0261</v>
      </c>
      <c r="J21" s="1611">
        <v>1.0261</v>
      </c>
      <c r="K21" s="1611">
        <v>1.0261</v>
      </c>
      <c r="L21" s="1611">
        <v>1.0261</v>
      </c>
      <c r="M21" s="1611">
        <v>1.0261</v>
      </c>
    </row>
    <row r="22" spans="1:14">
      <c r="A22" s="1602">
        <v>2</v>
      </c>
      <c r="B22" s="1611">
        <v>1.1800999999999999</v>
      </c>
      <c r="C22" s="1611">
        <v>1.1800999999999999</v>
      </c>
      <c r="D22" s="1611">
        <v>1.0883</v>
      </c>
      <c r="E22" s="1611">
        <v>1.0883</v>
      </c>
      <c r="F22" s="1611">
        <v>1.0883</v>
      </c>
      <c r="G22" s="1611">
        <v>1.0883</v>
      </c>
      <c r="H22" s="1611">
        <v>1.0883</v>
      </c>
      <c r="I22" s="1611">
        <v>1</v>
      </c>
      <c r="J22" s="1611">
        <v>1</v>
      </c>
      <c r="K22" s="1611">
        <v>1</v>
      </c>
      <c r="L22" s="1611">
        <v>1</v>
      </c>
      <c r="M22" s="1611">
        <v>1</v>
      </c>
    </row>
    <row r="23" spans="1:14">
      <c r="A23" s="1625">
        <v>2.1</v>
      </c>
      <c r="B23" s="1611">
        <v>1.1616</v>
      </c>
      <c r="C23" s="1611">
        <v>1.1616</v>
      </c>
      <c r="D23" s="1611">
        <v>1.0685</v>
      </c>
      <c r="E23" s="1611">
        <v>1.0685</v>
      </c>
      <c r="F23" s="1611">
        <v>1.0685</v>
      </c>
      <c r="G23" s="1611">
        <v>1.0685</v>
      </c>
      <c r="H23" s="1611">
        <v>1.0685</v>
      </c>
      <c r="I23" s="1611">
        <v>0.97550000000000003</v>
      </c>
      <c r="J23" s="1611">
        <v>0.97550000000000003</v>
      </c>
      <c r="K23" s="1611">
        <v>0.97550000000000003</v>
      </c>
      <c r="L23" s="1611">
        <v>0.97550000000000003</v>
      </c>
      <c r="M23" s="1611">
        <v>0.97550000000000003</v>
      </c>
    </row>
    <row r="24" spans="1:14">
      <c r="A24" s="1625">
        <v>2.2000000000000002</v>
      </c>
      <c r="B24" s="1611">
        <v>1.1440999999999999</v>
      </c>
      <c r="C24" s="1611">
        <v>1.1440999999999999</v>
      </c>
      <c r="D24" s="1611">
        <v>1.0497000000000001</v>
      </c>
      <c r="E24" s="1611">
        <v>1.0497000000000001</v>
      </c>
      <c r="F24" s="1611">
        <v>1.0497000000000001</v>
      </c>
      <c r="G24" s="1611">
        <v>1.0497000000000001</v>
      </c>
      <c r="H24" s="1611">
        <v>1.0497000000000001</v>
      </c>
      <c r="I24" s="1611">
        <v>0.95230000000000004</v>
      </c>
      <c r="J24" s="1611">
        <v>0.95230000000000004</v>
      </c>
      <c r="K24" s="1611">
        <v>0.95230000000000004</v>
      </c>
      <c r="L24" s="1611">
        <v>0.95230000000000004</v>
      </c>
      <c r="M24" s="1611">
        <v>0.95230000000000004</v>
      </c>
    </row>
    <row r="25" spans="1:14">
      <c r="A25" s="1625">
        <v>2.2999999999999998</v>
      </c>
      <c r="B25" s="1611">
        <v>1.1275999999999999</v>
      </c>
      <c r="C25" s="1611">
        <v>1.1275999999999999</v>
      </c>
      <c r="D25" s="1611">
        <v>1.032</v>
      </c>
      <c r="E25" s="1611">
        <v>1.032</v>
      </c>
      <c r="F25" s="1611">
        <v>1.032</v>
      </c>
      <c r="G25" s="1611">
        <v>1.032</v>
      </c>
      <c r="H25" s="1611">
        <v>1.032</v>
      </c>
      <c r="I25" s="1611">
        <v>0.9304</v>
      </c>
      <c r="J25" s="1611">
        <v>0.9304</v>
      </c>
      <c r="K25" s="1611">
        <v>0.9304</v>
      </c>
      <c r="L25" s="1611">
        <v>0.9304</v>
      </c>
      <c r="M25" s="1611">
        <v>0.9304</v>
      </c>
    </row>
    <row r="26" spans="1:14">
      <c r="A26" s="1625">
        <v>2.4</v>
      </c>
      <c r="B26" s="1611">
        <v>1.1121000000000001</v>
      </c>
      <c r="C26" s="1611">
        <v>1.1121000000000001</v>
      </c>
      <c r="D26" s="1611">
        <v>1.0155000000000001</v>
      </c>
      <c r="E26" s="1611">
        <v>1.0155000000000001</v>
      </c>
      <c r="F26" s="1611">
        <v>1.0155000000000001</v>
      </c>
      <c r="G26" s="1611">
        <v>1.0155000000000001</v>
      </c>
      <c r="H26" s="1611">
        <v>1.0155000000000001</v>
      </c>
      <c r="I26" s="1611">
        <v>0.91</v>
      </c>
      <c r="J26" s="1611">
        <v>0.91</v>
      </c>
      <c r="K26" s="1611">
        <v>0.91</v>
      </c>
      <c r="L26" s="1611">
        <v>0.91</v>
      </c>
      <c r="M26" s="1611">
        <v>0.91</v>
      </c>
    </row>
    <row r="27" spans="1:14">
      <c r="A27" s="1625">
        <v>2.5</v>
      </c>
      <c r="B27" s="1611">
        <v>1.0975999999999999</v>
      </c>
      <c r="C27" s="1611">
        <v>1.0975999999999999</v>
      </c>
      <c r="D27" s="1611">
        <v>1</v>
      </c>
      <c r="E27" s="1611">
        <v>1</v>
      </c>
      <c r="F27" s="1611">
        <v>1</v>
      </c>
      <c r="G27" s="1611">
        <v>1</v>
      </c>
      <c r="H27" s="1611">
        <v>1</v>
      </c>
      <c r="I27" s="1611">
        <v>0.89080000000000004</v>
      </c>
      <c r="J27" s="1611">
        <v>0.89080000000000004</v>
      </c>
      <c r="K27" s="1611">
        <v>0.89080000000000004</v>
      </c>
      <c r="L27" s="1611">
        <v>0.89080000000000004</v>
      </c>
      <c r="M27" s="1611">
        <v>0.89080000000000004</v>
      </c>
    </row>
    <row r="28" spans="1:14">
      <c r="A28" s="1625">
        <v>2.6</v>
      </c>
      <c r="B28" s="1611">
        <v>1.0841000000000001</v>
      </c>
      <c r="C28" s="1611">
        <v>1.0841000000000001</v>
      </c>
      <c r="D28" s="1611">
        <v>0.98619999999999997</v>
      </c>
      <c r="E28" s="1611">
        <v>0.98619999999999997</v>
      </c>
      <c r="F28" s="1611">
        <v>0.98619999999999997</v>
      </c>
      <c r="G28" s="1611">
        <v>0.98619999999999997</v>
      </c>
      <c r="H28" s="1611">
        <v>0.98619999999999997</v>
      </c>
      <c r="I28" s="1611">
        <v>0.873</v>
      </c>
      <c r="J28" s="1611">
        <v>0.873</v>
      </c>
      <c r="K28" s="1611">
        <v>0.873</v>
      </c>
      <c r="L28" s="1611">
        <v>0.873</v>
      </c>
      <c r="M28" s="1611">
        <v>0.873</v>
      </c>
    </row>
    <row r="29" spans="1:14">
      <c r="A29" s="1625">
        <v>2.7</v>
      </c>
      <c r="B29" s="1611">
        <v>1.0716000000000001</v>
      </c>
      <c r="C29" s="1611">
        <v>1.0716000000000001</v>
      </c>
      <c r="D29" s="1611">
        <v>0.97330000000000005</v>
      </c>
      <c r="E29" s="1611">
        <v>0.97330000000000005</v>
      </c>
      <c r="F29" s="1611">
        <v>0.97330000000000005</v>
      </c>
      <c r="G29" s="1611">
        <v>0.97330000000000005</v>
      </c>
      <c r="H29" s="1611">
        <v>0.97330000000000005</v>
      </c>
      <c r="I29" s="1611">
        <v>0.85670000000000002</v>
      </c>
      <c r="J29" s="1611">
        <v>0.85670000000000002</v>
      </c>
      <c r="K29" s="1611">
        <v>0.85670000000000002</v>
      </c>
      <c r="L29" s="1611">
        <v>0.85670000000000002</v>
      </c>
      <c r="M29" s="1611">
        <v>0.85670000000000002</v>
      </c>
    </row>
    <row r="30" spans="1:14">
      <c r="A30" s="1625">
        <v>2.8</v>
      </c>
      <c r="B30" s="1611">
        <v>1.0602</v>
      </c>
      <c r="C30" s="1611">
        <v>1.0602</v>
      </c>
      <c r="D30" s="1611">
        <v>0.96160000000000001</v>
      </c>
      <c r="E30" s="1611">
        <v>0.96160000000000001</v>
      </c>
      <c r="F30" s="1611">
        <v>0.96160000000000001</v>
      </c>
      <c r="G30" s="1611">
        <v>0.96160000000000001</v>
      </c>
      <c r="H30" s="1611">
        <v>0.96160000000000001</v>
      </c>
      <c r="I30" s="1611">
        <v>0.8417</v>
      </c>
      <c r="J30" s="1611">
        <v>0.8417</v>
      </c>
      <c r="K30" s="1611">
        <v>0.8417</v>
      </c>
      <c r="L30" s="1611">
        <v>0.8417</v>
      </c>
      <c r="M30" s="1611">
        <v>0.8417</v>
      </c>
    </row>
    <row r="31" spans="1:14">
      <c r="A31" s="1625">
        <v>2.9</v>
      </c>
      <c r="B31" s="1611">
        <v>1.0497000000000001</v>
      </c>
      <c r="C31" s="1611">
        <v>1.0497000000000001</v>
      </c>
      <c r="D31" s="1611">
        <v>0.95089999999999997</v>
      </c>
      <c r="E31" s="1611">
        <v>0.95089999999999997</v>
      </c>
      <c r="F31" s="1611">
        <v>0.95089999999999997</v>
      </c>
      <c r="G31" s="1611">
        <v>0.95089999999999997</v>
      </c>
      <c r="H31" s="1611">
        <v>0.95089999999999997</v>
      </c>
      <c r="I31" s="1611">
        <v>0.82809999999999995</v>
      </c>
      <c r="J31" s="1611">
        <v>0.82809999999999995</v>
      </c>
      <c r="K31" s="1611">
        <v>0.82809999999999995</v>
      </c>
      <c r="L31" s="1611">
        <v>0.82809999999999995</v>
      </c>
      <c r="M31" s="1611">
        <v>0.82809999999999995</v>
      </c>
    </row>
    <row r="32" spans="1:14">
      <c r="A32" s="1625">
        <v>3</v>
      </c>
      <c r="B32" s="1611">
        <v>1.0401</v>
      </c>
      <c r="C32" s="1611">
        <v>1.0401</v>
      </c>
      <c r="D32" s="1611">
        <v>0.94089999999999996</v>
      </c>
      <c r="E32" s="1611">
        <v>0.94089999999999996</v>
      </c>
      <c r="F32" s="1611">
        <v>0.94089999999999996</v>
      </c>
      <c r="G32" s="1611">
        <v>0.94089999999999996</v>
      </c>
      <c r="H32" s="1611">
        <v>0.94089999999999996</v>
      </c>
      <c r="I32" s="1611">
        <v>0.81579999999999997</v>
      </c>
      <c r="J32" s="1611">
        <v>0.81579999999999997</v>
      </c>
      <c r="K32" s="1611">
        <v>0.81579999999999997</v>
      </c>
      <c r="L32" s="1611">
        <v>0.81579999999999997</v>
      </c>
      <c r="M32" s="1611">
        <v>0.81579999999999997</v>
      </c>
    </row>
    <row r="33" spans="1:13">
      <c r="A33" s="1625">
        <v>3.1</v>
      </c>
      <c r="B33" s="1611">
        <v>1.0314000000000001</v>
      </c>
      <c r="C33" s="1611">
        <v>1.0314000000000001</v>
      </c>
      <c r="D33" s="1611">
        <v>0.93169999999999997</v>
      </c>
      <c r="E33" s="1611">
        <v>0.93169999999999997</v>
      </c>
      <c r="F33" s="1611">
        <v>0.93169999999999997</v>
      </c>
      <c r="G33" s="1611">
        <v>0.93169999999999997</v>
      </c>
      <c r="H33" s="1611">
        <v>0.93169999999999997</v>
      </c>
      <c r="I33" s="1611">
        <v>0.80410000000000004</v>
      </c>
      <c r="J33" s="1611">
        <v>0.80410000000000004</v>
      </c>
      <c r="K33" s="1611">
        <v>0.80410000000000004</v>
      </c>
      <c r="L33" s="1611">
        <v>0.80410000000000004</v>
      </c>
      <c r="M33" s="1611">
        <v>0.80410000000000004</v>
      </c>
    </row>
    <row r="34" spans="1:13">
      <c r="A34" s="1625">
        <v>3.2</v>
      </c>
      <c r="B34" s="1611">
        <v>1.0229999999999999</v>
      </c>
      <c r="C34" s="1611">
        <v>1.0229999999999999</v>
      </c>
      <c r="D34" s="1611">
        <v>0.92279999999999995</v>
      </c>
      <c r="E34" s="1611">
        <v>0.92279999999999995</v>
      </c>
      <c r="F34" s="1611">
        <v>0.92279999999999995</v>
      </c>
      <c r="G34" s="1611">
        <v>0.92279999999999995</v>
      </c>
      <c r="H34" s="1611">
        <v>0.92279999999999995</v>
      </c>
      <c r="I34" s="1611">
        <v>0.79300000000000004</v>
      </c>
      <c r="J34" s="1611">
        <v>0.79300000000000004</v>
      </c>
      <c r="K34" s="1611">
        <v>0.79300000000000004</v>
      </c>
      <c r="L34" s="1611">
        <v>0.79300000000000004</v>
      </c>
      <c r="M34" s="1611">
        <v>0.79300000000000004</v>
      </c>
    </row>
    <row r="35" spans="1:13">
      <c r="A35" s="1625">
        <v>3.3</v>
      </c>
      <c r="B35" s="1611">
        <v>1.0149999999999999</v>
      </c>
      <c r="C35" s="1611">
        <v>1.0149999999999999</v>
      </c>
      <c r="D35" s="1611">
        <v>0.91439999999999999</v>
      </c>
      <c r="E35" s="1611">
        <v>0.91439999999999999</v>
      </c>
      <c r="F35" s="1611">
        <v>0.91439999999999999</v>
      </c>
      <c r="G35" s="1611">
        <v>0.91439999999999999</v>
      </c>
      <c r="H35" s="1611">
        <v>0.91439999999999999</v>
      </c>
      <c r="I35" s="1611">
        <v>0.78220000000000001</v>
      </c>
      <c r="J35" s="1611">
        <v>0.78220000000000001</v>
      </c>
      <c r="K35" s="1611">
        <v>0.78220000000000001</v>
      </c>
      <c r="L35" s="1611">
        <v>0.78220000000000001</v>
      </c>
      <c r="M35" s="1611">
        <v>0.78220000000000001</v>
      </c>
    </row>
    <row r="36" spans="1:13">
      <c r="A36" s="1625">
        <v>3.4</v>
      </c>
      <c r="B36" s="1611">
        <v>1.0073000000000001</v>
      </c>
      <c r="C36" s="1611">
        <v>1.0073000000000001</v>
      </c>
      <c r="D36" s="1611">
        <v>0.90629999999999999</v>
      </c>
      <c r="E36" s="1611">
        <v>0.90629999999999999</v>
      </c>
      <c r="F36" s="1611">
        <v>0.90629999999999999</v>
      </c>
      <c r="G36" s="1611">
        <v>0.90629999999999999</v>
      </c>
      <c r="H36" s="1611">
        <v>0.90629999999999999</v>
      </c>
      <c r="I36" s="1611">
        <v>0.77210000000000001</v>
      </c>
      <c r="J36" s="1611">
        <v>0.77210000000000001</v>
      </c>
      <c r="K36" s="1611">
        <v>0.77210000000000001</v>
      </c>
      <c r="L36" s="1611">
        <v>0.77210000000000001</v>
      </c>
      <c r="M36" s="1611">
        <v>0.77210000000000001</v>
      </c>
    </row>
    <row r="37" spans="1:13">
      <c r="A37" s="1625">
        <v>3.5</v>
      </c>
      <c r="B37" s="1611">
        <v>1</v>
      </c>
      <c r="C37" s="1611">
        <v>1</v>
      </c>
      <c r="D37" s="1611">
        <v>0.89870000000000005</v>
      </c>
      <c r="E37" s="1611">
        <v>0.89870000000000005</v>
      </c>
      <c r="F37" s="1611">
        <v>0.89870000000000005</v>
      </c>
      <c r="G37" s="1611">
        <v>0.89870000000000005</v>
      </c>
      <c r="H37" s="1611">
        <v>0.89870000000000005</v>
      </c>
      <c r="I37" s="1611">
        <v>0.76239999999999997</v>
      </c>
      <c r="J37" s="1611">
        <v>0.76239999999999997</v>
      </c>
      <c r="K37" s="1611">
        <v>0.76239999999999997</v>
      </c>
      <c r="L37" s="1611">
        <v>0.76239999999999997</v>
      </c>
      <c r="M37" s="1611">
        <v>0.76239999999999997</v>
      </c>
    </row>
    <row r="38" spans="1:13">
      <c r="A38" s="1625">
        <v>3.6</v>
      </c>
      <c r="B38" s="1611">
        <v>0.99329999999999996</v>
      </c>
      <c r="C38" s="1611">
        <v>0.99329999999999996</v>
      </c>
      <c r="D38" s="1611">
        <v>0.89139999999999997</v>
      </c>
      <c r="E38" s="1611">
        <v>0.89139999999999997</v>
      </c>
      <c r="F38" s="1611">
        <v>0.89139999999999997</v>
      </c>
      <c r="G38" s="1611">
        <v>0.89139999999999997</v>
      </c>
      <c r="H38" s="1611">
        <v>0.89139999999999997</v>
      </c>
      <c r="I38" s="1611">
        <v>0.75319999999999998</v>
      </c>
      <c r="J38" s="1611">
        <v>0.75319999999999998</v>
      </c>
      <c r="K38" s="1611">
        <v>0.75319999999999998</v>
      </c>
      <c r="L38" s="1611">
        <v>0.75319999999999998</v>
      </c>
      <c r="M38" s="1611">
        <v>0.75319999999999998</v>
      </c>
    </row>
    <row r="39" spans="1:13">
      <c r="A39" s="1625">
        <v>3.7</v>
      </c>
      <c r="B39" s="1611">
        <v>0.9869</v>
      </c>
      <c r="C39" s="1611">
        <v>0.9869</v>
      </c>
      <c r="D39" s="1611">
        <v>0.88449999999999995</v>
      </c>
      <c r="E39" s="1611">
        <v>0.88449999999999995</v>
      </c>
      <c r="F39" s="1611">
        <v>0.88449999999999995</v>
      </c>
      <c r="G39" s="1611">
        <v>0.88449999999999995</v>
      </c>
      <c r="H39" s="1611">
        <v>0.88449999999999995</v>
      </c>
      <c r="I39" s="1611">
        <v>0.74460000000000004</v>
      </c>
      <c r="J39" s="1611">
        <v>0.74460000000000004</v>
      </c>
      <c r="K39" s="1611">
        <v>0.74460000000000004</v>
      </c>
      <c r="L39" s="1611">
        <v>0.74460000000000004</v>
      </c>
      <c r="M39" s="1611">
        <v>0.74460000000000004</v>
      </c>
    </row>
    <row r="40" spans="1:13">
      <c r="A40" s="1625">
        <v>3.8</v>
      </c>
      <c r="B40" s="1611">
        <v>0.98080000000000001</v>
      </c>
      <c r="C40" s="1611">
        <v>0.98080000000000001</v>
      </c>
      <c r="D40" s="1611">
        <v>0.87809999999999999</v>
      </c>
      <c r="E40" s="1611">
        <v>0.87809999999999999</v>
      </c>
      <c r="F40" s="1611">
        <v>0.87809999999999999</v>
      </c>
      <c r="G40" s="1611">
        <v>0.87809999999999999</v>
      </c>
      <c r="H40" s="1611">
        <v>0.87809999999999999</v>
      </c>
      <c r="I40" s="1611">
        <v>0.73640000000000005</v>
      </c>
      <c r="J40" s="1611">
        <v>0.73640000000000005</v>
      </c>
      <c r="K40" s="1611">
        <v>0.73640000000000005</v>
      </c>
      <c r="L40" s="1611">
        <v>0.73640000000000005</v>
      </c>
      <c r="M40" s="1611">
        <v>0.73640000000000005</v>
      </c>
    </row>
    <row r="41" spans="1:13">
      <c r="A41" s="1625">
        <v>3.9</v>
      </c>
      <c r="B41" s="1611">
        <v>0.97509999999999997</v>
      </c>
      <c r="C41" s="1611">
        <v>0.97509999999999997</v>
      </c>
      <c r="D41" s="1611">
        <v>0.87209999999999999</v>
      </c>
      <c r="E41" s="1611">
        <v>0.87209999999999999</v>
      </c>
      <c r="F41" s="1611">
        <v>0.87209999999999999</v>
      </c>
      <c r="G41" s="1611">
        <v>0.87209999999999999</v>
      </c>
      <c r="H41" s="1611">
        <v>0.87209999999999999</v>
      </c>
      <c r="I41" s="1611">
        <v>0.7288</v>
      </c>
      <c r="J41" s="1611">
        <v>0.7288</v>
      </c>
      <c r="K41" s="1611">
        <v>0.7288</v>
      </c>
      <c r="L41" s="1611">
        <v>0.7288</v>
      </c>
      <c r="M41" s="1611">
        <v>0.7288</v>
      </c>
    </row>
    <row r="42" spans="1:13">
      <c r="A42" s="1625">
        <v>4</v>
      </c>
      <c r="B42" s="1611">
        <v>0.96989999999999998</v>
      </c>
      <c r="C42" s="1611">
        <v>0.96989999999999998</v>
      </c>
      <c r="D42" s="1611">
        <v>0.86650000000000005</v>
      </c>
      <c r="E42" s="1611">
        <v>0.86650000000000005</v>
      </c>
      <c r="F42" s="1611">
        <v>0.86650000000000005</v>
      </c>
      <c r="G42" s="1611">
        <v>0.86650000000000005</v>
      </c>
      <c r="H42" s="1611">
        <v>0.86650000000000005</v>
      </c>
      <c r="I42" s="1611">
        <v>0.7218</v>
      </c>
      <c r="J42" s="1611">
        <v>0.7218</v>
      </c>
      <c r="K42" s="1611">
        <v>0.7218</v>
      </c>
      <c r="L42" s="1611">
        <v>0.7218</v>
      </c>
      <c r="M42" s="1611">
        <v>0.7218</v>
      </c>
    </row>
    <row r="43" spans="1:13">
      <c r="A43" s="1625">
        <v>4.0999999999999996</v>
      </c>
      <c r="B43" s="1611">
        <v>0.96479999999999999</v>
      </c>
      <c r="C43" s="1611">
        <v>0.96479999999999999</v>
      </c>
      <c r="D43" s="1611">
        <v>0.86109999999999998</v>
      </c>
      <c r="E43" s="1611">
        <v>0.86109999999999998</v>
      </c>
      <c r="F43" s="1611">
        <v>0.86109999999999998</v>
      </c>
      <c r="G43" s="1611">
        <v>0.86109999999999998</v>
      </c>
      <c r="H43" s="1611">
        <v>0.86109999999999998</v>
      </c>
      <c r="I43" s="1611">
        <v>0.71499999999999997</v>
      </c>
      <c r="J43" s="1611">
        <v>0.71499999999999997</v>
      </c>
      <c r="K43" s="1611">
        <v>0.71499999999999997</v>
      </c>
      <c r="L43" s="1611">
        <v>0.71499999999999997</v>
      </c>
      <c r="M43" s="1611">
        <v>0.71499999999999997</v>
      </c>
    </row>
    <row r="44" spans="1:13">
      <c r="A44" s="1625">
        <v>4.2</v>
      </c>
      <c r="B44" s="1611">
        <v>0.96</v>
      </c>
      <c r="C44" s="1611">
        <v>0.96</v>
      </c>
      <c r="D44" s="1611">
        <v>0.85599999999999998</v>
      </c>
      <c r="E44" s="1611">
        <v>0.85599999999999998</v>
      </c>
      <c r="F44" s="1611">
        <v>0.85599999999999998</v>
      </c>
      <c r="G44" s="1611">
        <v>0.85599999999999998</v>
      </c>
      <c r="H44" s="1611">
        <v>0.85599999999999998</v>
      </c>
      <c r="I44" s="1611">
        <v>0.70840000000000003</v>
      </c>
      <c r="J44" s="1611">
        <v>0.70840000000000003</v>
      </c>
      <c r="K44" s="1611">
        <v>0.70840000000000003</v>
      </c>
      <c r="L44" s="1611">
        <v>0.70840000000000003</v>
      </c>
      <c r="M44" s="1611">
        <v>0.70840000000000003</v>
      </c>
    </row>
    <row r="45" spans="1:13">
      <c r="A45" s="1625">
        <v>4.3</v>
      </c>
      <c r="B45" s="1611">
        <v>0.95530000000000004</v>
      </c>
      <c r="C45" s="1611">
        <v>0.95530000000000004</v>
      </c>
      <c r="D45" s="1611">
        <v>0.85099999999999998</v>
      </c>
      <c r="E45" s="1611">
        <v>0.85099999999999998</v>
      </c>
      <c r="F45" s="1611">
        <v>0.85099999999999998</v>
      </c>
      <c r="G45" s="1611">
        <v>0.85099999999999998</v>
      </c>
      <c r="H45" s="1611">
        <v>0.85099999999999998</v>
      </c>
      <c r="I45" s="1611">
        <v>0.70199999999999996</v>
      </c>
      <c r="J45" s="1611">
        <v>0.70199999999999996</v>
      </c>
      <c r="K45" s="1611">
        <v>0.70199999999999996</v>
      </c>
      <c r="L45" s="1611">
        <v>0.70199999999999996</v>
      </c>
      <c r="M45" s="1611">
        <v>0.70199999999999996</v>
      </c>
    </row>
    <row r="46" spans="1:13">
      <c r="A46" s="1625">
        <v>4.4000000000000004</v>
      </c>
      <c r="B46" s="1611">
        <v>0.95079999999999998</v>
      </c>
      <c r="C46" s="1611">
        <v>0.95079999999999998</v>
      </c>
      <c r="D46" s="1611">
        <v>0.84619999999999995</v>
      </c>
      <c r="E46" s="1611">
        <v>0.84619999999999995</v>
      </c>
      <c r="F46" s="1611">
        <v>0.84619999999999995</v>
      </c>
      <c r="G46" s="1611">
        <v>0.84619999999999995</v>
      </c>
      <c r="H46" s="1611">
        <v>0.84619999999999995</v>
      </c>
      <c r="I46" s="1611">
        <v>0.69579999999999997</v>
      </c>
      <c r="J46" s="1611">
        <v>0.69579999999999997</v>
      </c>
      <c r="K46" s="1611">
        <v>0.69579999999999997</v>
      </c>
      <c r="L46" s="1611">
        <v>0.69579999999999997</v>
      </c>
      <c r="M46" s="1611">
        <v>0.69579999999999997</v>
      </c>
    </row>
    <row r="47" spans="1:13">
      <c r="A47" s="1625">
        <v>4.5</v>
      </c>
      <c r="B47" s="1611">
        <v>0.94640000000000002</v>
      </c>
      <c r="C47" s="1611">
        <v>0.94640000000000002</v>
      </c>
      <c r="D47" s="1611">
        <v>0.84150000000000003</v>
      </c>
      <c r="E47" s="1611">
        <v>0.84150000000000003</v>
      </c>
      <c r="F47" s="1611">
        <v>0.84150000000000003</v>
      </c>
      <c r="G47" s="1611">
        <v>0.84150000000000003</v>
      </c>
      <c r="H47" s="1611">
        <v>0.84150000000000003</v>
      </c>
      <c r="I47" s="1611">
        <v>0.68989999999999996</v>
      </c>
      <c r="J47" s="1611">
        <v>0.68989999999999996</v>
      </c>
      <c r="K47" s="1611">
        <v>0.68989999999999996</v>
      </c>
      <c r="L47" s="1611">
        <v>0.68989999999999996</v>
      </c>
      <c r="M47" s="1611">
        <v>0.68989999999999996</v>
      </c>
    </row>
    <row r="48" spans="1:13">
      <c r="A48" s="1625">
        <v>4.5999999999999996</v>
      </c>
      <c r="B48" s="1611">
        <v>0.94230000000000003</v>
      </c>
      <c r="C48" s="1611">
        <v>0.94230000000000003</v>
      </c>
      <c r="D48" s="1611">
        <v>0.83709999999999996</v>
      </c>
      <c r="E48" s="1611">
        <v>0.83709999999999996</v>
      </c>
      <c r="F48" s="1611">
        <v>0.83709999999999996</v>
      </c>
      <c r="G48" s="1611">
        <v>0.83709999999999996</v>
      </c>
      <c r="H48" s="1611">
        <v>0.83709999999999996</v>
      </c>
      <c r="I48" s="1611">
        <v>0.68430000000000002</v>
      </c>
      <c r="J48" s="1611">
        <v>0.68430000000000002</v>
      </c>
      <c r="K48" s="1611">
        <v>0.68430000000000002</v>
      </c>
      <c r="L48" s="1611">
        <v>0.68430000000000002</v>
      </c>
      <c r="M48" s="1611">
        <v>0.68430000000000002</v>
      </c>
    </row>
    <row r="49" spans="1:13">
      <c r="A49" s="1625">
        <v>4.7</v>
      </c>
      <c r="B49" s="1611">
        <v>0.93830000000000002</v>
      </c>
      <c r="C49" s="1611">
        <v>0.93830000000000002</v>
      </c>
      <c r="D49" s="1611">
        <v>0.83279999999999998</v>
      </c>
      <c r="E49" s="1611">
        <v>0.83279999999999998</v>
      </c>
      <c r="F49" s="1611">
        <v>0.83279999999999998</v>
      </c>
      <c r="G49" s="1611">
        <v>0.83279999999999998</v>
      </c>
      <c r="H49" s="1611">
        <v>0.83279999999999998</v>
      </c>
      <c r="I49" s="1611">
        <v>0.67879999999999996</v>
      </c>
      <c r="J49" s="1611">
        <v>0.67879999999999996</v>
      </c>
      <c r="K49" s="1611">
        <v>0.67879999999999996</v>
      </c>
      <c r="L49" s="1611">
        <v>0.67879999999999996</v>
      </c>
      <c r="M49" s="1611">
        <v>0.67879999999999996</v>
      </c>
    </row>
    <row r="50" spans="1:13">
      <c r="A50" s="1625">
        <v>4.8</v>
      </c>
      <c r="B50" s="1611">
        <v>0.9345</v>
      </c>
      <c r="C50" s="1611">
        <v>0.9345</v>
      </c>
      <c r="D50" s="1611">
        <v>0.82869999999999999</v>
      </c>
      <c r="E50" s="1611">
        <v>0.82869999999999999</v>
      </c>
      <c r="F50" s="1611">
        <v>0.82869999999999999</v>
      </c>
      <c r="G50" s="1611">
        <v>0.82869999999999999</v>
      </c>
      <c r="H50" s="1611">
        <v>0.82869999999999999</v>
      </c>
      <c r="I50" s="1611">
        <v>0.67359999999999998</v>
      </c>
      <c r="J50" s="1611">
        <v>0.67359999999999998</v>
      </c>
      <c r="K50" s="1611">
        <v>0.67359999999999998</v>
      </c>
      <c r="L50" s="1611">
        <v>0.67359999999999998</v>
      </c>
      <c r="M50" s="1611">
        <v>0.67359999999999998</v>
      </c>
    </row>
    <row r="51" spans="1:13">
      <c r="A51" s="1625">
        <v>4.9000000000000004</v>
      </c>
      <c r="B51" s="1611">
        <v>0.93079999999999996</v>
      </c>
      <c r="C51" s="1611">
        <v>0.93079999999999996</v>
      </c>
      <c r="D51" s="1611">
        <v>0.82479999999999998</v>
      </c>
      <c r="E51" s="1611">
        <v>0.82479999999999998</v>
      </c>
      <c r="F51" s="1611">
        <v>0.82479999999999998</v>
      </c>
      <c r="G51" s="1611">
        <v>0.82479999999999998</v>
      </c>
      <c r="H51" s="1611">
        <v>0.82479999999999998</v>
      </c>
      <c r="I51" s="1611">
        <v>0.66849999999999998</v>
      </c>
      <c r="J51" s="1611">
        <v>0.66849999999999998</v>
      </c>
      <c r="K51" s="1611">
        <v>0.66849999999999998</v>
      </c>
      <c r="L51" s="1611">
        <v>0.66849999999999998</v>
      </c>
      <c r="M51" s="1611">
        <v>0.66849999999999998</v>
      </c>
    </row>
    <row r="52" spans="1:13">
      <c r="A52" s="1625">
        <v>5</v>
      </c>
      <c r="B52" s="1611">
        <v>0.9274</v>
      </c>
      <c r="C52" s="1611">
        <v>0.9274</v>
      </c>
      <c r="D52" s="1611">
        <v>0.82110000000000005</v>
      </c>
      <c r="E52" s="1611">
        <v>0.82110000000000005</v>
      </c>
      <c r="F52" s="1611">
        <v>0.82110000000000005</v>
      </c>
      <c r="G52" s="1611">
        <v>0.82110000000000005</v>
      </c>
      <c r="H52" s="1611">
        <v>0.82110000000000005</v>
      </c>
      <c r="I52" s="1611">
        <v>0.66369999999999996</v>
      </c>
      <c r="J52" s="1611">
        <v>0.66369999999999996</v>
      </c>
      <c r="K52" s="1611">
        <v>0.66369999999999996</v>
      </c>
      <c r="L52" s="1611">
        <v>0.66369999999999996</v>
      </c>
      <c r="M52" s="1611">
        <v>0.66369999999999996</v>
      </c>
    </row>
    <row r="53" spans="1:13">
      <c r="A53" s="1602">
        <v>5.0999999999999996</v>
      </c>
      <c r="B53" s="1611">
        <v>0.92410000000000003</v>
      </c>
      <c r="C53" s="1611">
        <v>0.92410000000000003</v>
      </c>
      <c r="D53" s="1611">
        <v>0.8175</v>
      </c>
      <c r="E53" s="1611">
        <v>0.8175</v>
      </c>
      <c r="F53" s="1611">
        <v>0.8175</v>
      </c>
      <c r="G53" s="1611">
        <v>0.8175</v>
      </c>
      <c r="H53" s="1611">
        <v>0.8175</v>
      </c>
      <c r="I53" s="1611">
        <v>0.65900000000000003</v>
      </c>
      <c r="J53" s="1611">
        <v>0.65900000000000003</v>
      </c>
      <c r="K53" s="1611">
        <v>0.65900000000000003</v>
      </c>
      <c r="L53" s="1611">
        <v>0.65900000000000003</v>
      </c>
      <c r="M53" s="1611">
        <v>0.65900000000000003</v>
      </c>
    </row>
    <row r="54" spans="1:13">
      <c r="A54" s="1602">
        <v>5.2</v>
      </c>
      <c r="B54" s="1611">
        <v>0.92090000000000005</v>
      </c>
      <c r="C54" s="1611">
        <v>0.92090000000000005</v>
      </c>
      <c r="D54" s="1611">
        <v>0.81399999999999995</v>
      </c>
      <c r="E54" s="1611">
        <v>0.81399999999999995</v>
      </c>
      <c r="F54" s="1611">
        <v>0.81399999999999995</v>
      </c>
      <c r="G54" s="1611">
        <v>0.81399999999999995</v>
      </c>
      <c r="H54" s="1611">
        <v>0.81399999999999995</v>
      </c>
      <c r="I54" s="1611">
        <v>0.65449999999999997</v>
      </c>
      <c r="J54" s="1611">
        <v>0.65449999999999997</v>
      </c>
      <c r="K54" s="1611">
        <v>0.65449999999999997</v>
      </c>
      <c r="L54" s="1611">
        <v>0.65449999999999997</v>
      </c>
      <c r="M54" s="1611">
        <v>0.65449999999999997</v>
      </c>
    </row>
    <row r="55" spans="1:13">
      <c r="A55" s="1602">
        <v>5.3</v>
      </c>
      <c r="B55" s="1611">
        <v>0.91790000000000005</v>
      </c>
      <c r="C55" s="1611">
        <v>0.91790000000000005</v>
      </c>
      <c r="D55" s="1611">
        <v>0.81059999999999999</v>
      </c>
      <c r="E55" s="1611">
        <v>0.81059999999999999</v>
      </c>
      <c r="F55" s="1611">
        <v>0.81059999999999999</v>
      </c>
      <c r="G55" s="1611">
        <v>0.81059999999999999</v>
      </c>
      <c r="H55" s="1611">
        <v>0.81059999999999999</v>
      </c>
      <c r="I55" s="1611">
        <v>0.6502</v>
      </c>
      <c r="J55" s="1611">
        <v>0.6502</v>
      </c>
      <c r="K55" s="1611">
        <v>0.6502</v>
      </c>
      <c r="L55" s="1611">
        <v>0.6502</v>
      </c>
      <c r="M55" s="1611">
        <v>0.6502</v>
      </c>
    </row>
    <row r="56" spans="1:13">
      <c r="A56" s="1602">
        <v>5.4</v>
      </c>
      <c r="B56" s="1611">
        <v>0.91490000000000005</v>
      </c>
      <c r="C56" s="1611">
        <v>0.91490000000000005</v>
      </c>
      <c r="D56" s="1611">
        <v>0.80740000000000001</v>
      </c>
      <c r="E56" s="1611">
        <v>0.80740000000000001</v>
      </c>
      <c r="F56" s="1611">
        <v>0.80740000000000001</v>
      </c>
      <c r="G56" s="1611">
        <v>0.80740000000000001</v>
      </c>
      <c r="H56" s="1611">
        <v>0.80740000000000001</v>
      </c>
      <c r="I56" s="1611">
        <v>0.64590000000000003</v>
      </c>
      <c r="J56" s="1611">
        <v>0.64590000000000003</v>
      </c>
      <c r="K56" s="1611">
        <v>0.64590000000000003</v>
      </c>
      <c r="L56" s="1611">
        <v>0.64590000000000003</v>
      </c>
      <c r="M56" s="1611">
        <v>0.64590000000000003</v>
      </c>
    </row>
    <row r="57" spans="1:13">
      <c r="A57" s="1602">
        <v>5.5</v>
      </c>
      <c r="B57" s="1611">
        <v>0.91200000000000003</v>
      </c>
      <c r="C57" s="1611">
        <v>0.91200000000000003</v>
      </c>
      <c r="D57" s="1611">
        <v>0.80420000000000003</v>
      </c>
      <c r="E57" s="1611">
        <v>0.80420000000000003</v>
      </c>
      <c r="F57" s="1611">
        <v>0.80420000000000003</v>
      </c>
      <c r="G57" s="1611">
        <v>0.80420000000000003</v>
      </c>
      <c r="H57" s="1611">
        <v>0.80420000000000003</v>
      </c>
      <c r="I57" s="1611">
        <v>0.64180000000000004</v>
      </c>
      <c r="J57" s="1611">
        <v>0.64180000000000004</v>
      </c>
      <c r="K57" s="1611">
        <v>0.64180000000000004</v>
      </c>
      <c r="L57" s="1611">
        <v>0.64180000000000004</v>
      </c>
      <c r="M57" s="1611">
        <v>0.64180000000000004</v>
      </c>
    </row>
    <row r="58" spans="1:13">
      <c r="A58" s="1602">
        <v>5.6</v>
      </c>
      <c r="B58" s="1611">
        <v>0.90910000000000002</v>
      </c>
      <c r="C58" s="1611">
        <v>0.90910000000000002</v>
      </c>
      <c r="D58" s="1611">
        <v>0.80120000000000002</v>
      </c>
      <c r="E58" s="1611">
        <v>0.80120000000000002</v>
      </c>
      <c r="F58" s="1611">
        <v>0.80120000000000002</v>
      </c>
      <c r="G58" s="1611">
        <v>0.80120000000000002</v>
      </c>
      <c r="H58" s="1611">
        <v>0.80120000000000002</v>
      </c>
      <c r="I58" s="1611">
        <v>0.63790000000000002</v>
      </c>
      <c r="J58" s="1611">
        <v>0.63790000000000002</v>
      </c>
      <c r="K58" s="1611">
        <v>0.63790000000000002</v>
      </c>
      <c r="L58" s="1611">
        <v>0.63790000000000002</v>
      </c>
      <c r="M58" s="1611">
        <v>0.63790000000000002</v>
      </c>
    </row>
    <row r="59" spans="1:13">
      <c r="A59" s="1625">
        <v>5.7</v>
      </c>
      <c r="B59" s="1611">
        <v>0.90639999999999998</v>
      </c>
      <c r="C59" s="1611">
        <v>0.90639999999999998</v>
      </c>
      <c r="D59" s="1611">
        <v>0.79820000000000002</v>
      </c>
      <c r="E59" s="1611">
        <v>0.79820000000000002</v>
      </c>
      <c r="F59" s="1611">
        <v>0.79820000000000002</v>
      </c>
      <c r="G59" s="1611">
        <v>0.79820000000000002</v>
      </c>
      <c r="H59" s="1611">
        <v>0.79820000000000002</v>
      </c>
      <c r="I59" s="1611">
        <v>0.6341</v>
      </c>
      <c r="J59" s="1611">
        <v>0.6341</v>
      </c>
      <c r="K59" s="1611">
        <v>0.6341</v>
      </c>
      <c r="L59" s="1611">
        <v>0.6341</v>
      </c>
      <c r="M59" s="1611">
        <v>0.6341</v>
      </c>
    </row>
    <row r="60" spans="1:13">
      <c r="A60" s="1602">
        <v>5.8</v>
      </c>
      <c r="B60" s="1611">
        <v>0.90380000000000005</v>
      </c>
      <c r="C60" s="1611">
        <v>0.90380000000000005</v>
      </c>
      <c r="D60" s="1611">
        <v>0.7954</v>
      </c>
      <c r="E60" s="1611">
        <v>0.7954</v>
      </c>
      <c r="F60" s="1611">
        <v>0.7954</v>
      </c>
      <c r="G60" s="1611">
        <v>0.7954</v>
      </c>
      <c r="H60" s="1611">
        <v>0.7954</v>
      </c>
      <c r="I60" s="1611">
        <v>0.63039999999999996</v>
      </c>
      <c r="J60" s="1611">
        <v>0.63039999999999996</v>
      </c>
      <c r="K60" s="1611">
        <v>0.63039999999999996</v>
      </c>
      <c r="L60" s="1611">
        <v>0.63039999999999996</v>
      </c>
      <c r="M60" s="1611">
        <v>0.63039999999999996</v>
      </c>
    </row>
    <row r="61" spans="1:13">
      <c r="A61" s="1602">
        <v>5.9</v>
      </c>
      <c r="B61" s="1611">
        <v>0.90129999999999999</v>
      </c>
      <c r="C61" s="1611">
        <v>0.90129999999999999</v>
      </c>
      <c r="D61" s="1611">
        <v>0.79269999999999996</v>
      </c>
      <c r="E61" s="1611">
        <v>0.79269999999999996</v>
      </c>
      <c r="F61" s="1611">
        <v>0.79269999999999996</v>
      </c>
      <c r="G61" s="1611">
        <v>0.79269999999999996</v>
      </c>
      <c r="H61" s="1611">
        <v>0.79269999999999996</v>
      </c>
      <c r="I61" s="1611">
        <v>0.62690000000000001</v>
      </c>
      <c r="J61" s="1611">
        <v>0.62690000000000001</v>
      </c>
      <c r="K61" s="1611">
        <v>0.62690000000000001</v>
      </c>
      <c r="L61" s="1611">
        <v>0.62690000000000001</v>
      </c>
      <c r="M61" s="1611">
        <v>0.62690000000000001</v>
      </c>
    </row>
    <row r="62" spans="1:13">
      <c r="A62" s="1602">
        <v>6</v>
      </c>
      <c r="B62" s="1611">
        <v>0.89890000000000003</v>
      </c>
      <c r="C62" s="1611">
        <v>0.89890000000000003</v>
      </c>
      <c r="D62" s="1611">
        <v>0.79020000000000001</v>
      </c>
      <c r="E62" s="1611">
        <v>0.79020000000000001</v>
      </c>
      <c r="F62" s="1611">
        <v>0.79020000000000001</v>
      </c>
      <c r="G62" s="1611">
        <v>0.79020000000000001</v>
      </c>
      <c r="H62" s="1611">
        <v>0.79020000000000001</v>
      </c>
      <c r="I62" s="1611">
        <v>0.62350000000000005</v>
      </c>
      <c r="J62" s="1611">
        <v>0.62350000000000005</v>
      </c>
      <c r="K62" s="1611">
        <v>0.62350000000000005</v>
      </c>
      <c r="L62" s="1611">
        <v>0.62350000000000005</v>
      </c>
      <c r="M62" s="1611">
        <v>0.62350000000000005</v>
      </c>
    </row>
    <row r="63" spans="1:13">
      <c r="A63" s="1602">
        <v>6.1</v>
      </c>
      <c r="B63" s="1611">
        <v>0.89649999999999996</v>
      </c>
      <c r="C63" s="1611">
        <v>0.89649999999999996</v>
      </c>
      <c r="D63" s="1611">
        <v>0.78769999999999996</v>
      </c>
      <c r="E63" s="1611">
        <v>0.78769999999999996</v>
      </c>
      <c r="F63" s="1611">
        <v>0.78769999999999996</v>
      </c>
      <c r="G63" s="1611">
        <v>0.78769999999999996</v>
      </c>
      <c r="H63" s="1611">
        <v>0.78769999999999996</v>
      </c>
      <c r="I63" s="1611">
        <v>0.62029999999999996</v>
      </c>
      <c r="J63" s="1611">
        <v>0.62029999999999996</v>
      </c>
      <c r="K63" s="1611">
        <v>0.62029999999999996</v>
      </c>
      <c r="L63" s="1611">
        <v>0.62029999999999996</v>
      </c>
      <c r="M63" s="1611">
        <v>0.62029999999999996</v>
      </c>
    </row>
    <row r="64" spans="1:13">
      <c r="A64" s="1602">
        <v>6.2</v>
      </c>
      <c r="B64" s="1611">
        <v>0.89429999999999998</v>
      </c>
      <c r="C64" s="1611">
        <v>0.89429999999999998</v>
      </c>
      <c r="D64" s="1611">
        <v>0.78520000000000001</v>
      </c>
      <c r="E64" s="1611">
        <v>0.78520000000000001</v>
      </c>
      <c r="F64" s="1611">
        <v>0.78520000000000001</v>
      </c>
      <c r="G64" s="1611">
        <v>0.78520000000000001</v>
      </c>
      <c r="H64" s="1611">
        <v>0.78520000000000001</v>
      </c>
      <c r="I64" s="1611">
        <v>0.61719999999999997</v>
      </c>
      <c r="J64" s="1611">
        <v>0.61719999999999997</v>
      </c>
      <c r="K64" s="1611">
        <v>0.61719999999999997</v>
      </c>
      <c r="L64" s="1611">
        <v>0.61719999999999997</v>
      </c>
      <c r="M64" s="1611">
        <v>0.61719999999999997</v>
      </c>
    </row>
    <row r="65" spans="1:13">
      <c r="A65" s="1602">
        <v>6.3</v>
      </c>
      <c r="B65" s="1611">
        <v>0.89200000000000002</v>
      </c>
      <c r="C65" s="1611">
        <v>0.89200000000000002</v>
      </c>
      <c r="D65" s="1611">
        <v>0.78280000000000005</v>
      </c>
      <c r="E65" s="1611">
        <v>0.78280000000000005</v>
      </c>
      <c r="F65" s="1611">
        <v>0.78280000000000005</v>
      </c>
      <c r="G65" s="1611">
        <v>0.78280000000000005</v>
      </c>
      <c r="H65" s="1611">
        <v>0.78280000000000005</v>
      </c>
      <c r="I65" s="1611">
        <v>0.61409999999999998</v>
      </c>
      <c r="J65" s="1611">
        <v>0.61409999999999998</v>
      </c>
      <c r="K65" s="1611">
        <v>0.61409999999999998</v>
      </c>
      <c r="L65" s="1611">
        <v>0.61409999999999998</v>
      </c>
      <c r="M65" s="1611">
        <v>0.61409999999999998</v>
      </c>
    </row>
    <row r="66" spans="1:13">
      <c r="A66" s="1602">
        <v>6.4</v>
      </c>
      <c r="B66" s="1611">
        <v>0.88990000000000002</v>
      </c>
      <c r="C66" s="1611">
        <v>0.88990000000000002</v>
      </c>
      <c r="D66" s="1611">
        <v>0.78039999999999998</v>
      </c>
      <c r="E66" s="1611">
        <v>0.78039999999999998</v>
      </c>
      <c r="F66" s="1611">
        <v>0.78039999999999998</v>
      </c>
      <c r="G66" s="1611">
        <v>0.78039999999999998</v>
      </c>
      <c r="H66" s="1611">
        <v>0.78039999999999998</v>
      </c>
      <c r="I66" s="1611">
        <v>0.61099999999999999</v>
      </c>
      <c r="J66" s="1611">
        <v>0.61099999999999999</v>
      </c>
      <c r="K66" s="1611">
        <v>0.61099999999999999</v>
      </c>
      <c r="L66" s="1611">
        <v>0.61099999999999999</v>
      </c>
      <c r="M66" s="1611">
        <v>0.61099999999999999</v>
      </c>
    </row>
    <row r="67" spans="1:13">
      <c r="A67" s="1602">
        <v>6.5</v>
      </c>
      <c r="B67" s="1611">
        <v>0.88780000000000003</v>
      </c>
      <c r="C67" s="1611">
        <v>0.88780000000000003</v>
      </c>
      <c r="D67" s="1611">
        <v>0.77810000000000001</v>
      </c>
      <c r="E67" s="1611">
        <v>0.77810000000000001</v>
      </c>
      <c r="F67" s="1611">
        <v>0.77810000000000001</v>
      </c>
      <c r="G67" s="1611">
        <v>0.77810000000000001</v>
      </c>
      <c r="H67" s="1611">
        <v>0.77810000000000001</v>
      </c>
      <c r="I67" s="1611">
        <v>0.60799999999999998</v>
      </c>
      <c r="J67" s="1611">
        <v>0.60799999999999998</v>
      </c>
      <c r="K67" s="1611">
        <v>0.60799999999999998</v>
      </c>
      <c r="L67" s="1611">
        <v>0.60799999999999998</v>
      </c>
      <c r="M67" s="1611">
        <v>0.60799999999999998</v>
      </c>
    </row>
    <row r="68" spans="1:13">
      <c r="A68" s="1602">
        <v>6.6</v>
      </c>
      <c r="B68" s="1611">
        <v>0.88580000000000003</v>
      </c>
      <c r="C68" s="1611">
        <v>0.88580000000000003</v>
      </c>
      <c r="D68" s="1611">
        <v>0.77580000000000005</v>
      </c>
      <c r="E68" s="1611">
        <v>0.77580000000000005</v>
      </c>
      <c r="F68" s="1611">
        <v>0.77580000000000005</v>
      </c>
      <c r="G68" s="1611">
        <v>0.77580000000000005</v>
      </c>
      <c r="H68" s="1611">
        <v>0.77580000000000005</v>
      </c>
      <c r="I68" s="1611">
        <v>0.60499999999999998</v>
      </c>
      <c r="J68" s="1611">
        <v>0.60499999999999998</v>
      </c>
      <c r="K68" s="1611">
        <v>0.60499999999999998</v>
      </c>
      <c r="L68" s="1611">
        <v>0.60499999999999998</v>
      </c>
      <c r="M68" s="1611">
        <v>0.60499999999999998</v>
      </c>
    </row>
    <row r="69" spans="1:13">
      <c r="A69" s="1602">
        <v>6.7</v>
      </c>
      <c r="B69" s="1611">
        <v>0.88380000000000003</v>
      </c>
      <c r="C69" s="1611">
        <v>0.88380000000000003</v>
      </c>
      <c r="D69" s="1611">
        <v>0.77359999999999995</v>
      </c>
      <c r="E69" s="1611">
        <v>0.77359999999999995</v>
      </c>
      <c r="F69" s="1611">
        <v>0.77359999999999995</v>
      </c>
      <c r="G69" s="1611">
        <v>0.77359999999999995</v>
      </c>
      <c r="H69" s="1611">
        <v>0.77359999999999995</v>
      </c>
      <c r="I69" s="1611">
        <v>0.60209999999999997</v>
      </c>
      <c r="J69" s="1611">
        <v>0.60209999999999997</v>
      </c>
      <c r="K69" s="1611">
        <v>0.60209999999999997</v>
      </c>
      <c r="L69" s="1611">
        <v>0.60209999999999997</v>
      </c>
      <c r="M69" s="1611">
        <v>0.60209999999999997</v>
      </c>
    </row>
    <row r="70" spans="1:13">
      <c r="A70" s="1602">
        <v>6.8</v>
      </c>
      <c r="B70" s="1611">
        <v>0.88190000000000002</v>
      </c>
      <c r="C70" s="1611">
        <v>0.88190000000000002</v>
      </c>
      <c r="D70" s="1611">
        <v>0.77159999999999995</v>
      </c>
      <c r="E70" s="1611">
        <v>0.77159999999999995</v>
      </c>
      <c r="F70" s="1611">
        <v>0.77159999999999995</v>
      </c>
      <c r="G70" s="1611">
        <v>0.77159999999999995</v>
      </c>
      <c r="H70" s="1611">
        <v>0.77159999999999995</v>
      </c>
      <c r="I70" s="1611">
        <v>0.59930000000000005</v>
      </c>
      <c r="J70" s="1611">
        <v>0.59930000000000005</v>
      </c>
      <c r="K70" s="1611">
        <v>0.59930000000000005</v>
      </c>
      <c r="L70" s="1611">
        <v>0.59930000000000005</v>
      </c>
      <c r="M70" s="1611">
        <v>0.59930000000000005</v>
      </c>
    </row>
    <row r="71" spans="1:13">
      <c r="A71" s="1602">
        <v>6.9</v>
      </c>
      <c r="B71" s="1611">
        <v>0.88</v>
      </c>
      <c r="C71" s="1611">
        <v>0.88</v>
      </c>
      <c r="D71" s="1611">
        <v>0.76949999999999996</v>
      </c>
      <c r="E71" s="1611">
        <v>0.76949999999999996</v>
      </c>
      <c r="F71" s="1611">
        <v>0.76949999999999996</v>
      </c>
      <c r="G71" s="1611">
        <v>0.76949999999999996</v>
      </c>
      <c r="H71" s="1611">
        <v>0.76949999999999996</v>
      </c>
      <c r="I71" s="1611">
        <v>0.59640000000000004</v>
      </c>
      <c r="J71" s="1611">
        <v>0.59640000000000004</v>
      </c>
      <c r="K71" s="1611">
        <v>0.59640000000000004</v>
      </c>
      <c r="L71" s="1611">
        <v>0.59640000000000004</v>
      </c>
      <c r="M71" s="1611">
        <v>0.59640000000000004</v>
      </c>
    </row>
    <row r="72" spans="1:13">
      <c r="A72" s="1602">
        <v>7</v>
      </c>
      <c r="B72" s="1611">
        <v>0.87819999999999998</v>
      </c>
      <c r="C72" s="1611">
        <v>0.87819999999999998</v>
      </c>
      <c r="D72" s="1611">
        <v>0.76749999999999996</v>
      </c>
      <c r="E72" s="1611">
        <v>0.76749999999999996</v>
      </c>
      <c r="F72" s="1611">
        <v>0.76749999999999996</v>
      </c>
      <c r="G72" s="1611">
        <v>0.76749999999999996</v>
      </c>
      <c r="H72" s="1611">
        <v>0.76749999999999996</v>
      </c>
      <c r="I72" s="1611">
        <v>0.59360000000000002</v>
      </c>
      <c r="J72" s="1611">
        <v>0.59360000000000002</v>
      </c>
      <c r="K72" s="1611">
        <v>0.59360000000000002</v>
      </c>
      <c r="L72" s="1611">
        <v>0.59360000000000002</v>
      </c>
      <c r="M72" s="1611">
        <v>0.59360000000000002</v>
      </c>
    </row>
    <row r="73" spans="1:13">
      <c r="A73" s="1602">
        <v>7.1</v>
      </c>
      <c r="B73" s="1611">
        <v>0.87660000000000005</v>
      </c>
      <c r="C73" s="1611">
        <v>0.87660000000000005</v>
      </c>
      <c r="D73" s="1611">
        <v>0.76570000000000005</v>
      </c>
      <c r="E73" s="1611">
        <v>0.76570000000000005</v>
      </c>
      <c r="F73" s="1611">
        <v>0.76570000000000005</v>
      </c>
      <c r="G73" s="1611">
        <v>0.76570000000000005</v>
      </c>
      <c r="H73" s="1611">
        <v>0.76570000000000005</v>
      </c>
      <c r="I73" s="1611">
        <v>0.59109999999999996</v>
      </c>
      <c r="J73" s="1611">
        <v>0.59109999999999996</v>
      </c>
      <c r="K73" s="1611">
        <v>0.59109999999999996</v>
      </c>
      <c r="L73" s="1611">
        <v>0.59109999999999996</v>
      </c>
      <c r="M73" s="1611">
        <v>0.59109999999999996</v>
      </c>
    </row>
    <row r="74" spans="1:13">
      <c r="A74" s="1602">
        <v>7.2</v>
      </c>
      <c r="B74" s="1611">
        <v>0.87490000000000001</v>
      </c>
      <c r="C74" s="1611">
        <v>0.87490000000000001</v>
      </c>
      <c r="D74" s="1611">
        <v>0.76380000000000003</v>
      </c>
      <c r="E74" s="1611">
        <v>0.76380000000000003</v>
      </c>
      <c r="F74" s="1611">
        <v>0.76380000000000003</v>
      </c>
      <c r="G74" s="1611">
        <v>0.76380000000000003</v>
      </c>
      <c r="H74" s="1611">
        <v>0.76380000000000003</v>
      </c>
      <c r="I74" s="1611">
        <v>0.58860000000000001</v>
      </c>
      <c r="J74" s="1611">
        <v>0.58860000000000001</v>
      </c>
      <c r="K74" s="1611">
        <v>0.58860000000000001</v>
      </c>
      <c r="L74" s="1611">
        <v>0.58860000000000001</v>
      </c>
      <c r="M74" s="1611">
        <v>0.58860000000000001</v>
      </c>
    </row>
    <row r="75" spans="1:13">
      <c r="A75" s="1602">
        <v>7.3</v>
      </c>
      <c r="B75" s="1611">
        <v>0.87329999999999997</v>
      </c>
      <c r="C75" s="1611">
        <v>0.87329999999999997</v>
      </c>
      <c r="D75" s="1611">
        <v>0.76200000000000001</v>
      </c>
      <c r="E75" s="1611">
        <v>0.76200000000000001</v>
      </c>
      <c r="F75" s="1611">
        <v>0.76200000000000001</v>
      </c>
      <c r="G75" s="1611">
        <v>0.76200000000000001</v>
      </c>
      <c r="H75" s="1611">
        <v>0.76200000000000001</v>
      </c>
      <c r="I75" s="1611">
        <v>0.58620000000000005</v>
      </c>
      <c r="J75" s="1611">
        <v>0.58620000000000005</v>
      </c>
      <c r="K75" s="1611">
        <v>0.58620000000000005</v>
      </c>
      <c r="L75" s="1611">
        <v>0.58620000000000005</v>
      </c>
      <c r="M75" s="1611">
        <v>0.58620000000000005</v>
      </c>
    </row>
    <row r="76" spans="1:13">
      <c r="A76" s="1602">
        <v>7.4</v>
      </c>
      <c r="B76" s="1611">
        <v>0.87160000000000004</v>
      </c>
      <c r="C76" s="1611">
        <v>0.87160000000000004</v>
      </c>
      <c r="D76" s="1611">
        <v>0.76029999999999998</v>
      </c>
      <c r="E76" s="1611">
        <v>0.76029999999999998</v>
      </c>
      <c r="F76" s="1611">
        <v>0.76029999999999998</v>
      </c>
      <c r="G76" s="1611">
        <v>0.76029999999999998</v>
      </c>
      <c r="H76" s="1611">
        <v>0.76029999999999998</v>
      </c>
      <c r="I76" s="1611">
        <v>0.58379999999999999</v>
      </c>
      <c r="J76" s="1611">
        <v>0.58379999999999999</v>
      </c>
      <c r="K76" s="1611">
        <v>0.58379999999999999</v>
      </c>
      <c r="L76" s="1611">
        <v>0.58379999999999999</v>
      </c>
      <c r="M76" s="1611">
        <v>0.58379999999999999</v>
      </c>
    </row>
    <row r="77" spans="1:13">
      <c r="A77" s="1602">
        <v>7.5</v>
      </c>
      <c r="B77" s="1611">
        <v>0.87</v>
      </c>
      <c r="C77" s="1611">
        <v>0.87</v>
      </c>
      <c r="D77" s="1611">
        <v>0.75849999999999995</v>
      </c>
      <c r="E77" s="1611">
        <v>0.75849999999999995</v>
      </c>
      <c r="F77" s="1611">
        <v>0.75849999999999995</v>
      </c>
      <c r="G77" s="1611">
        <v>0.75849999999999995</v>
      </c>
      <c r="H77" s="1611">
        <v>0.75849999999999995</v>
      </c>
      <c r="I77" s="1611">
        <v>0.58140000000000003</v>
      </c>
      <c r="J77" s="1611">
        <v>0.58140000000000003</v>
      </c>
      <c r="K77" s="1611">
        <v>0.58140000000000003</v>
      </c>
      <c r="L77" s="1611">
        <v>0.58140000000000003</v>
      </c>
      <c r="M77" s="1611">
        <v>0.58140000000000003</v>
      </c>
    </row>
    <row r="78" spans="1:13">
      <c r="A78" s="1602">
        <v>7.6</v>
      </c>
      <c r="B78" s="1611">
        <v>0.86839999999999995</v>
      </c>
      <c r="C78" s="1611">
        <v>0.86839999999999995</v>
      </c>
      <c r="D78" s="1611">
        <v>0.75680000000000003</v>
      </c>
      <c r="E78" s="1611">
        <v>0.75680000000000003</v>
      </c>
      <c r="F78" s="1611">
        <v>0.75680000000000003</v>
      </c>
      <c r="G78" s="1611">
        <v>0.75680000000000003</v>
      </c>
      <c r="H78" s="1611">
        <v>0.75680000000000003</v>
      </c>
      <c r="I78" s="1611">
        <v>0.57899999999999996</v>
      </c>
      <c r="J78" s="1611">
        <v>0.57899999999999996</v>
      </c>
      <c r="K78" s="1611">
        <v>0.57899999999999996</v>
      </c>
      <c r="L78" s="1611">
        <v>0.57899999999999996</v>
      </c>
      <c r="M78" s="1611">
        <v>0.57899999999999996</v>
      </c>
    </row>
    <row r="79" spans="1:13">
      <c r="A79" s="1602">
        <v>7.7</v>
      </c>
      <c r="B79" s="1611">
        <v>0.8669</v>
      </c>
      <c r="C79" s="1611">
        <v>0.8669</v>
      </c>
      <c r="D79" s="1611">
        <v>0.755</v>
      </c>
      <c r="E79" s="1611">
        <v>0.755</v>
      </c>
      <c r="F79" s="1611">
        <v>0.755</v>
      </c>
      <c r="G79" s="1611">
        <v>0.755</v>
      </c>
      <c r="H79" s="1611">
        <v>0.755</v>
      </c>
      <c r="I79" s="1611">
        <v>0.57669999999999999</v>
      </c>
      <c r="J79" s="1611">
        <v>0.57669999999999999</v>
      </c>
      <c r="K79" s="1611">
        <v>0.57669999999999999</v>
      </c>
      <c r="L79" s="1611">
        <v>0.57669999999999999</v>
      </c>
      <c r="M79" s="1611">
        <v>0.57669999999999999</v>
      </c>
    </row>
    <row r="80" spans="1:13">
      <c r="A80" s="1602">
        <v>7.8</v>
      </c>
      <c r="B80" s="1611">
        <v>0.86539999999999995</v>
      </c>
      <c r="C80" s="1611">
        <v>0.86539999999999995</v>
      </c>
      <c r="D80" s="1611">
        <v>0.75329999999999997</v>
      </c>
      <c r="E80" s="1611">
        <v>0.75329999999999997</v>
      </c>
      <c r="F80" s="1611">
        <v>0.75329999999999997</v>
      </c>
      <c r="G80" s="1611">
        <v>0.75329999999999997</v>
      </c>
      <c r="H80" s="1611">
        <v>0.75329999999999997</v>
      </c>
      <c r="I80" s="1611">
        <v>0.57450000000000001</v>
      </c>
      <c r="J80" s="1611">
        <v>0.57450000000000001</v>
      </c>
      <c r="K80" s="1611">
        <v>0.57450000000000001</v>
      </c>
      <c r="L80" s="1611">
        <v>0.57450000000000001</v>
      </c>
      <c r="M80" s="1611">
        <v>0.57450000000000001</v>
      </c>
    </row>
    <row r="81" spans="1:13">
      <c r="A81" s="1602">
        <v>7.9</v>
      </c>
      <c r="B81" s="1611">
        <v>0.86380000000000001</v>
      </c>
      <c r="C81" s="1611">
        <v>0.86380000000000001</v>
      </c>
      <c r="D81" s="1611">
        <v>0.75170000000000003</v>
      </c>
      <c r="E81" s="1611">
        <v>0.75170000000000003</v>
      </c>
      <c r="F81" s="1611">
        <v>0.75170000000000003</v>
      </c>
      <c r="G81" s="1611">
        <v>0.75170000000000003</v>
      </c>
      <c r="H81" s="1611">
        <v>0.75170000000000003</v>
      </c>
      <c r="I81" s="1611">
        <v>0.57220000000000004</v>
      </c>
      <c r="J81" s="1611">
        <v>0.57220000000000004</v>
      </c>
      <c r="K81" s="1611">
        <v>0.57220000000000004</v>
      </c>
      <c r="L81" s="1611">
        <v>0.57220000000000004</v>
      </c>
      <c r="M81" s="1611">
        <v>0.57220000000000004</v>
      </c>
    </row>
    <row r="82" spans="1:13">
      <c r="A82" s="1602">
        <v>8</v>
      </c>
      <c r="B82" s="1611">
        <v>0.86240000000000006</v>
      </c>
      <c r="C82" s="1611">
        <v>0.86240000000000006</v>
      </c>
      <c r="D82" s="1611">
        <v>0.75</v>
      </c>
      <c r="E82" s="1611">
        <v>0.75</v>
      </c>
      <c r="F82" s="1611">
        <v>0.75</v>
      </c>
      <c r="G82" s="1611">
        <v>0.75</v>
      </c>
      <c r="H82" s="1611">
        <v>0.75</v>
      </c>
      <c r="I82" s="1611">
        <v>0.56989999999999996</v>
      </c>
      <c r="J82" s="1611">
        <v>0.56989999999999996</v>
      </c>
      <c r="K82" s="1611">
        <v>0.56989999999999996</v>
      </c>
      <c r="L82" s="1611">
        <v>0.56989999999999996</v>
      </c>
      <c r="M82" s="1611">
        <v>0.56989999999999996</v>
      </c>
    </row>
    <row r="83" spans="1:13">
      <c r="A83" s="1602">
        <v>8.1</v>
      </c>
      <c r="B83" s="1611">
        <v>0.86099999999999999</v>
      </c>
      <c r="C83" s="1611">
        <v>0.86099999999999999</v>
      </c>
      <c r="D83" s="1611">
        <v>0.74850000000000005</v>
      </c>
      <c r="E83" s="1611">
        <v>0.74850000000000005</v>
      </c>
      <c r="F83" s="1611">
        <v>0.74850000000000005</v>
      </c>
      <c r="G83" s="1611">
        <v>0.74850000000000005</v>
      </c>
      <c r="H83" s="1611">
        <v>0.74850000000000005</v>
      </c>
      <c r="I83" s="1611">
        <v>0.56779999999999997</v>
      </c>
      <c r="J83" s="1611">
        <v>0.56779999999999997</v>
      </c>
      <c r="K83" s="1611">
        <v>0.56779999999999997</v>
      </c>
      <c r="L83" s="1611">
        <v>0.56779999999999997</v>
      </c>
      <c r="M83" s="1611">
        <v>0.56779999999999997</v>
      </c>
    </row>
    <row r="84" spans="1:13">
      <c r="A84" s="1602">
        <v>8.1999999999999993</v>
      </c>
      <c r="B84" s="1611">
        <v>0.85970000000000002</v>
      </c>
      <c r="C84" s="1611">
        <v>0.85970000000000002</v>
      </c>
      <c r="D84" s="1611">
        <v>0.747</v>
      </c>
      <c r="E84" s="1611">
        <v>0.747</v>
      </c>
      <c r="F84" s="1611">
        <v>0.747</v>
      </c>
      <c r="G84" s="1611">
        <v>0.747</v>
      </c>
      <c r="H84" s="1611">
        <v>0.747</v>
      </c>
      <c r="I84" s="1611">
        <v>0.56589999999999996</v>
      </c>
      <c r="J84" s="1611">
        <v>0.56589999999999996</v>
      </c>
      <c r="K84" s="1611">
        <v>0.56589999999999996</v>
      </c>
      <c r="L84" s="1611">
        <v>0.56589999999999996</v>
      </c>
      <c r="M84" s="1611">
        <v>0.56589999999999996</v>
      </c>
    </row>
    <row r="85" spans="1:13">
      <c r="A85" s="1602">
        <v>8.3000000000000007</v>
      </c>
      <c r="B85" s="1611">
        <v>0.85840000000000005</v>
      </c>
      <c r="C85" s="1611">
        <v>0.85840000000000005</v>
      </c>
      <c r="D85" s="1611">
        <v>0.74560000000000004</v>
      </c>
      <c r="E85" s="1611">
        <v>0.74560000000000004</v>
      </c>
      <c r="F85" s="1611">
        <v>0.74560000000000004</v>
      </c>
      <c r="G85" s="1611">
        <v>0.74560000000000004</v>
      </c>
      <c r="H85" s="1611">
        <v>0.74560000000000004</v>
      </c>
      <c r="I85" s="1611">
        <v>0.56389999999999996</v>
      </c>
      <c r="J85" s="1611">
        <v>0.56389999999999996</v>
      </c>
      <c r="K85" s="1611">
        <v>0.56389999999999996</v>
      </c>
      <c r="L85" s="1611">
        <v>0.56389999999999996</v>
      </c>
      <c r="M85" s="1611">
        <v>0.56389999999999996</v>
      </c>
    </row>
    <row r="86" spans="1:13">
      <c r="A86" s="1602">
        <v>8.4</v>
      </c>
      <c r="B86" s="1611">
        <v>0.85709999999999997</v>
      </c>
      <c r="C86" s="1611">
        <v>0.85709999999999997</v>
      </c>
      <c r="D86" s="1611">
        <v>0.74419999999999997</v>
      </c>
      <c r="E86" s="1611">
        <v>0.74419999999999997</v>
      </c>
      <c r="F86" s="1611">
        <v>0.74419999999999997</v>
      </c>
      <c r="G86" s="1611">
        <v>0.74419999999999997</v>
      </c>
      <c r="H86" s="1611">
        <v>0.74419999999999997</v>
      </c>
      <c r="I86" s="1611">
        <v>0.56189999999999996</v>
      </c>
      <c r="J86" s="1611">
        <v>0.56189999999999996</v>
      </c>
      <c r="K86" s="1611">
        <v>0.56189999999999996</v>
      </c>
      <c r="L86" s="1611">
        <v>0.56189999999999996</v>
      </c>
      <c r="M86" s="1611">
        <v>0.56189999999999996</v>
      </c>
    </row>
    <row r="87" spans="1:13">
      <c r="A87" s="1602">
        <v>8.5</v>
      </c>
      <c r="B87" s="1611">
        <v>0.85580000000000001</v>
      </c>
      <c r="C87" s="1611">
        <v>0.85580000000000001</v>
      </c>
      <c r="D87" s="1611">
        <v>0.74270000000000003</v>
      </c>
      <c r="E87" s="1611">
        <v>0.74270000000000003</v>
      </c>
      <c r="F87" s="1611">
        <v>0.74270000000000003</v>
      </c>
      <c r="G87" s="1611">
        <v>0.74270000000000003</v>
      </c>
      <c r="H87" s="1611">
        <v>0.74270000000000003</v>
      </c>
      <c r="I87" s="1611">
        <v>0.55989999999999995</v>
      </c>
      <c r="J87" s="1611">
        <v>0.55989999999999995</v>
      </c>
      <c r="K87" s="1611">
        <v>0.55989999999999995</v>
      </c>
      <c r="L87" s="1611">
        <v>0.55989999999999995</v>
      </c>
      <c r="M87" s="1611">
        <v>0.55989999999999995</v>
      </c>
    </row>
    <row r="88" spans="1:13">
      <c r="A88" s="1602">
        <v>8.6</v>
      </c>
      <c r="B88" s="1611">
        <v>0.85450000000000004</v>
      </c>
      <c r="C88" s="1611">
        <v>0.85450000000000004</v>
      </c>
      <c r="D88" s="1611">
        <v>0.74129999999999996</v>
      </c>
      <c r="E88" s="1611">
        <v>0.74129999999999996</v>
      </c>
      <c r="F88" s="1611">
        <v>0.74129999999999996</v>
      </c>
      <c r="G88" s="1611">
        <v>0.74129999999999996</v>
      </c>
      <c r="H88" s="1611">
        <v>0.74129999999999996</v>
      </c>
      <c r="I88" s="1611">
        <v>0.55800000000000005</v>
      </c>
      <c r="J88" s="1611">
        <v>0.55800000000000005</v>
      </c>
      <c r="K88" s="1611">
        <v>0.55800000000000005</v>
      </c>
      <c r="L88" s="1611">
        <v>0.55800000000000005</v>
      </c>
      <c r="M88" s="1611">
        <v>0.55800000000000005</v>
      </c>
    </row>
    <row r="89" spans="1:13">
      <c r="A89" s="1602">
        <v>8.6999999999999993</v>
      </c>
      <c r="B89" s="1611">
        <v>0.85329999999999995</v>
      </c>
      <c r="C89" s="1611">
        <v>0.85329999999999995</v>
      </c>
      <c r="D89" s="1611">
        <v>0.7399</v>
      </c>
      <c r="E89" s="1611">
        <v>0.7399</v>
      </c>
      <c r="F89" s="1611">
        <v>0.7399</v>
      </c>
      <c r="G89" s="1611">
        <v>0.7399</v>
      </c>
      <c r="H89" s="1611">
        <v>0.7399</v>
      </c>
      <c r="I89" s="1611">
        <v>0.55600000000000005</v>
      </c>
      <c r="J89" s="1611">
        <v>0.55600000000000005</v>
      </c>
      <c r="K89" s="1611">
        <v>0.55600000000000005</v>
      </c>
      <c r="L89" s="1611">
        <v>0.55600000000000005</v>
      </c>
      <c r="M89" s="1611">
        <v>0.55600000000000005</v>
      </c>
    </row>
    <row r="90" spans="1:13">
      <c r="A90" s="1602">
        <v>8.8000000000000007</v>
      </c>
      <c r="B90" s="1611">
        <v>0.85209999999999997</v>
      </c>
      <c r="C90" s="1611">
        <v>0.85209999999999997</v>
      </c>
      <c r="D90" s="1611">
        <v>0.73850000000000005</v>
      </c>
      <c r="E90" s="1611">
        <v>0.73850000000000005</v>
      </c>
      <c r="F90" s="1611">
        <v>0.73850000000000005</v>
      </c>
      <c r="G90" s="1611">
        <v>0.73850000000000005</v>
      </c>
      <c r="H90" s="1611">
        <v>0.73850000000000005</v>
      </c>
      <c r="I90" s="1611">
        <v>0.55420000000000003</v>
      </c>
      <c r="J90" s="1611">
        <v>0.55420000000000003</v>
      </c>
      <c r="K90" s="1611">
        <v>0.55420000000000003</v>
      </c>
      <c r="L90" s="1611">
        <v>0.55420000000000003</v>
      </c>
      <c r="M90" s="1611">
        <v>0.55420000000000003</v>
      </c>
    </row>
    <row r="91" spans="1:13">
      <c r="A91" s="1602">
        <v>8.9</v>
      </c>
      <c r="B91" s="1611">
        <v>0.85099999999999998</v>
      </c>
      <c r="C91" s="1611">
        <v>0.85099999999999998</v>
      </c>
      <c r="D91" s="1611">
        <v>0.73719999999999997</v>
      </c>
      <c r="E91" s="1611">
        <v>0.73719999999999997</v>
      </c>
      <c r="F91" s="1611">
        <v>0.73719999999999997</v>
      </c>
      <c r="G91" s="1611">
        <v>0.73719999999999997</v>
      </c>
      <c r="H91" s="1611">
        <v>0.73719999999999997</v>
      </c>
      <c r="I91" s="1611">
        <v>0.55230000000000001</v>
      </c>
      <c r="J91" s="1611">
        <v>0.55230000000000001</v>
      </c>
      <c r="K91" s="1611">
        <v>0.55230000000000001</v>
      </c>
      <c r="L91" s="1611">
        <v>0.55230000000000001</v>
      </c>
      <c r="M91" s="1611">
        <v>0.55230000000000001</v>
      </c>
    </row>
    <row r="92" spans="1:13">
      <c r="A92" s="1625">
        <v>9</v>
      </c>
      <c r="B92" s="1611">
        <v>0.8498</v>
      </c>
      <c r="C92" s="1611">
        <v>0.8498</v>
      </c>
      <c r="D92" s="1611">
        <v>0.7359</v>
      </c>
      <c r="E92" s="1611">
        <v>0.7359</v>
      </c>
      <c r="F92" s="1611">
        <v>0.7359</v>
      </c>
      <c r="G92" s="1611">
        <v>0.7359</v>
      </c>
      <c r="H92" s="1611">
        <v>0.7359</v>
      </c>
      <c r="I92" s="1611">
        <v>0.55049999999999999</v>
      </c>
      <c r="J92" s="1611">
        <v>0.55049999999999999</v>
      </c>
      <c r="K92" s="1611">
        <v>0.55049999999999999</v>
      </c>
      <c r="L92" s="1611">
        <v>0.55049999999999999</v>
      </c>
      <c r="M92" s="1611">
        <v>0.55049999999999999</v>
      </c>
    </row>
    <row r="93" spans="1:13">
      <c r="A93" s="1625">
        <v>9.1</v>
      </c>
      <c r="B93" s="1611">
        <v>0.84870000000000001</v>
      </c>
      <c r="C93" s="1611">
        <v>0.84870000000000001</v>
      </c>
      <c r="D93" s="1611">
        <v>0.73470000000000002</v>
      </c>
      <c r="E93" s="1611">
        <v>0.73470000000000002</v>
      </c>
      <c r="F93" s="1611">
        <v>0.73470000000000002</v>
      </c>
      <c r="G93" s="1611">
        <v>0.73470000000000002</v>
      </c>
      <c r="H93" s="1611">
        <v>0.73470000000000002</v>
      </c>
      <c r="I93" s="1611">
        <v>0.54879999999999995</v>
      </c>
      <c r="J93" s="1611">
        <v>0.54879999999999995</v>
      </c>
      <c r="K93" s="1611">
        <v>0.54879999999999995</v>
      </c>
      <c r="L93" s="1611">
        <v>0.54879999999999995</v>
      </c>
      <c r="M93" s="1611">
        <v>0.54879999999999995</v>
      </c>
    </row>
    <row r="94" spans="1:13">
      <c r="A94" s="1625">
        <v>9.1999999999999993</v>
      </c>
      <c r="B94" s="1611">
        <v>0.84770000000000001</v>
      </c>
      <c r="C94" s="1611">
        <v>0.84770000000000001</v>
      </c>
      <c r="D94" s="1611">
        <v>0.73350000000000004</v>
      </c>
      <c r="E94" s="1611">
        <v>0.73350000000000004</v>
      </c>
      <c r="F94" s="1611">
        <v>0.73350000000000004</v>
      </c>
      <c r="G94" s="1611">
        <v>0.73350000000000004</v>
      </c>
      <c r="H94" s="1611">
        <v>0.73350000000000004</v>
      </c>
      <c r="I94" s="1611">
        <v>0.54710000000000003</v>
      </c>
      <c r="J94" s="1611">
        <v>0.54710000000000003</v>
      </c>
      <c r="K94" s="1611">
        <v>0.54710000000000003</v>
      </c>
      <c r="L94" s="1611">
        <v>0.54710000000000003</v>
      </c>
      <c r="M94" s="1611">
        <v>0.54710000000000003</v>
      </c>
    </row>
    <row r="95" spans="1:13">
      <c r="A95" s="1625">
        <v>9.3000000000000007</v>
      </c>
      <c r="B95" s="1611">
        <v>0.84660000000000002</v>
      </c>
      <c r="C95" s="1611">
        <v>0.84660000000000002</v>
      </c>
      <c r="D95" s="1611">
        <v>0.73229999999999995</v>
      </c>
      <c r="E95" s="1611">
        <v>0.73229999999999995</v>
      </c>
      <c r="F95" s="1611">
        <v>0.73229999999999995</v>
      </c>
      <c r="G95" s="1611">
        <v>0.73229999999999995</v>
      </c>
      <c r="H95" s="1611">
        <v>0.73229999999999995</v>
      </c>
      <c r="I95" s="1611">
        <v>0.5454</v>
      </c>
      <c r="J95" s="1611">
        <v>0.5454</v>
      </c>
      <c r="K95" s="1611">
        <v>0.5454</v>
      </c>
      <c r="L95" s="1611">
        <v>0.5454</v>
      </c>
      <c r="M95" s="1611">
        <v>0.5454</v>
      </c>
    </row>
    <row r="96" spans="1:13">
      <c r="A96" s="1625">
        <v>9.4</v>
      </c>
      <c r="B96" s="1611">
        <v>0.84550000000000003</v>
      </c>
      <c r="C96" s="1611">
        <v>0.84550000000000003</v>
      </c>
      <c r="D96" s="1611">
        <v>0.73109999999999997</v>
      </c>
      <c r="E96" s="1611">
        <v>0.73109999999999997</v>
      </c>
      <c r="F96" s="1611">
        <v>0.73109999999999997</v>
      </c>
      <c r="G96" s="1611">
        <v>0.73109999999999997</v>
      </c>
      <c r="H96" s="1611">
        <v>0.73109999999999997</v>
      </c>
      <c r="I96" s="1611">
        <v>0.54369999999999996</v>
      </c>
      <c r="J96" s="1611">
        <v>0.54369999999999996</v>
      </c>
      <c r="K96" s="1611">
        <v>0.54369999999999996</v>
      </c>
      <c r="L96" s="1611">
        <v>0.54369999999999996</v>
      </c>
      <c r="M96" s="1611">
        <v>0.54369999999999996</v>
      </c>
    </row>
    <row r="97" spans="1:14">
      <c r="A97" s="1625">
        <v>9.5</v>
      </c>
      <c r="B97" s="1611">
        <v>0.84450000000000003</v>
      </c>
      <c r="C97" s="1611">
        <v>0.84450000000000003</v>
      </c>
      <c r="D97" s="1611">
        <v>0.72989999999999999</v>
      </c>
      <c r="E97" s="1611">
        <v>0.72989999999999999</v>
      </c>
      <c r="F97" s="1611">
        <v>0.72989999999999999</v>
      </c>
      <c r="G97" s="1611">
        <v>0.72989999999999999</v>
      </c>
      <c r="H97" s="1611">
        <v>0.72989999999999999</v>
      </c>
      <c r="I97" s="1611">
        <v>0.54200000000000004</v>
      </c>
      <c r="J97" s="1611">
        <v>0.54200000000000004</v>
      </c>
      <c r="K97" s="1611">
        <v>0.54200000000000004</v>
      </c>
      <c r="L97" s="1611">
        <v>0.54200000000000004</v>
      </c>
      <c r="M97" s="1611">
        <v>0.54200000000000004</v>
      </c>
    </row>
    <row r="98" spans="1:14">
      <c r="A98" s="1625">
        <v>9.6</v>
      </c>
      <c r="B98" s="1611">
        <v>0.84340000000000004</v>
      </c>
      <c r="C98" s="1611">
        <v>0.84340000000000004</v>
      </c>
      <c r="D98" s="1611">
        <v>0.72870000000000001</v>
      </c>
      <c r="E98" s="1611">
        <v>0.72870000000000001</v>
      </c>
      <c r="F98" s="1611">
        <v>0.72870000000000001</v>
      </c>
      <c r="G98" s="1611">
        <v>0.72870000000000001</v>
      </c>
      <c r="H98" s="1611">
        <v>0.72870000000000001</v>
      </c>
      <c r="I98" s="1611">
        <v>0.5403</v>
      </c>
      <c r="J98" s="1611">
        <v>0.5403</v>
      </c>
      <c r="K98" s="1611">
        <v>0.5403</v>
      </c>
      <c r="L98" s="1611">
        <v>0.5403</v>
      </c>
      <c r="M98" s="1611">
        <v>0.5403</v>
      </c>
    </row>
    <row r="99" spans="1:14">
      <c r="A99" s="1625">
        <v>9.6999999999999993</v>
      </c>
      <c r="B99" s="1611">
        <v>0.84230000000000005</v>
      </c>
      <c r="C99" s="1611">
        <v>0.84230000000000005</v>
      </c>
      <c r="D99" s="1611">
        <v>0.72750000000000004</v>
      </c>
      <c r="E99" s="1611">
        <v>0.72750000000000004</v>
      </c>
      <c r="F99" s="1611">
        <v>0.72750000000000004</v>
      </c>
      <c r="G99" s="1611">
        <v>0.72750000000000004</v>
      </c>
      <c r="H99" s="1611">
        <v>0.72750000000000004</v>
      </c>
      <c r="I99" s="1611">
        <v>0.53859999999999997</v>
      </c>
      <c r="J99" s="1611">
        <v>0.53859999999999997</v>
      </c>
      <c r="K99" s="1611">
        <v>0.53859999999999997</v>
      </c>
      <c r="L99" s="1611">
        <v>0.53859999999999997</v>
      </c>
      <c r="M99" s="1611">
        <v>0.53859999999999997</v>
      </c>
    </row>
    <row r="100" spans="1:14">
      <c r="A100" s="1625">
        <v>9.8000000000000007</v>
      </c>
      <c r="B100" s="1611">
        <v>0.84140000000000004</v>
      </c>
      <c r="C100" s="1611">
        <v>0.84140000000000004</v>
      </c>
      <c r="D100" s="1611">
        <v>0.72629999999999995</v>
      </c>
      <c r="E100" s="1611">
        <v>0.72629999999999995</v>
      </c>
      <c r="F100" s="1611">
        <v>0.72629999999999995</v>
      </c>
      <c r="G100" s="1611">
        <v>0.72629999999999995</v>
      </c>
      <c r="H100" s="1611">
        <v>0.72629999999999995</v>
      </c>
      <c r="I100" s="1611">
        <v>0.53710000000000002</v>
      </c>
      <c r="J100" s="1611">
        <v>0.53710000000000002</v>
      </c>
      <c r="K100" s="1611">
        <v>0.53710000000000002</v>
      </c>
      <c r="L100" s="1611">
        <v>0.53710000000000002</v>
      </c>
      <c r="M100" s="1611">
        <v>0.53710000000000002</v>
      </c>
    </row>
    <row r="101" spans="1:14">
      <c r="A101" s="1625">
        <v>9.9</v>
      </c>
      <c r="B101" s="1611">
        <v>0.84050000000000002</v>
      </c>
      <c r="C101" s="1611">
        <v>0.84050000000000002</v>
      </c>
      <c r="D101" s="1611">
        <v>0.72519999999999996</v>
      </c>
      <c r="E101" s="1611">
        <v>0.72519999999999996</v>
      </c>
      <c r="F101" s="1611">
        <v>0.72519999999999996</v>
      </c>
      <c r="G101" s="1611">
        <v>0.72519999999999996</v>
      </c>
      <c r="H101" s="1611">
        <v>0.72519999999999996</v>
      </c>
      <c r="I101" s="1611">
        <v>0.53549999999999998</v>
      </c>
      <c r="J101" s="1611">
        <v>0.53549999999999998</v>
      </c>
      <c r="K101" s="1611">
        <v>0.53549999999999998</v>
      </c>
      <c r="L101" s="1611">
        <v>0.53549999999999998</v>
      </c>
      <c r="M101" s="1611">
        <v>0.53549999999999998</v>
      </c>
    </row>
    <row r="102" spans="1:14">
      <c r="A102" s="1625">
        <v>10</v>
      </c>
      <c r="B102" s="1611">
        <v>0.83950000000000002</v>
      </c>
      <c r="C102" s="1611">
        <v>0.83950000000000002</v>
      </c>
      <c r="D102" s="1611">
        <v>0.72409999999999997</v>
      </c>
      <c r="E102" s="1611">
        <v>0.72409999999999997</v>
      </c>
      <c r="F102" s="1611">
        <v>0.72409999999999997</v>
      </c>
      <c r="G102" s="1611">
        <v>0.72409999999999997</v>
      </c>
      <c r="H102" s="1611">
        <v>0.72409999999999997</v>
      </c>
      <c r="I102" s="1611">
        <v>0.53400000000000003</v>
      </c>
      <c r="J102" s="1611">
        <v>0.53400000000000003</v>
      </c>
      <c r="K102" s="1611">
        <v>0.53400000000000003</v>
      </c>
      <c r="L102" s="1611">
        <v>0.53400000000000003</v>
      </c>
      <c r="M102" s="1611">
        <v>0.53400000000000003</v>
      </c>
    </row>
    <row r="103" spans="1:14" ht="14.25">
      <c r="A103" s="1599" t="s">
        <v>2126</v>
      </c>
      <c r="B103" s="1600"/>
      <c r="C103" s="1600"/>
      <c r="D103" s="1600"/>
      <c r="E103" s="1600"/>
      <c r="F103" s="1600"/>
      <c r="G103" s="1600"/>
      <c r="H103" s="1600"/>
      <c r="I103" s="1600"/>
      <c r="J103" s="1600"/>
      <c r="K103" s="1600"/>
      <c r="L103" s="1600"/>
      <c r="M103" s="1600"/>
      <c r="N103" s="1600"/>
    </row>
    <row r="104" spans="1:14" ht="14.25">
      <c r="A104" s="1602" t="s">
        <v>2117</v>
      </c>
      <c r="B104" s="1603" t="s">
        <v>1522</v>
      </c>
      <c r="C104" s="1603" t="s">
        <v>1523</v>
      </c>
      <c r="D104" s="1603" t="s">
        <v>1524</v>
      </c>
      <c r="E104" s="1603" t="s">
        <v>1525</v>
      </c>
      <c r="F104" s="1603" t="s">
        <v>1526</v>
      </c>
      <c r="G104" s="1603" t="s">
        <v>1527</v>
      </c>
      <c r="H104" s="1604" t="s">
        <v>1528</v>
      </c>
      <c r="I104" s="1604" t="s">
        <v>1529</v>
      </c>
      <c r="J104" s="1605" t="s">
        <v>1530</v>
      </c>
      <c r="K104" s="1605" t="s">
        <v>1531</v>
      </c>
      <c r="L104" s="1605" t="s">
        <v>1532</v>
      </c>
      <c r="M104" s="1605" t="s">
        <v>1533</v>
      </c>
      <c r="N104" s="1600">
        <f>SUMPRODUCT((A105:A204=ROUNDDOWN(基准地价修正!G3,1))*(B104:M104=基准地价修正!G2)*(B105:M204))</f>
        <v>0</v>
      </c>
    </row>
    <row r="105" spans="1:14">
      <c r="A105" s="1602">
        <v>0.1</v>
      </c>
      <c r="B105" s="1611">
        <v>13.733000000000001</v>
      </c>
      <c r="C105" s="1611">
        <v>13.733000000000001</v>
      </c>
      <c r="D105" s="1611">
        <v>12.787000000000001</v>
      </c>
      <c r="E105" s="1611">
        <v>12.787000000000001</v>
      </c>
      <c r="F105" s="1611">
        <v>12.787000000000001</v>
      </c>
      <c r="G105" s="1611">
        <v>12.787000000000001</v>
      </c>
      <c r="H105" s="1611">
        <v>12.787000000000001</v>
      </c>
      <c r="I105" s="1611">
        <v>12.384</v>
      </c>
      <c r="J105" s="1611">
        <v>12.384</v>
      </c>
      <c r="K105" s="1611">
        <v>12.384</v>
      </c>
      <c r="L105" s="1611">
        <v>12.384</v>
      </c>
      <c r="M105" s="1611">
        <v>12.384</v>
      </c>
    </row>
    <row r="106" spans="1:14">
      <c r="A106" s="1602">
        <v>0.2</v>
      </c>
      <c r="B106" s="1611">
        <v>6.8665000000000003</v>
      </c>
      <c r="C106" s="1611">
        <v>6.8665000000000003</v>
      </c>
      <c r="D106" s="1611">
        <v>6.3935000000000004</v>
      </c>
      <c r="E106" s="1611">
        <v>6.3935000000000004</v>
      </c>
      <c r="F106" s="1611">
        <v>6.3935000000000004</v>
      </c>
      <c r="G106" s="1611">
        <v>6.3935000000000004</v>
      </c>
      <c r="H106" s="1611">
        <v>6.3935000000000004</v>
      </c>
      <c r="I106" s="1611">
        <v>6.1920000000000002</v>
      </c>
      <c r="J106" s="1611">
        <v>6.1920000000000002</v>
      </c>
      <c r="K106" s="1611">
        <v>6.1920000000000002</v>
      </c>
      <c r="L106" s="1611">
        <v>6.1920000000000002</v>
      </c>
      <c r="M106" s="1611">
        <v>6.1920000000000002</v>
      </c>
    </row>
    <row r="107" spans="1:14">
      <c r="A107" s="1602">
        <v>0.3</v>
      </c>
      <c r="B107" s="1611">
        <v>4.5777000000000001</v>
      </c>
      <c r="C107" s="1611">
        <v>4.5777000000000001</v>
      </c>
      <c r="D107" s="1611">
        <v>4.2622999999999998</v>
      </c>
      <c r="E107" s="1611">
        <v>4.2622999999999998</v>
      </c>
      <c r="F107" s="1611">
        <v>4.2622999999999998</v>
      </c>
      <c r="G107" s="1611">
        <v>4.2622999999999998</v>
      </c>
      <c r="H107" s="1611">
        <v>4.2622999999999998</v>
      </c>
      <c r="I107" s="1611">
        <v>4.1280000000000001</v>
      </c>
      <c r="J107" s="1611">
        <v>4.1280000000000001</v>
      </c>
      <c r="K107" s="1611">
        <v>4.1280000000000001</v>
      </c>
      <c r="L107" s="1611">
        <v>4.1280000000000001</v>
      </c>
      <c r="M107" s="1611">
        <v>4.1280000000000001</v>
      </c>
    </row>
    <row r="108" spans="1:14">
      <c r="A108" s="1602">
        <v>0.4</v>
      </c>
      <c r="B108" s="1611">
        <v>3.4333</v>
      </c>
      <c r="C108" s="1611">
        <v>3.4333</v>
      </c>
      <c r="D108" s="1611">
        <v>3.1968000000000001</v>
      </c>
      <c r="E108" s="1611">
        <v>3.1968000000000001</v>
      </c>
      <c r="F108" s="1611">
        <v>3.1968000000000001</v>
      </c>
      <c r="G108" s="1611">
        <v>3.1968000000000001</v>
      </c>
      <c r="H108" s="1611">
        <v>3.1968000000000001</v>
      </c>
      <c r="I108" s="1611">
        <v>3.0960000000000001</v>
      </c>
      <c r="J108" s="1611">
        <v>3.0960000000000001</v>
      </c>
      <c r="K108" s="1611">
        <v>3.0960000000000001</v>
      </c>
      <c r="L108" s="1611">
        <v>3.0960000000000001</v>
      </c>
      <c r="M108" s="1611">
        <v>3.0960000000000001</v>
      </c>
    </row>
    <row r="109" spans="1:14">
      <c r="A109" s="1602">
        <v>0.5</v>
      </c>
      <c r="B109" s="1611">
        <v>2.7465999999999999</v>
      </c>
      <c r="C109" s="1611">
        <v>2.7465999999999999</v>
      </c>
      <c r="D109" s="1611">
        <v>2.5573999999999999</v>
      </c>
      <c r="E109" s="1611">
        <v>2.5573999999999999</v>
      </c>
      <c r="F109" s="1611">
        <v>2.5573999999999999</v>
      </c>
      <c r="G109" s="1611">
        <v>2.5573999999999999</v>
      </c>
      <c r="H109" s="1611">
        <v>2.5573999999999999</v>
      </c>
      <c r="I109" s="1611">
        <v>2.4767999999999999</v>
      </c>
      <c r="J109" s="1611">
        <v>2.4767999999999999</v>
      </c>
      <c r="K109" s="1611">
        <v>2.4767999999999999</v>
      </c>
      <c r="L109" s="1611">
        <v>2.4767999999999999</v>
      </c>
      <c r="M109" s="1611">
        <v>2.4767999999999999</v>
      </c>
    </row>
    <row r="110" spans="1:14">
      <c r="A110" s="1602">
        <v>0.6</v>
      </c>
      <c r="B110" s="1611">
        <v>2.2888000000000002</v>
      </c>
      <c r="C110" s="1611">
        <v>2.2888000000000002</v>
      </c>
      <c r="D110" s="1611">
        <v>2.1312000000000002</v>
      </c>
      <c r="E110" s="1611">
        <v>2.1312000000000002</v>
      </c>
      <c r="F110" s="1611">
        <v>2.1312000000000002</v>
      </c>
      <c r="G110" s="1611">
        <v>2.1312000000000002</v>
      </c>
      <c r="H110" s="1611">
        <v>2.1312000000000002</v>
      </c>
      <c r="I110" s="1611">
        <v>2.0640000000000001</v>
      </c>
      <c r="J110" s="1611">
        <v>2.0640000000000001</v>
      </c>
      <c r="K110" s="1611">
        <v>2.0640000000000001</v>
      </c>
      <c r="L110" s="1611">
        <v>2.0640000000000001</v>
      </c>
      <c r="M110" s="1611">
        <v>2.0640000000000001</v>
      </c>
    </row>
    <row r="111" spans="1:14">
      <c r="A111" s="1602">
        <v>0.7</v>
      </c>
      <c r="B111" s="1611">
        <v>1.9619</v>
      </c>
      <c r="C111" s="1611">
        <v>1.9619</v>
      </c>
      <c r="D111" s="1611">
        <v>1.8267</v>
      </c>
      <c r="E111" s="1611">
        <v>1.8267</v>
      </c>
      <c r="F111" s="1611">
        <v>1.8267</v>
      </c>
      <c r="G111" s="1611">
        <v>1.8267</v>
      </c>
      <c r="H111" s="1611">
        <v>1.8267</v>
      </c>
      <c r="I111" s="1611">
        <v>1.7690999999999999</v>
      </c>
      <c r="J111" s="1611">
        <v>1.7690999999999999</v>
      </c>
      <c r="K111" s="1611">
        <v>1.7690999999999999</v>
      </c>
      <c r="L111" s="1611">
        <v>1.7690999999999999</v>
      </c>
      <c r="M111" s="1611">
        <v>1.7690999999999999</v>
      </c>
    </row>
    <row r="112" spans="1:14">
      <c r="A112" s="1602">
        <v>0.8</v>
      </c>
      <c r="B112" s="1611">
        <v>1.7165999999999999</v>
      </c>
      <c r="C112" s="1611">
        <v>1.7165999999999999</v>
      </c>
      <c r="D112" s="1611">
        <v>1.5984</v>
      </c>
      <c r="E112" s="1611">
        <v>1.5984</v>
      </c>
      <c r="F112" s="1611">
        <v>1.5984</v>
      </c>
      <c r="G112" s="1611">
        <v>1.5984</v>
      </c>
      <c r="H112" s="1611">
        <v>1.5984</v>
      </c>
      <c r="I112" s="1611">
        <v>1.548</v>
      </c>
      <c r="J112" s="1611">
        <v>1.548</v>
      </c>
      <c r="K112" s="1611">
        <v>1.548</v>
      </c>
      <c r="L112" s="1611">
        <v>1.548</v>
      </c>
      <c r="M112" s="1611">
        <v>1.548</v>
      </c>
    </row>
    <row r="113" spans="1:13">
      <c r="A113" s="1602">
        <v>0.9</v>
      </c>
      <c r="B113" s="1611">
        <v>1.5259</v>
      </c>
      <c r="C113" s="1611">
        <v>1.5259</v>
      </c>
      <c r="D113" s="1611">
        <v>1.4208000000000001</v>
      </c>
      <c r="E113" s="1611">
        <v>1.4208000000000001</v>
      </c>
      <c r="F113" s="1611">
        <v>1.4208000000000001</v>
      </c>
      <c r="G113" s="1611">
        <v>1.4208000000000001</v>
      </c>
      <c r="H113" s="1611">
        <v>1.4208000000000001</v>
      </c>
      <c r="I113" s="1611">
        <v>1.3759999999999999</v>
      </c>
      <c r="J113" s="1611">
        <v>1.3759999999999999</v>
      </c>
      <c r="K113" s="1611">
        <v>1.3759999999999999</v>
      </c>
      <c r="L113" s="1611">
        <v>1.3759999999999999</v>
      </c>
      <c r="M113" s="1611">
        <v>1.3759999999999999</v>
      </c>
    </row>
    <row r="114" spans="1:13">
      <c r="A114" s="1602">
        <v>1</v>
      </c>
      <c r="B114" s="1611">
        <v>1.3733</v>
      </c>
      <c r="C114" s="1611">
        <v>1.3733</v>
      </c>
      <c r="D114" s="1611">
        <v>1.2786999999999999</v>
      </c>
      <c r="E114" s="1611">
        <v>1.2786999999999999</v>
      </c>
      <c r="F114" s="1611">
        <v>1.2786999999999999</v>
      </c>
      <c r="G114" s="1611">
        <v>1.2786999999999999</v>
      </c>
      <c r="H114" s="1611">
        <v>1.2786999999999999</v>
      </c>
      <c r="I114" s="1611">
        <v>1.2383999999999999</v>
      </c>
      <c r="J114" s="1611">
        <v>1.2383999999999999</v>
      </c>
      <c r="K114" s="1611">
        <v>1.2383999999999999</v>
      </c>
      <c r="L114" s="1611">
        <v>1.2383999999999999</v>
      </c>
      <c r="M114" s="1611">
        <v>1.2383999999999999</v>
      </c>
    </row>
    <row r="115" spans="1:13">
      <c r="A115" s="1602">
        <v>1.1000000000000001</v>
      </c>
      <c r="B115" s="1611">
        <v>1.3489</v>
      </c>
      <c r="C115" s="1611">
        <v>1.3489</v>
      </c>
      <c r="D115" s="1611">
        <v>1.2542</v>
      </c>
      <c r="E115" s="1611">
        <v>1.2542</v>
      </c>
      <c r="F115" s="1611">
        <v>1.2542</v>
      </c>
      <c r="G115" s="1611">
        <v>1.2542</v>
      </c>
      <c r="H115" s="1611">
        <v>1.2542</v>
      </c>
      <c r="I115" s="1611">
        <v>1.2050000000000001</v>
      </c>
      <c r="J115" s="1611">
        <v>1.2050000000000001</v>
      </c>
      <c r="K115" s="1611">
        <v>1.2050000000000001</v>
      </c>
      <c r="L115" s="1611">
        <v>1.2050000000000001</v>
      </c>
      <c r="M115" s="1611">
        <v>1.2050000000000001</v>
      </c>
    </row>
    <row r="116" spans="1:13">
      <c r="A116" s="1602">
        <v>1.2</v>
      </c>
      <c r="B116" s="1611">
        <v>1.3255999999999999</v>
      </c>
      <c r="C116" s="1611">
        <v>1.3255999999999999</v>
      </c>
      <c r="D116" s="1611">
        <v>1.2305999999999999</v>
      </c>
      <c r="E116" s="1611">
        <v>1.2305999999999999</v>
      </c>
      <c r="F116" s="1611">
        <v>1.2305999999999999</v>
      </c>
      <c r="G116" s="1611">
        <v>1.2305999999999999</v>
      </c>
      <c r="H116" s="1611">
        <v>1.2305999999999999</v>
      </c>
      <c r="I116" s="1611">
        <v>1.1741999999999999</v>
      </c>
      <c r="J116" s="1611">
        <v>1.1741999999999999</v>
      </c>
      <c r="K116" s="1611">
        <v>1.1741999999999999</v>
      </c>
      <c r="L116" s="1611">
        <v>1.1741999999999999</v>
      </c>
      <c r="M116" s="1611">
        <v>1.1741999999999999</v>
      </c>
    </row>
    <row r="117" spans="1:13">
      <c r="A117" s="1602">
        <v>1.3</v>
      </c>
      <c r="B117" s="1611">
        <v>1.3032999999999999</v>
      </c>
      <c r="C117" s="1611">
        <v>1.3032999999999999</v>
      </c>
      <c r="D117" s="1611">
        <v>1.2079</v>
      </c>
      <c r="E117" s="1611">
        <v>1.2079</v>
      </c>
      <c r="F117" s="1611">
        <v>1.2079</v>
      </c>
      <c r="G117" s="1611">
        <v>1.2079</v>
      </c>
      <c r="H117" s="1611">
        <v>1.2079</v>
      </c>
      <c r="I117" s="1611">
        <v>1.1459999999999999</v>
      </c>
      <c r="J117" s="1611">
        <v>1.1459999999999999</v>
      </c>
      <c r="K117" s="1611">
        <v>1.1459999999999999</v>
      </c>
      <c r="L117" s="1611">
        <v>1.1459999999999999</v>
      </c>
      <c r="M117" s="1611">
        <v>1.1459999999999999</v>
      </c>
    </row>
    <row r="118" spans="1:13">
      <c r="A118" s="1602">
        <v>1.4</v>
      </c>
      <c r="B118" s="1611">
        <v>1.282</v>
      </c>
      <c r="C118" s="1611">
        <v>1.282</v>
      </c>
      <c r="D118" s="1611">
        <v>1.1861999999999999</v>
      </c>
      <c r="E118" s="1611">
        <v>1.1861999999999999</v>
      </c>
      <c r="F118" s="1611">
        <v>1.1861999999999999</v>
      </c>
      <c r="G118" s="1611">
        <v>1.1861999999999999</v>
      </c>
      <c r="H118" s="1611">
        <v>1.1861999999999999</v>
      </c>
      <c r="I118" s="1611">
        <v>1.1200000000000001</v>
      </c>
      <c r="J118" s="1611">
        <v>1.1200000000000001</v>
      </c>
      <c r="K118" s="1611">
        <v>1.1200000000000001</v>
      </c>
      <c r="L118" s="1611">
        <v>1.1200000000000001</v>
      </c>
      <c r="M118" s="1611">
        <v>1.1200000000000001</v>
      </c>
    </row>
    <row r="119" spans="1:13">
      <c r="A119" s="1602">
        <v>1.5</v>
      </c>
      <c r="B119" s="1611">
        <v>1.2617</v>
      </c>
      <c r="C119" s="1611">
        <v>1.2617</v>
      </c>
      <c r="D119" s="1611">
        <v>1.1653</v>
      </c>
      <c r="E119" s="1611">
        <v>1.1653</v>
      </c>
      <c r="F119" s="1611">
        <v>1.1653</v>
      </c>
      <c r="G119" s="1611">
        <v>1.1653</v>
      </c>
      <c r="H119" s="1611">
        <v>1.1653</v>
      </c>
      <c r="I119" s="1611">
        <v>1.0961000000000001</v>
      </c>
      <c r="J119" s="1611">
        <v>1.0961000000000001</v>
      </c>
      <c r="K119" s="1611">
        <v>1.0961000000000001</v>
      </c>
      <c r="L119" s="1611">
        <v>1.0961000000000001</v>
      </c>
      <c r="M119" s="1611">
        <v>1.0961000000000001</v>
      </c>
    </row>
    <row r="120" spans="1:13">
      <c r="A120" s="1602">
        <v>1.6</v>
      </c>
      <c r="B120" s="1611">
        <v>1.2423</v>
      </c>
      <c r="C120" s="1611">
        <v>1.2423</v>
      </c>
      <c r="D120" s="1611">
        <v>1.1453</v>
      </c>
      <c r="E120" s="1611">
        <v>1.1453</v>
      </c>
      <c r="F120" s="1611">
        <v>1.1453</v>
      </c>
      <c r="G120" s="1611">
        <v>1.1453</v>
      </c>
      <c r="H120" s="1611">
        <v>1.1453</v>
      </c>
      <c r="I120" s="1611">
        <v>1.0740000000000001</v>
      </c>
      <c r="J120" s="1611">
        <v>1.0740000000000001</v>
      </c>
      <c r="K120" s="1611">
        <v>1.0740000000000001</v>
      </c>
      <c r="L120" s="1611">
        <v>1.0740000000000001</v>
      </c>
      <c r="M120" s="1611">
        <v>1.0740000000000001</v>
      </c>
    </row>
    <row r="121" spans="1:13">
      <c r="A121" s="1602">
        <v>1.7</v>
      </c>
      <c r="B121" s="1611">
        <v>1.2237</v>
      </c>
      <c r="C121" s="1611">
        <v>1.2237</v>
      </c>
      <c r="D121" s="1611">
        <v>1.1261000000000001</v>
      </c>
      <c r="E121" s="1611">
        <v>1.1261000000000001</v>
      </c>
      <c r="F121" s="1611">
        <v>1.1261000000000001</v>
      </c>
      <c r="G121" s="1611">
        <v>1.1261000000000001</v>
      </c>
      <c r="H121" s="1611">
        <v>1.1261000000000001</v>
      </c>
      <c r="I121" s="1611">
        <v>1.0535000000000001</v>
      </c>
      <c r="J121" s="1611">
        <v>1.0535000000000001</v>
      </c>
      <c r="K121" s="1611">
        <v>1.0535000000000001</v>
      </c>
      <c r="L121" s="1611">
        <v>1.0535000000000001</v>
      </c>
      <c r="M121" s="1611">
        <v>1.0535000000000001</v>
      </c>
    </row>
    <row r="122" spans="1:13">
      <c r="A122" s="1602">
        <v>1.8</v>
      </c>
      <c r="B122" s="1611">
        <v>1.206</v>
      </c>
      <c r="C122" s="1611">
        <v>1.206</v>
      </c>
      <c r="D122" s="1611">
        <v>1.1076999999999999</v>
      </c>
      <c r="E122" s="1611">
        <v>1.1076999999999999</v>
      </c>
      <c r="F122" s="1611">
        <v>1.1076999999999999</v>
      </c>
      <c r="G122" s="1611">
        <v>1.1076999999999999</v>
      </c>
      <c r="H122" s="1611">
        <v>1.1076999999999999</v>
      </c>
      <c r="I122" s="1611">
        <v>1.0345</v>
      </c>
      <c r="J122" s="1611">
        <v>1.0345</v>
      </c>
      <c r="K122" s="1611">
        <v>1.0345</v>
      </c>
      <c r="L122" s="1611">
        <v>1.0345</v>
      </c>
      <c r="M122" s="1611">
        <v>1.0345</v>
      </c>
    </row>
    <row r="123" spans="1:13">
      <c r="A123" s="1602">
        <v>1.9</v>
      </c>
      <c r="B123" s="1611">
        <v>1.1891</v>
      </c>
      <c r="C123" s="1611">
        <v>1.1891</v>
      </c>
      <c r="D123" s="1611">
        <v>1.0901000000000001</v>
      </c>
      <c r="E123" s="1611">
        <v>1.0901000000000001</v>
      </c>
      <c r="F123" s="1611">
        <v>1.0901000000000001</v>
      </c>
      <c r="G123" s="1611">
        <v>1.0901000000000001</v>
      </c>
      <c r="H123" s="1611">
        <v>1.0901000000000001</v>
      </c>
      <c r="I123" s="1611">
        <v>1.0166999999999999</v>
      </c>
      <c r="J123" s="1611">
        <v>1.0166999999999999</v>
      </c>
      <c r="K123" s="1611">
        <v>1.0166999999999999</v>
      </c>
      <c r="L123" s="1611">
        <v>1.0166999999999999</v>
      </c>
      <c r="M123" s="1611">
        <v>1.0166999999999999</v>
      </c>
    </row>
    <row r="124" spans="1:13">
      <c r="A124" s="1602">
        <v>2</v>
      </c>
      <c r="B124" s="1611">
        <v>1.1729000000000001</v>
      </c>
      <c r="C124" s="1611">
        <v>1.1729000000000001</v>
      </c>
      <c r="D124" s="1611">
        <v>1.0732999999999999</v>
      </c>
      <c r="E124" s="1611">
        <v>1.0732999999999999</v>
      </c>
      <c r="F124" s="1611">
        <v>1.0732999999999999</v>
      </c>
      <c r="G124" s="1611">
        <v>1.0732999999999999</v>
      </c>
      <c r="H124" s="1611">
        <v>1.0732999999999999</v>
      </c>
      <c r="I124" s="1611">
        <v>1</v>
      </c>
      <c r="J124" s="1611">
        <v>1</v>
      </c>
      <c r="K124" s="1611">
        <v>1</v>
      </c>
      <c r="L124" s="1611">
        <v>1</v>
      </c>
      <c r="M124" s="1611">
        <v>1</v>
      </c>
    </row>
    <row r="125" spans="1:13">
      <c r="A125" s="1625">
        <v>2.1</v>
      </c>
      <c r="B125" s="1611">
        <v>1.1574</v>
      </c>
      <c r="C125" s="1611">
        <v>1.1574</v>
      </c>
      <c r="D125" s="1611">
        <v>1.0571999999999999</v>
      </c>
      <c r="E125" s="1611">
        <v>1.0571999999999999</v>
      </c>
      <c r="F125" s="1611">
        <v>1.0571999999999999</v>
      </c>
      <c r="G125" s="1611">
        <v>1.0571999999999999</v>
      </c>
      <c r="H125" s="1611">
        <v>1.0571999999999999</v>
      </c>
      <c r="I125" s="1611">
        <v>0.98409999999999997</v>
      </c>
      <c r="J125" s="1611">
        <v>0.98409999999999997</v>
      </c>
      <c r="K125" s="1611">
        <v>0.98409999999999997</v>
      </c>
      <c r="L125" s="1611">
        <v>0.98409999999999997</v>
      </c>
      <c r="M125" s="1611">
        <v>0.98409999999999997</v>
      </c>
    </row>
    <row r="126" spans="1:13">
      <c r="A126" s="1625">
        <v>2.2000000000000002</v>
      </c>
      <c r="B126" s="1611">
        <v>1.1426000000000001</v>
      </c>
      <c r="C126" s="1611">
        <v>1.1426000000000001</v>
      </c>
      <c r="D126" s="1611">
        <v>1.0419</v>
      </c>
      <c r="E126" s="1611">
        <v>1.0419</v>
      </c>
      <c r="F126" s="1611">
        <v>1.0419</v>
      </c>
      <c r="G126" s="1611">
        <v>1.0419</v>
      </c>
      <c r="H126" s="1611">
        <v>1.0419</v>
      </c>
      <c r="I126" s="1611">
        <v>0.96889999999999998</v>
      </c>
      <c r="J126" s="1611">
        <v>0.96889999999999998</v>
      </c>
      <c r="K126" s="1611">
        <v>0.96889999999999998</v>
      </c>
      <c r="L126" s="1611">
        <v>0.96889999999999998</v>
      </c>
      <c r="M126" s="1611">
        <v>0.96889999999999998</v>
      </c>
    </row>
    <row r="127" spans="1:13">
      <c r="A127" s="1625">
        <v>2.2999999999999998</v>
      </c>
      <c r="B127" s="1611">
        <v>1.1285000000000001</v>
      </c>
      <c r="C127" s="1611">
        <v>1.1285000000000001</v>
      </c>
      <c r="D127" s="1611">
        <v>1.0271999999999999</v>
      </c>
      <c r="E127" s="1611">
        <v>1.0271999999999999</v>
      </c>
      <c r="F127" s="1611">
        <v>1.0271999999999999</v>
      </c>
      <c r="G127" s="1611">
        <v>1.0271999999999999</v>
      </c>
      <c r="H127" s="1611">
        <v>1.0271999999999999</v>
      </c>
      <c r="I127" s="1611">
        <v>0.95440000000000003</v>
      </c>
      <c r="J127" s="1611">
        <v>0.95440000000000003</v>
      </c>
      <c r="K127" s="1611">
        <v>0.95440000000000003</v>
      </c>
      <c r="L127" s="1611">
        <v>0.95440000000000003</v>
      </c>
      <c r="M127" s="1611">
        <v>0.95440000000000003</v>
      </c>
    </row>
    <row r="128" spans="1:13">
      <c r="A128" s="1625">
        <v>2.4</v>
      </c>
      <c r="B128" s="1611">
        <v>1.1149</v>
      </c>
      <c r="C128" s="1611">
        <v>1.1149</v>
      </c>
      <c r="D128" s="1611">
        <v>1.0133000000000001</v>
      </c>
      <c r="E128" s="1611">
        <v>1.0133000000000001</v>
      </c>
      <c r="F128" s="1611">
        <v>1.0133000000000001</v>
      </c>
      <c r="G128" s="1611">
        <v>1.0133000000000001</v>
      </c>
      <c r="H128" s="1611">
        <v>1.0133000000000001</v>
      </c>
      <c r="I128" s="1611">
        <v>0.9405</v>
      </c>
      <c r="J128" s="1611">
        <v>0.9405</v>
      </c>
      <c r="K128" s="1611">
        <v>0.9405</v>
      </c>
      <c r="L128" s="1611">
        <v>0.9405</v>
      </c>
      <c r="M128" s="1611">
        <v>0.9405</v>
      </c>
    </row>
    <row r="129" spans="1:13">
      <c r="A129" s="1625">
        <v>2.5</v>
      </c>
      <c r="B129" s="1611">
        <v>1.1020000000000001</v>
      </c>
      <c r="C129" s="1611">
        <v>1.1020000000000001</v>
      </c>
      <c r="D129" s="1611">
        <v>1</v>
      </c>
      <c r="E129" s="1611">
        <v>1</v>
      </c>
      <c r="F129" s="1611">
        <v>1</v>
      </c>
      <c r="G129" s="1611">
        <v>1</v>
      </c>
      <c r="H129" s="1611">
        <v>1</v>
      </c>
      <c r="I129" s="1611">
        <v>0.92730000000000001</v>
      </c>
      <c r="J129" s="1611">
        <v>0.92730000000000001</v>
      </c>
      <c r="K129" s="1611">
        <v>0.92730000000000001</v>
      </c>
      <c r="L129" s="1611">
        <v>0.92730000000000001</v>
      </c>
      <c r="M129" s="1611">
        <v>0.92730000000000001</v>
      </c>
    </row>
    <row r="130" spans="1:13">
      <c r="A130" s="1625">
        <v>2.6</v>
      </c>
      <c r="B130" s="1611">
        <v>1.0895999999999999</v>
      </c>
      <c r="C130" s="1611">
        <v>1.0895999999999999</v>
      </c>
      <c r="D130" s="1611">
        <v>0.98740000000000006</v>
      </c>
      <c r="E130" s="1611">
        <v>0.98740000000000006</v>
      </c>
      <c r="F130" s="1611">
        <v>0.98740000000000006</v>
      </c>
      <c r="G130" s="1611">
        <v>0.98740000000000006</v>
      </c>
      <c r="H130" s="1611">
        <v>0.98740000000000006</v>
      </c>
      <c r="I130" s="1611">
        <v>0.91469999999999996</v>
      </c>
      <c r="J130" s="1611">
        <v>0.91469999999999996</v>
      </c>
      <c r="K130" s="1611">
        <v>0.91469999999999996</v>
      </c>
      <c r="L130" s="1611">
        <v>0.91469999999999996</v>
      </c>
      <c r="M130" s="1611">
        <v>0.91469999999999996</v>
      </c>
    </row>
    <row r="131" spans="1:13">
      <c r="A131" s="1625">
        <v>2.7</v>
      </c>
      <c r="B131" s="1611">
        <v>1.0778000000000001</v>
      </c>
      <c r="C131" s="1611">
        <v>1.0778000000000001</v>
      </c>
      <c r="D131" s="1611">
        <v>0.97540000000000004</v>
      </c>
      <c r="E131" s="1611">
        <v>0.97540000000000004</v>
      </c>
      <c r="F131" s="1611">
        <v>0.97540000000000004</v>
      </c>
      <c r="G131" s="1611">
        <v>0.97540000000000004</v>
      </c>
      <c r="H131" s="1611">
        <v>0.97540000000000004</v>
      </c>
      <c r="I131" s="1611">
        <v>0.90269999999999995</v>
      </c>
      <c r="J131" s="1611">
        <v>0.90269999999999995</v>
      </c>
      <c r="K131" s="1611">
        <v>0.90269999999999995</v>
      </c>
      <c r="L131" s="1611">
        <v>0.90269999999999995</v>
      </c>
      <c r="M131" s="1611">
        <v>0.90269999999999995</v>
      </c>
    </row>
    <row r="132" spans="1:13">
      <c r="A132" s="1625">
        <v>2.8</v>
      </c>
      <c r="B132" s="1611">
        <v>1.0665</v>
      </c>
      <c r="C132" s="1611">
        <v>1.0665</v>
      </c>
      <c r="D132" s="1611">
        <v>0.96399999999999997</v>
      </c>
      <c r="E132" s="1611">
        <v>0.96399999999999997</v>
      </c>
      <c r="F132" s="1611">
        <v>0.96399999999999997</v>
      </c>
      <c r="G132" s="1611">
        <v>0.96399999999999997</v>
      </c>
      <c r="H132" s="1611">
        <v>0.96399999999999997</v>
      </c>
      <c r="I132" s="1611">
        <v>0.89119999999999999</v>
      </c>
      <c r="J132" s="1611">
        <v>0.89119999999999999</v>
      </c>
      <c r="K132" s="1611">
        <v>0.89119999999999999</v>
      </c>
      <c r="L132" s="1611">
        <v>0.89119999999999999</v>
      </c>
      <c r="M132" s="1611">
        <v>0.89119999999999999</v>
      </c>
    </row>
    <row r="133" spans="1:13">
      <c r="A133" s="1625">
        <v>2.9</v>
      </c>
      <c r="B133" s="1611">
        <v>1.0556000000000001</v>
      </c>
      <c r="C133" s="1611">
        <v>1.0556000000000001</v>
      </c>
      <c r="D133" s="1611">
        <v>0.95330000000000004</v>
      </c>
      <c r="E133" s="1611">
        <v>0.95330000000000004</v>
      </c>
      <c r="F133" s="1611">
        <v>0.95330000000000004</v>
      </c>
      <c r="G133" s="1611">
        <v>0.95330000000000004</v>
      </c>
      <c r="H133" s="1611">
        <v>0.95330000000000004</v>
      </c>
      <c r="I133" s="1611">
        <v>0.88019999999999998</v>
      </c>
      <c r="J133" s="1611">
        <v>0.88019999999999998</v>
      </c>
      <c r="K133" s="1611">
        <v>0.88019999999999998</v>
      </c>
      <c r="L133" s="1611">
        <v>0.88019999999999998</v>
      </c>
      <c r="M133" s="1611">
        <v>0.88019999999999998</v>
      </c>
    </row>
    <row r="134" spans="1:13">
      <c r="A134" s="1625">
        <v>3</v>
      </c>
      <c r="B134" s="1611">
        <v>1.0452999999999999</v>
      </c>
      <c r="C134" s="1611">
        <v>1.0452999999999999</v>
      </c>
      <c r="D134" s="1611">
        <v>0.94299999999999995</v>
      </c>
      <c r="E134" s="1611">
        <v>0.94299999999999995</v>
      </c>
      <c r="F134" s="1611">
        <v>0.94299999999999995</v>
      </c>
      <c r="G134" s="1611">
        <v>0.94299999999999995</v>
      </c>
      <c r="H134" s="1611">
        <v>0.94299999999999995</v>
      </c>
      <c r="I134" s="1611">
        <v>0.86970000000000003</v>
      </c>
      <c r="J134" s="1611">
        <v>0.86970000000000003</v>
      </c>
      <c r="K134" s="1611">
        <v>0.86970000000000003</v>
      </c>
      <c r="L134" s="1611">
        <v>0.86970000000000003</v>
      </c>
      <c r="M134" s="1611">
        <v>0.86970000000000003</v>
      </c>
    </row>
    <row r="135" spans="1:13">
      <c r="A135" s="1625">
        <v>3.1</v>
      </c>
      <c r="B135" s="1611">
        <v>1.0354000000000001</v>
      </c>
      <c r="C135" s="1611">
        <v>1.0354000000000001</v>
      </c>
      <c r="D135" s="1611">
        <v>0.93330000000000002</v>
      </c>
      <c r="E135" s="1611">
        <v>0.93330000000000002</v>
      </c>
      <c r="F135" s="1611">
        <v>0.93330000000000002</v>
      </c>
      <c r="G135" s="1611">
        <v>0.93330000000000002</v>
      </c>
      <c r="H135" s="1611">
        <v>0.93330000000000002</v>
      </c>
      <c r="I135" s="1611">
        <v>0.85970000000000002</v>
      </c>
      <c r="J135" s="1611">
        <v>0.85970000000000002</v>
      </c>
      <c r="K135" s="1611">
        <v>0.85970000000000002</v>
      </c>
      <c r="L135" s="1611">
        <v>0.85970000000000002</v>
      </c>
      <c r="M135" s="1611">
        <v>0.85970000000000002</v>
      </c>
    </row>
    <row r="136" spans="1:13">
      <c r="A136" s="1625">
        <v>3.2</v>
      </c>
      <c r="B136" s="1611">
        <v>1.0259</v>
      </c>
      <c r="C136" s="1611">
        <v>1.0259</v>
      </c>
      <c r="D136" s="1611">
        <v>0.92410000000000003</v>
      </c>
      <c r="E136" s="1611">
        <v>0.92410000000000003</v>
      </c>
      <c r="F136" s="1611">
        <v>0.92410000000000003</v>
      </c>
      <c r="G136" s="1611">
        <v>0.92410000000000003</v>
      </c>
      <c r="H136" s="1611">
        <v>0.92410000000000003</v>
      </c>
      <c r="I136" s="1611">
        <v>0.85019999999999996</v>
      </c>
      <c r="J136" s="1611">
        <v>0.85019999999999996</v>
      </c>
      <c r="K136" s="1611">
        <v>0.85019999999999996</v>
      </c>
      <c r="L136" s="1611">
        <v>0.85019999999999996</v>
      </c>
      <c r="M136" s="1611">
        <v>0.85019999999999996</v>
      </c>
    </row>
    <row r="137" spans="1:13">
      <c r="A137" s="1625">
        <v>3.3</v>
      </c>
      <c r="B137" s="1611">
        <v>1.0168999999999999</v>
      </c>
      <c r="C137" s="1611">
        <v>1.0168999999999999</v>
      </c>
      <c r="D137" s="1611">
        <v>0.91539999999999999</v>
      </c>
      <c r="E137" s="1611">
        <v>0.91539999999999999</v>
      </c>
      <c r="F137" s="1611">
        <v>0.91539999999999999</v>
      </c>
      <c r="G137" s="1611">
        <v>0.91539999999999999</v>
      </c>
      <c r="H137" s="1611">
        <v>0.91539999999999999</v>
      </c>
      <c r="I137" s="1611">
        <v>0.84109999999999996</v>
      </c>
      <c r="J137" s="1611">
        <v>0.84109999999999996</v>
      </c>
      <c r="K137" s="1611">
        <v>0.84109999999999996</v>
      </c>
      <c r="L137" s="1611">
        <v>0.84109999999999996</v>
      </c>
      <c r="M137" s="1611">
        <v>0.84109999999999996</v>
      </c>
    </row>
    <row r="138" spans="1:13">
      <c r="A138" s="1625">
        <v>3.4</v>
      </c>
      <c r="B138" s="1611">
        <v>1.0082</v>
      </c>
      <c r="C138" s="1611">
        <v>1.0082</v>
      </c>
      <c r="D138" s="1611">
        <v>0.90710000000000002</v>
      </c>
      <c r="E138" s="1611">
        <v>0.90710000000000002</v>
      </c>
      <c r="F138" s="1611">
        <v>0.90710000000000002</v>
      </c>
      <c r="G138" s="1611">
        <v>0.90710000000000002</v>
      </c>
      <c r="H138" s="1611">
        <v>0.90710000000000002</v>
      </c>
      <c r="I138" s="1611">
        <v>0.83240000000000003</v>
      </c>
      <c r="J138" s="1611">
        <v>0.83240000000000003</v>
      </c>
      <c r="K138" s="1611">
        <v>0.83240000000000003</v>
      </c>
      <c r="L138" s="1611">
        <v>0.83240000000000003</v>
      </c>
      <c r="M138" s="1611">
        <v>0.83240000000000003</v>
      </c>
    </row>
    <row r="139" spans="1:13">
      <c r="A139" s="1625">
        <v>3.5</v>
      </c>
      <c r="B139" s="1611">
        <v>1</v>
      </c>
      <c r="C139" s="1611">
        <v>1</v>
      </c>
      <c r="D139" s="1611">
        <v>0.89929999999999999</v>
      </c>
      <c r="E139" s="1611">
        <v>0.89929999999999999</v>
      </c>
      <c r="F139" s="1611">
        <v>0.89929999999999999</v>
      </c>
      <c r="G139" s="1611">
        <v>0.89929999999999999</v>
      </c>
      <c r="H139" s="1611">
        <v>0.89929999999999999</v>
      </c>
      <c r="I139" s="1611">
        <v>0.82410000000000005</v>
      </c>
      <c r="J139" s="1611">
        <v>0.82410000000000005</v>
      </c>
      <c r="K139" s="1611">
        <v>0.82410000000000005</v>
      </c>
      <c r="L139" s="1611">
        <v>0.82410000000000005</v>
      </c>
      <c r="M139" s="1611">
        <v>0.82410000000000005</v>
      </c>
    </row>
    <row r="140" spans="1:13">
      <c r="A140" s="1625">
        <v>3.6</v>
      </c>
      <c r="B140" s="1611">
        <v>0.99219999999999997</v>
      </c>
      <c r="C140" s="1611">
        <v>0.99219999999999997</v>
      </c>
      <c r="D140" s="1611">
        <v>0.89190000000000003</v>
      </c>
      <c r="E140" s="1611">
        <v>0.89190000000000003</v>
      </c>
      <c r="F140" s="1611">
        <v>0.89190000000000003</v>
      </c>
      <c r="G140" s="1611">
        <v>0.89190000000000003</v>
      </c>
      <c r="H140" s="1611">
        <v>0.89190000000000003</v>
      </c>
      <c r="I140" s="1611">
        <v>0.81620000000000004</v>
      </c>
      <c r="J140" s="1611">
        <v>0.81620000000000004</v>
      </c>
      <c r="K140" s="1611">
        <v>0.81620000000000004</v>
      </c>
      <c r="L140" s="1611">
        <v>0.81620000000000004</v>
      </c>
      <c r="M140" s="1611">
        <v>0.81620000000000004</v>
      </c>
    </row>
    <row r="141" spans="1:13">
      <c r="A141" s="1625">
        <v>3.7</v>
      </c>
      <c r="B141" s="1611">
        <v>0.98480000000000001</v>
      </c>
      <c r="C141" s="1611">
        <v>0.98480000000000001</v>
      </c>
      <c r="D141" s="1611">
        <v>0.88480000000000003</v>
      </c>
      <c r="E141" s="1611">
        <v>0.88480000000000003</v>
      </c>
      <c r="F141" s="1611">
        <v>0.88480000000000003</v>
      </c>
      <c r="G141" s="1611">
        <v>0.88480000000000003</v>
      </c>
      <c r="H141" s="1611">
        <v>0.88480000000000003</v>
      </c>
      <c r="I141" s="1611">
        <v>0.80869999999999997</v>
      </c>
      <c r="J141" s="1611">
        <v>0.80869999999999997</v>
      </c>
      <c r="K141" s="1611">
        <v>0.80869999999999997</v>
      </c>
      <c r="L141" s="1611">
        <v>0.80869999999999997</v>
      </c>
      <c r="M141" s="1611">
        <v>0.80869999999999997</v>
      </c>
    </row>
    <row r="142" spans="1:13">
      <c r="A142" s="1625">
        <v>3.8</v>
      </c>
      <c r="B142" s="1611">
        <v>0.9778</v>
      </c>
      <c r="C142" s="1611">
        <v>0.9778</v>
      </c>
      <c r="D142" s="1611">
        <v>0.87809999999999999</v>
      </c>
      <c r="E142" s="1611">
        <v>0.87809999999999999</v>
      </c>
      <c r="F142" s="1611">
        <v>0.87809999999999999</v>
      </c>
      <c r="G142" s="1611">
        <v>0.87809999999999999</v>
      </c>
      <c r="H142" s="1611">
        <v>0.87809999999999999</v>
      </c>
      <c r="I142" s="1611">
        <v>0.80159999999999998</v>
      </c>
      <c r="J142" s="1611">
        <v>0.80159999999999998</v>
      </c>
      <c r="K142" s="1611">
        <v>0.80159999999999998</v>
      </c>
      <c r="L142" s="1611">
        <v>0.80159999999999998</v>
      </c>
      <c r="M142" s="1611">
        <v>0.80159999999999998</v>
      </c>
    </row>
    <row r="143" spans="1:13">
      <c r="A143" s="1625">
        <v>3.9</v>
      </c>
      <c r="B143" s="1611">
        <v>0.97119999999999995</v>
      </c>
      <c r="C143" s="1611">
        <v>0.97119999999999995</v>
      </c>
      <c r="D143" s="1611">
        <v>0.87180000000000002</v>
      </c>
      <c r="E143" s="1611">
        <v>0.87180000000000002</v>
      </c>
      <c r="F143" s="1611">
        <v>0.87180000000000002</v>
      </c>
      <c r="G143" s="1611">
        <v>0.87180000000000002</v>
      </c>
      <c r="H143" s="1611">
        <v>0.87180000000000002</v>
      </c>
      <c r="I143" s="1611">
        <v>0.79479999999999995</v>
      </c>
      <c r="J143" s="1611">
        <v>0.79479999999999995</v>
      </c>
      <c r="K143" s="1611">
        <v>0.79479999999999995</v>
      </c>
      <c r="L143" s="1611">
        <v>0.79479999999999995</v>
      </c>
      <c r="M143" s="1611">
        <v>0.79479999999999995</v>
      </c>
    </row>
    <row r="144" spans="1:13">
      <c r="A144" s="1625">
        <v>4</v>
      </c>
      <c r="B144" s="1611">
        <v>0.96499999999999997</v>
      </c>
      <c r="C144" s="1611">
        <v>0.96499999999999997</v>
      </c>
      <c r="D144" s="1611">
        <v>0.86580000000000001</v>
      </c>
      <c r="E144" s="1611">
        <v>0.86580000000000001</v>
      </c>
      <c r="F144" s="1611">
        <v>0.86580000000000001</v>
      </c>
      <c r="G144" s="1611">
        <v>0.86580000000000001</v>
      </c>
      <c r="H144" s="1611">
        <v>0.86580000000000001</v>
      </c>
      <c r="I144" s="1611">
        <v>0.7883</v>
      </c>
      <c r="J144" s="1611">
        <v>0.7883</v>
      </c>
      <c r="K144" s="1611">
        <v>0.7883</v>
      </c>
      <c r="L144" s="1611">
        <v>0.7883</v>
      </c>
      <c r="M144" s="1611">
        <v>0.7883</v>
      </c>
    </row>
    <row r="145" spans="1:13">
      <c r="A145" s="1625">
        <v>4.0999999999999996</v>
      </c>
      <c r="B145" s="1611">
        <v>0.95909999999999995</v>
      </c>
      <c r="C145" s="1611">
        <v>0.95909999999999995</v>
      </c>
      <c r="D145" s="1611">
        <v>0.86009999999999998</v>
      </c>
      <c r="E145" s="1611">
        <v>0.86009999999999998</v>
      </c>
      <c r="F145" s="1611">
        <v>0.86009999999999998</v>
      </c>
      <c r="G145" s="1611">
        <v>0.86009999999999998</v>
      </c>
      <c r="H145" s="1611">
        <v>0.86009999999999998</v>
      </c>
      <c r="I145" s="1611">
        <v>0.78200000000000003</v>
      </c>
      <c r="J145" s="1611">
        <v>0.78200000000000003</v>
      </c>
      <c r="K145" s="1611">
        <v>0.78200000000000003</v>
      </c>
      <c r="L145" s="1611">
        <v>0.78200000000000003</v>
      </c>
      <c r="M145" s="1611">
        <v>0.78200000000000003</v>
      </c>
    </row>
    <row r="146" spans="1:13">
      <c r="A146" s="1625">
        <v>4.2</v>
      </c>
      <c r="B146" s="1611">
        <v>0.95350000000000001</v>
      </c>
      <c r="C146" s="1611">
        <v>0.95350000000000001</v>
      </c>
      <c r="D146" s="1611">
        <v>0.85470000000000002</v>
      </c>
      <c r="E146" s="1611">
        <v>0.85470000000000002</v>
      </c>
      <c r="F146" s="1611">
        <v>0.85470000000000002</v>
      </c>
      <c r="G146" s="1611">
        <v>0.85470000000000002</v>
      </c>
      <c r="H146" s="1611">
        <v>0.85470000000000002</v>
      </c>
      <c r="I146" s="1611">
        <v>0.77600000000000002</v>
      </c>
      <c r="J146" s="1611">
        <v>0.77600000000000002</v>
      </c>
      <c r="K146" s="1611">
        <v>0.77600000000000002</v>
      </c>
      <c r="L146" s="1611">
        <v>0.77600000000000002</v>
      </c>
      <c r="M146" s="1611">
        <v>0.77600000000000002</v>
      </c>
    </row>
    <row r="147" spans="1:13">
      <c r="A147" s="1625">
        <v>4.3</v>
      </c>
      <c r="B147" s="1611">
        <v>0.94820000000000004</v>
      </c>
      <c r="C147" s="1611">
        <v>0.94820000000000004</v>
      </c>
      <c r="D147" s="1611">
        <v>0.84960000000000002</v>
      </c>
      <c r="E147" s="1611">
        <v>0.84960000000000002</v>
      </c>
      <c r="F147" s="1611">
        <v>0.84960000000000002</v>
      </c>
      <c r="G147" s="1611">
        <v>0.84960000000000002</v>
      </c>
      <c r="H147" s="1611">
        <v>0.84960000000000002</v>
      </c>
      <c r="I147" s="1611">
        <v>0.77029999999999998</v>
      </c>
      <c r="J147" s="1611">
        <v>0.77029999999999998</v>
      </c>
      <c r="K147" s="1611">
        <v>0.77029999999999998</v>
      </c>
      <c r="L147" s="1611">
        <v>0.77029999999999998</v>
      </c>
      <c r="M147" s="1611">
        <v>0.77029999999999998</v>
      </c>
    </row>
    <row r="148" spans="1:13">
      <c r="A148" s="1625">
        <v>4.4000000000000004</v>
      </c>
      <c r="B148" s="1611">
        <v>0.94320000000000004</v>
      </c>
      <c r="C148" s="1611">
        <v>0.94320000000000004</v>
      </c>
      <c r="D148" s="1611">
        <v>0.8448</v>
      </c>
      <c r="E148" s="1611">
        <v>0.8448</v>
      </c>
      <c r="F148" s="1611">
        <v>0.8448</v>
      </c>
      <c r="G148" s="1611">
        <v>0.8448</v>
      </c>
      <c r="H148" s="1611">
        <v>0.8448</v>
      </c>
      <c r="I148" s="1611">
        <v>0.76490000000000002</v>
      </c>
      <c r="J148" s="1611">
        <v>0.76490000000000002</v>
      </c>
      <c r="K148" s="1611">
        <v>0.76490000000000002</v>
      </c>
      <c r="L148" s="1611">
        <v>0.76490000000000002</v>
      </c>
      <c r="M148" s="1611">
        <v>0.76490000000000002</v>
      </c>
    </row>
    <row r="149" spans="1:13">
      <c r="A149" s="1625">
        <v>4.5</v>
      </c>
      <c r="B149" s="1611">
        <v>0.9385</v>
      </c>
      <c r="C149" s="1611">
        <v>0.9385</v>
      </c>
      <c r="D149" s="1611">
        <v>0.84019999999999995</v>
      </c>
      <c r="E149" s="1611">
        <v>0.84019999999999995</v>
      </c>
      <c r="F149" s="1611">
        <v>0.84019999999999995</v>
      </c>
      <c r="G149" s="1611">
        <v>0.84019999999999995</v>
      </c>
      <c r="H149" s="1611">
        <v>0.84019999999999995</v>
      </c>
      <c r="I149" s="1611">
        <v>0.75970000000000004</v>
      </c>
      <c r="J149" s="1611">
        <v>0.75970000000000004</v>
      </c>
      <c r="K149" s="1611">
        <v>0.75970000000000004</v>
      </c>
      <c r="L149" s="1611">
        <v>0.75970000000000004</v>
      </c>
      <c r="M149" s="1611">
        <v>0.75970000000000004</v>
      </c>
    </row>
    <row r="150" spans="1:13">
      <c r="A150" s="1625">
        <v>4.5999999999999996</v>
      </c>
      <c r="B150" s="1611">
        <v>0.93410000000000004</v>
      </c>
      <c r="C150" s="1611">
        <v>0.93410000000000004</v>
      </c>
      <c r="D150" s="1611">
        <v>0.83579999999999999</v>
      </c>
      <c r="E150" s="1611">
        <v>0.83579999999999999</v>
      </c>
      <c r="F150" s="1611">
        <v>0.83579999999999999</v>
      </c>
      <c r="G150" s="1611">
        <v>0.83579999999999999</v>
      </c>
      <c r="H150" s="1611">
        <v>0.83579999999999999</v>
      </c>
      <c r="I150" s="1611">
        <v>0.75470000000000004</v>
      </c>
      <c r="J150" s="1611">
        <v>0.75470000000000004</v>
      </c>
      <c r="K150" s="1611">
        <v>0.75470000000000004</v>
      </c>
      <c r="L150" s="1611">
        <v>0.75470000000000004</v>
      </c>
      <c r="M150" s="1611">
        <v>0.75470000000000004</v>
      </c>
    </row>
    <row r="151" spans="1:13">
      <c r="A151" s="1625">
        <v>4.7</v>
      </c>
      <c r="B151" s="1611">
        <v>0.92989999999999995</v>
      </c>
      <c r="C151" s="1611">
        <v>0.92989999999999995</v>
      </c>
      <c r="D151" s="1611">
        <v>0.83160000000000001</v>
      </c>
      <c r="E151" s="1611">
        <v>0.83160000000000001</v>
      </c>
      <c r="F151" s="1611">
        <v>0.83160000000000001</v>
      </c>
      <c r="G151" s="1611">
        <v>0.83160000000000001</v>
      </c>
      <c r="H151" s="1611">
        <v>0.83160000000000001</v>
      </c>
      <c r="I151" s="1611">
        <v>0.74990000000000001</v>
      </c>
      <c r="J151" s="1611">
        <v>0.74990000000000001</v>
      </c>
      <c r="K151" s="1611">
        <v>0.74990000000000001</v>
      </c>
      <c r="L151" s="1611">
        <v>0.74990000000000001</v>
      </c>
      <c r="M151" s="1611">
        <v>0.74990000000000001</v>
      </c>
    </row>
    <row r="152" spans="1:13">
      <c r="A152" s="1625">
        <v>4.8</v>
      </c>
      <c r="B152" s="1611">
        <v>0.92589999999999995</v>
      </c>
      <c r="C152" s="1611">
        <v>0.92589999999999995</v>
      </c>
      <c r="D152" s="1611">
        <v>0.82769999999999999</v>
      </c>
      <c r="E152" s="1611">
        <v>0.82769999999999999</v>
      </c>
      <c r="F152" s="1611">
        <v>0.82769999999999999</v>
      </c>
      <c r="G152" s="1611">
        <v>0.82769999999999999</v>
      </c>
      <c r="H152" s="1611">
        <v>0.82769999999999999</v>
      </c>
      <c r="I152" s="1611">
        <v>0.74529999999999996</v>
      </c>
      <c r="J152" s="1611">
        <v>0.74529999999999996</v>
      </c>
      <c r="K152" s="1611">
        <v>0.74529999999999996</v>
      </c>
      <c r="L152" s="1611">
        <v>0.74529999999999996</v>
      </c>
      <c r="M152" s="1611">
        <v>0.74529999999999996</v>
      </c>
    </row>
    <row r="153" spans="1:13">
      <c r="A153" s="1625">
        <v>4.9000000000000004</v>
      </c>
      <c r="B153" s="1611">
        <v>0.92210000000000003</v>
      </c>
      <c r="C153" s="1611">
        <v>0.92210000000000003</v>
      </c>
      <c r="D153" s="1611">
        <v>0.82389999999999997</v>
      </c>
      <c r="E153" s="1611">
        <v>0.82389999999999997</v>
      </c>
      <c r="F153" s="1611">
        <v>0.82389999999999997</v>
      </c>
      <c r="G153" s="1611">
        <v>0.82389999999999997</v>
      </c>
      <c r="H153" s="1611">
        <v>0.82389999999999997</v>
      </c>
      <c r="I153" s="1611">
        <v>0.7409</v>
      </c>
      <c r="J153" s="1611">
        <v>0.7409</v>
      </c>
      <c r="K153" s="1611">
        <v>0.7409</v>
      </c>
      <c r="L153" s="1611">
        <v>0.7409</v>
      </c>
      <c r="M153" s="1611">
        <v>0.7409</v>
      </c>
    </row>
    <row r="154" spans="1:13">
      <c r="A154" s="1625">
        <v>5</v>
      </c>
      <c r="B154" s="1611">
        <v>0.91849999999999998</v>
      </c>
      <c r="C154" s="1611">
        <v>0.91849999999999998</v>
      </c>
      <c r="D154" s="1611">
        <v>0.82030000000000003</v>
      </c>
      <c r="E154" s="1611">
        <v>0.82030000000000003</v>
      </c>
      <c r="F154" s="1611">
        <v>0.82030000000000003</v>
      </c>
      <c r="G154" s="1611">
        <v>0.82030000000000003</v>
      </c>
      <c r="H154" s="1611">
        <v>0.82030000000000003</v>
      </c>
      <c r="I154" s="1611">
        <v>0.73670000000000002</v>
      </c>
      <c r="J154" s="1611">
        <v>0.73670000000000002</v>
      </c>
      <c r="K154" s="1611">
        <v>0.73670000000000002</v>
      </c>
      <c r="L154" s="1611">
        <v>0.73670000000000002</v>
      </c>
      <c r="M154" s="1611">
        <v>0.73670000000000002</v>
      </c>
    </row>
    <row r="155" spans="1:13">
      <c r="A155" s="1602">
        <v>5.0999999999999996</v>
      </c>
      <c r="B155" s="1611">
        <v>0.91510000000000002</v>
      </c>
      <c r="C155" s="1611">
        <v>0.91510000000000002</v>
      </c>
      <c r="D155" s="1611">
        <v>0.81689999999999996</v>
      </c>
      <c r="E155" s="1611">
        <v>0.81689999999999996</v>
      </c>
      <c r="F155" s="1611">
        <v>0.81689999999999996</v>
      </c>
      <c r="G155" s="1611">
        <v>0.81689999999999996</v>
      </c>
      <c r="H155" s="1611">
        <v>0.81689999999999996</v>
      </c>
      <c r="I155" s="1611">
        <v>0.73270000000000002</v>
      </c>
      <c r="J155" s="1611">
        <v>0.73270000000000002</v>
      </c>
      <c r="K155" s="1611">
        <v>0.73270000000000002</v>
      </c>
      <c r="L155" s="1611">
        <v>0.73270000000000002</v>
      </c>
      <c r="M155" s="1611">
        <v>0.73270000000000002</v>
      </c>
    </row>
    <row r="156" spans="1:13">
      <c r="A156" s="1602">
        <v>5.2</v>
      </c>
      <c r="B156" s="1611">
        <v>0.91190000000000004</v>
      </c>
      <c r="C156" s="1611">
        <v>0.91190000000000004</v>
      </c>
      <c r="D156" s="1611">
        <v>0.81359999999999999</v>
      </c>
      <c r="E156" s="1611">
        <v>0.81359999999999999</v>
      </c>
      <c r="F156" s="1611">
        <v>0.81359999999999999</v>
      </c>
      <c r="G156" s="1611">
        <v>0.81359999999999999</v>
      </c>
      <c r="H156" s="1611">
        <v>0.81359999999999999</v>
      </c>
      <c r="I156" s="1611">
        <v>0.72889999999999999</v>
      </c>
      <c r="J156" s="1611">
        <v>0.72889999999999999</v>
      </c>
      <c r="K156" s="1611">
        <v>0.72889999999999999</v>
      </c>
      <c r="L156" s="1611">
        <v>0.72889999999999999</v>
      </c>
      <c r="M156" s="1611">
        <v>0.72889999999999999</v>
      </c>
    </row>
    <row r="157" spans="1:13">
      <c r="A157" s="1602">
        <v>5.3</v>
      </c>
      <c r="B157" s="1611">
        <v>0.90880000000000005</v>
      </c>
      <c r="C157" s="1611">
        <v>0.90880000000000005</v>
      </c>
      <c r="D157" s="1611">
        <v>0.8105</v>
      </c>
      <c r="E157" s="1611">
        <v>0.8105</v>
      </c>
      <c r="F157" s="1611">
        <v>0.8105</v>
      </c>
      <c r="G157" s="1611">
        <v>0.8105</v>
      </c>
      <c r="H157" s="1611">
        <v>0.8105</v>
      </c>
      <c r="I157" s="1611">
        <v>0.72529999999999994</v>
      </c>
      <c r="J157" s="1611">
        <v>0.72529999999999994</v>
      </c>
      <c r="K157" s="1611">
        <v>0.72529999999999994</v>
      </c>
      <c r="L157" s="1611">
        <v>0.72529999999999994</v>
      </c>
      <c r="M157" s="1611">
        <v>0.72529999999999994</v>
      </c>
    </row>
    <row r="158" spans="1:13">
      <c r="A158" s="1602">
        <v>5.4</v>
      </c>
      <c r="B158" s="1611">
        <v>0.90580000000000005</v>
      </c>
      <c r="C158" s="1611">
        <v>0.90580000000000005</v>
      </c>
      <c r="D158" s="1611">
        <v>0.8075</v>
      </c>
      <c r="E158" s="1611">
        <v>0.8075</v>
      </c>
      <c r="F158" s="1611">
        <v>0.8075</v>
      </c>
      <c r="G158" s="1611">
        <v>0.8075</v>
      </c>
      <c r="H158" s="1611">
        <v>0.8075</v>
      </c>
      <c r="I158" s="1611">
        <v>0.7218</v>
      </c>
      <c r="J158" s="1611">
        <v>0.7218</v>
      </c>
      <c r="K158" s="1611">
        <v>0.7218</v>
      </c>
      <c r="L158" s="1611">
        <v>0.7218</v>
      </c>
      <c r="M158" s="1611">
        <v>0.7218</v>
      </c>
    </row>
    <row r="159" spans="1:13">
      <c r="A159" s="1602">
        <v>5.5</v>
      </c>
      <c r="B159" s="1611">
        <v>0.90290000000000004</v>
      </c>
      <c r="C159" s="1611">
        <v>0.90290000000000004</v>
      </c>
      <c r="D159" s="1611">
        <v>0.80469999999999997</v>
      </c>
      <c r="E159" s="1611">
        <v>0.80469999999999997</v>
      </c>
      <c r="F159" s="1611">
        <v>0.80469999999999997</v>
      </c>
      <c r="G159" s="1611">
        <v>0.80469999999999997</v>
      </c>
      <c r="H159" s="1611">
        <v>0.80469999999999997</v>
      </c>
      <c r="I159" s="1611">
        <v>0.71840000000000004</v>
      </c>
      <c r="J159" s="1611">
        <v>0.71840000000000004</v>
      </c>
      <c r="K159" s="1611">
        <v>0.71840000000000004</v>
      </c>
      <c r="L159" s="1611">
        <v>0.71840000000000004</v>
      </c>
      <c r="M159" s="1611">
        <v>0.71840000000000004</v>
      </c>
    </row>
    <row r="160" spans="1:13">
      <c r="A160" s="1602">
        <v>5.6</v>
      </c>
      <c r="B160" s="1611">
        <v>0.90010000000000001</v>
      </c>
      <c r="C160" s="1611">
        <v>0.90010000000000001</v>
      </c>
      <c r="D160" s="1611">
        <v>0.80200000000000005</v>
      </c>
      <c r="E160" s="1611">
        <v>0.80200000000000005</v>
      </c>
      <c r="F160" s="1611">
        <v>0.80200000000000005</v>
      </c>
      <c r="G160" s="1611">
        <v>0.80200000000000005</v>
      </c>
      <c r="H160" s="1611">
        <v>0.80200000000000005</v>
      </c>
      <c r="I160" s="1611">
        <v>0.71509999999999996</v>
      </c>
      <c r="J160" s="1611">
        <v>0.71509999999999996</v>
      </c>
      <c r="K160" s="1611">
        <v>0.71509999999999996</v>
      </c>
      <c r="L160" s="1611">
        <v>0.71509999999999996</v>
      </c>
      <c r="M160" s="1611">
        <v>0.71509999999999996</v>
      </c>
    </row>
    <row r="161" spans="1:13">
      <c r="A161" s="1625">
        <v>5.7</v>
      </c>
      <c r="B161" s="1611">
        <v>0.89749999999999996</v>
      </c>
      <c r="C161" s="1611">
        <v>0.89749999999999996</v>
      </c>
      <c r="D161" s="1611">
        <v>0.79930000000000001</v>
      </c>
      <c r="E161" s="1611">
        <v>0.79930000000000001</v>
      </c>
      <c r="F161" s="1611">
        <v>0.79930000000000001</v>
      </c>
      <c r="G161" s="1611">
        <v>0.79930000000000001</v>
      </c>
      <c r="H161" s="1611">
        <v>0.79930000000000001</v>
      </c>
      <c r="I161" s="1611">
        <v>0.71189999999999998</v>
      </c>
      <c r="J161" s="1611">
        <v>0.71189999999999998</v>
      </c>
      <c r="K161" s="1611">
        <v>0.71189999999999998</v>
      </c>
      <c r="L161" s="1611">
        <v>0.71189999999999998</v>
      </c>
      <c r="M161" s="1611">
        <v>0.71189999999999998</v>
      </c>
    </row>
    <row r="162" spans="1:13">
      <c r="A162" s="1602">
        <v>5.8</v>
      </c>
      <c r="B162" s="1611">
        <v>0.89500000000000002</v>
      </c>
      <c r="C162" s="1611">
        <v>0.89500000000000002</v>
      </c>
      <c r="D162" s="1611">
        <v>0.79679999999999995</v>
      </c>
      <c r="E162" s="1611">
        <v>0.79679999999999995</v>
      </c>
      <c r="F162" s="1611">
        <v>0.79679999999999995</v>
      </c>
      <c r="G162" s="1611">
        <v>0.79679999999999995</v>
      </c>
      <c r="H162" s="1611">
        <v>0.79679999999999995</v>
      </c>
      <c r="I162" s="1611">
        <v>0.70879999999999999</v>
      </c>
      <c r="J162" s="1611">
        <v>0.70879999999999999</v>
      </c>
      <c r="K162" s="1611">
        <v>0.70879999999999999</v>
      </c>
      <c r="L162" s="1611">
        <v>0.70879999999999999</v>
      </c>
      <c r="M162" s="1611">
        <v>0.70879999999999999</v>
      </c>
    </row>
    <row r="163" spans="1:13">
      <c r="A163" s="1602">
        <v>5.9</v>
      </c>
      <c r="B163" s="1611">
        <v>0.89259999999999995</v>
      </c>
      <c r="C163" s="1611">
        <v>0.89259999999999995</v>
      </c>
      <c r="D163" s="1611">
        <v>0.7944</v>
      </c>
      <c r="E163" s="1611">
        <v>0.7944</v>
      </c>
      <c r="F163" s="1611">
        <v>0.7944</v>
      </c>
      <c r="G163" s="1611">
        <v>0.7944</v>
      </c>
      <c r="H163" s="1611">
        <v>0.7944</v>
      </c>
      <c r="I163" s="1611">
        <v>0.70579999999999998</v>
      </c>
      <c r="J163" s="1611">
        <v>0.70579999999999998</v>
      </c>
      <c r="K163" s="1611">
        <v>0.70579999999999998</v>
      </c>
      <c r="L163" s="1611">
        <v>0.70579999999999998</v>
      </c>
      <c r="M163" s="1611">
        <v>0.70579999999999998</v>
      </c>
    </row>
    <row r="164" spans="1:13">
      <c r="A164" s="1602">
        <v>6</v>
      </c>
      <c r="B164" s="1611">
        <v>0.89029999999999998</v>
      </c>
      <c r="C164" s="1611">
        <v>0.89029999999999998</v>
      </c>
      <c r="D164" s="1611">
        <v>0.79200000000000004</v>
      </c>
      <c r="E164" s="1611">
        <v>0.79200000000000004</v>
      </c>
      <c r="F164" s="1611">
        <v>0.79200000000000004</v>
      </c>
      <c r="G164" s="1611">
        <v>0.79200000000000004</v>
      </c>
      <c r="H164" s="1611">
        <v>0.79200000000000004</v>
      </c>
      <c r="I164" s="1611">
        <v>0.70289999999999997</v>
      </c>
      <c r="J164" s="1611">
        <v>0.70289999999999997</v>
      </c>
      <c r="K164" s="1611">
        <v>0.70289999999999997</v>
      </c>
      <c r="L164" s="1611">
        <v>0.70289999999999997</v>
      </c>
      <c r="M164" s="1611">
        <v>0.70289999999999997</v>
      </c>
    </row>
    <row r="165" spans="1:13">
      <c r="A165" s="1602">
        <v>6.1</v>
      </c>
      <c r="B165" s="1611">
        <v>0.8881</v>
      </c>
      <c r="C165" s="1611">
        <v>0.8881</v>
      </c>
      <c r="D165" s="1611">
        <v>0.78979999999999995</v>
      </c>
      <c r="E165" s="1611">
        <v>0.78979999999999995</v>
      </c>
      <c r="F165" s="1611">
        <v>0.78979999999999995</v>
      </c>
      <c r="G165" s="1611">
        <v>0.78979999999999995</v>
      </c>
      <c r="H165" s="1611">
        <v>0.78979999999999995</v>
      </c>
      <c r="I165" s="1611">
        <v>0.70009999999999994</v>
      </c>
      <c r="J165" s="1611">
        <v>0.70009999999999994</v>
      </c>
      <c r="K165" s="1611">
        <v>0.70009999999999994</v>
      </c>
      <c r="L165" s="1611">
        <v>0.70009999999999994</v>
      </c>
      <c r="M165" s="1611">
        <v>0.70009999999999994</v>
      </c>
    </row>
    <row r="166" spans="1:13">
      <c r="A166" s="1602">
        <v>6.2</v>
      </c>
      <c r="B166" s="1611">
        <v>0.88600000000000001</v>
      </c>
      <c r="C166" s="1611">
        <v>0.88600000000000001</v>
      </c>
      <c r="D166" s="1611">
        <v>0.78759999999999997</v>
      </c>
      <c r="E166" s="1611">
        <v>0.78759999999999997</v>
      </c>
      <c r="F166" s="1611">
        <v>0.78759999999999997</v>
      </c>
      <c r="G166" s="1611">
        <v>0.78759999999999997</v>
      </c>
      <c r="H166" s="1611">
        <v>0.78759999999999997</v>
      </c>
      <c r="I166" s="1611">
        <v>0.69740000000000002</v>
      </c>
      <c r="J166" s="1611">
        <v>0.69740000000000002</v>
      </c>
      <c r="K166" s="1611">
        <v>0.69740000000000002</v>
      </c>
      <c r="L166" s="1611">
        <v>0.69740000000000002</v>
      </c>
      <c r="M166" s="1611">
        <v>0.69740000000000002</v>
      </c>
    </row>
    <row r="167" spans="1:13">
      <c r="A167" s="1602">
        <v>6.3</v>
      </c>
      <c r="B167" s="1611">
        <v>0.88390000000000002</v>
      </c>
      <c r="C167" s="1611">
        <v>0.88390000000000002</v>
      </c>
      <c r="D167" s="1611">
        <v>0.78549999999999998</v>
      </c>
      <c r="E167" s="1611">
        <v>0.78549999999999998</v>
      </c>
      <c r="F167" s="1611">
        <v>0.78549999999999998</v>
      </c>
      <c r="G167" s="1611">
        <v>0.78549999999999998</v>
      </c>
      <c r="H167" s="1611">
        <v>0.78549999999999998</v>
      </c>
      <c r="I167" s="1611">
        <v>0.69479999999999997</v>
      </c>
      <c r="J167" s="1611">
        <v>0.69479999999999997</v>
      </c>
      <c r="K167" s="1611">
        <v>0.69479999999999997</v>
      </c>
      <c r="L167" s="1611">
        <v>0.69479999999999997</v>
      </c>
      <c r="M167" s="1611">
        <v>0.69479999999999997</v>
      </c>
    </row>
    <row r="168" spans="1:13">
      <c r="A168" s="1602">
        <v>6.4</v>
      </c>
      <c r="B168" s="1611">
        <v>0.88190000000000002</v>
      </c>
      <c r="C168" s="1611">
        <v>0.88190000000000002</v>
      </c>
      <c r="D168" s="1611">
        <v>0.78339999999999999</v>
      </c>
      <c r="E168" s="1611">
        <v>0.78339999999999999</v>
      </c>
      <c r="F168" s="1611">
        <v>0.78339999999999999</v>
      </c>
      <c r="G168" s="1611">
        <v>0.78339999999999999</v>
      </c>
      <c r="H168" s="1611">
        <v>0.78339999999999999</v>
      </c>
      <c r="I168" s="1611">
        <v>0.69230000000000003</v>
      </c>
      <c r="J168" s="1611">
        <v>0.69230000000000003</v>
      </c>
      <c r="K168" s="1611">
        <v>0.69230000000000003</v>
      </c>
      <c r="L168" s="1611">
        <v>0.69230000000000003</v>
      </c>
      <c r="M168" s="1611">
        <v>0.69230000000000003</v>
      </c>
    </row>
    <row r="169" spans="1:13">
      <c r="A169" s="1602">
        <v>6.5</v>
      </c>
      <c r="B169" s="1611">
        <v>0.88</v>
      </c>
      <c r="C169" s="1611">
        <v>0.88</v>
      </c>
      <c r="D169" s="1611">
        <v>0.78139999999999998</v>
      </c>
      <c r="E169" s="1611">
        <v>0.78139999999999998</v>
      </c>
      <c r="F169" s="1611">
        <v>0.78139999999999998</v>
      </c>
      <c r="G169" s="1611">
        <v>0.78139999999999998</v>
      </c>
      <c r="H169" s="1611">
        <v>0.78139999999999998</v>
      </c>
      <c r="I169" s="1611">
        <v>0.68989999999999996</v>
      </c>
      <c r="J169" s="1611">
        <v>0.68989999999999996</v>
      </c>
      <c r="K169" s="1611">
        <v>0.68989999999999996</v>
      </c>
      <c r="L169" s="1611">
        <v>0.68989999999999996</v>
      </c>
      <c r="M169" s="1611">
        <v>0.68989999999999996</v>
      </c>
    </row>
    <row r="170" spans="1:13">
      <c r="A170" s="1602">
        <v>6.6</v>
      </c>
      <c r="B170" s="1611">
        <v>0.87809999999999999</v>
      </c>
      <c r="C170" s="1611">
        <v>0.87809999999999999</v>
      </c>
      <c r="D170" s="1611">
        <v>0.77949999999999997</v>
      </c>
      <c r="E170" s="1611">
        <v>0.77949999999999997</v>
      </c>
      <c r="F170" s="1611">
        <v>0.77949999999999997</v>
      </c>
      <c r="G170" s="1611">
        <v>0.77949999999999997</v>
      </c>
      <c r="H170" s="1611">
        <v>0.77949999999999997</v>
      </c>
      <c r="I170" s="1611">
        <v>0.68759999999999999</v>
      </c>
      <c r="J170" s="1611">
        <v>0.68759999999999999</v>
      </c>
      <c r="K170" s="1611">
        <v>0.68759999999999999</v>
      </c>
      <c r="L170" s="1611">
        <v>0.68759999999999999</v>
      </c>
      <c r="M170" s="1611">
        <v>0.68759999999999999</v>
      </c>
    </row>
    <row r="171" spans="1:13">
      <c r="A171" s="1602">
        <v>6.7</v>
      </c>
      <c r="B171" s="1611">
        <v>0.87629999999999997</v>
      </c>
      <c r="C171" s="1611">
        <v>0.87629999999999997</v>
      </c>
      <c r="D171" s="1611">
        <v>0.77759999999999996</v>
      </c>
      <c r="E171" s="1611">
        <v>0.77759999999999996</v>
      </c>
      <c r="F171" s="1611">
        <v>0.77759999999999996</v>
      </c>
      <c r="G171" s="1611">
        <v>0.77759999999999996</v>
      </c>
      <c r="H171" s="1611">
        <v>0.77759999999999996</v>
      </c>
      <c r="I171" s="1611">
        <v>0.68530000000000002</v>
      </c>
      <c r="J171" s="1611">
        <v>0.68530000000000002</v>
      </c>
      <c r="K171" s="1611">
        <v>0.68530000000000002</v>
      </c>
      <c r="L171" s="1611">
        <v>0.68530000000000002</v>
      </c>
      <c r="M171" s="1611">
        <v>0.68530000000000002</v>
      </c>
    </row>
    <row r="172" spans="1:13">
      <c r="A172" s="1602">
        <v>6.8</v>
      </c>
      <c r="B172" s="1611">
        <v>0.87450000000000006</v>
      </c>
      <c r="C172" s="1611">
        <v>0.87450000000000006</v>
      </c>
      <c r="D172" s="1611">
        <v>0.77569999999999995</v>
      </c>
      <c r="E172" s="1611">
        <v>0.77569999999999995</v>
      </c>
      <c r="F172" s="1611">
        <v>0.77569999999999995</v>
      </c>
      <c r="G172" s="1611">
        <v>0.77569999999999995</v>
      </c>
      <c r="H172" s="1611">
        <v>0.77569999999999995</v>
      </c>
      <c r="I172" s="1611">
        <v>0.68310000000000004</v>
      </c>
      <c r="J172" s="1611">
        <v>0.68310000000000004</v>
      </c>
      <c r="K172" s="1611">
        <v>0.68310000000000004</v>
      </c>
      <c r="L172" s="1611">
        <v>0.68310000000000004</v>
      </c>
      <c r="M172" s="1611">
        <v>0.68310000000000004</v>
      </c>
    </row>
    <row r="173" spans="1:13">
      <c r="A173" s="1602">
        <v>6.9</v>
      </c>
      <c r="B173" s="1611">
        <v>0.87280000000000002</v>
      </c>
      <c r="C173" s="1611">
        <v>0.87280000000000002</v>
      </c>
      <c r="D173" s="1611">
        <v>0.77390000000000003</v>
      </c>
      <c r="E173" s="1611">
        <v>0.77390000000000003</v>
      </c>
      <c r="F173" s="1611">
        <v>0.77390000000000003</v>
      </c>
      <c r="G173" s="1611">
        <v>0.77390000000000003</v>
      </c>
      <c r="H173" s="1611">
        <v>0.77390000000000003</v>
      </c>
      <c r="I173" s="1611">
        <v>0.68089999999999995</v>
      </c>
      <c r="J173" s="1611">
        <v>0.68089999999999995</v>
      </c>
      <c r="K173" s="1611">
        <v>0.68089999999999995</v>
      </c>
      <c r="L173" s="1611">
        <v>0.68089999999999995</v>
      </c>
      <c r="M173" s="1611">
        <v>0.68089999999999995</v>
      </c>
    </row>
    <row r="174" spans="1:13">
      <c r="A174" s="1602">
        <v>7</v>
      </c>
      <c r="B174" s="1611">
        <v>0.87109999999999999</v>
      </c>
      <c r="C174" s="1611">
        <v>0.87109999999999999</v>
      </c>
      <c r="D174" s="1611">
        <v>0.77210000000000001</v>
      </c>
      <c r="E174" s="1611">
        <v>0.77210000000000001</v>
      </c>
      <c r="F174" s="1611">
        <v>0.77210000000000001</v>
      </c>
      <c r="G174" s="1611">
        <v>0.77210000000000001</v>
      </c>
      <c r="H174" s="1611">
        <v>0.77210000000000001</v>
      </c>
      <c r="I174" s="1611">
        <v>0.67879999999999996</v>
      </c>
      <c r="J174" s="1611">
        <v>0.67879999999999996</v>
      </c>
      <c r="K174" s="1611">
        <v>0.67879999999999996</v>
      </c>
      <c r="L174" s="1611">
        <v>0.67879999999999996</v>
      </c>
      <c r="M174" s="1611">
        <v>0.67879999999999996</v>
      </c>
    </row>
    <row r="175" spans="1:13">
      <c r="A175" s="1602">
        <v>7.1</v>
      </c>
      <c r="B175" s="1611">
        <v>0.86939999999999995</v>
      </c>
      <c r="C175" s="1611">
        <v>0.86939999999999995</v>
      </c>
      <c r="D175" s="1611">
        <v>0.77039999999999997</v>
      </c>
      <c r="E175" s="1611">
        <v>0.77039999999999997</v>
      </c>
      <c r="F175" s="1611">
        <v>0.77039999999999997</v>
      </c>
      <c r="G175" s="1611">
        <v>0.77039999999999997</v>
      </c>
      <c r="H175" s="1611">
        <v>0.77039999999999997</v>
      </c>
      <c r="I175" s="1611">
        <v>0.67669999999999997</v>
      </c>
      <c r="J175" s="1611">
        <v>0.67669999999999997</v>
      </c>
      <c r="K175" s="1611">
        <v>0.67669999999999997</v>
      </c>
      <c r="L175" s="1611">
        <v>0.67669999999999997</v>
      </c>
      <c r="M175" s="1611">
        <v>0.67669999999999997</v>
      </c>
    </row>
    <row r="176" spans="1:13">
      <c r="A176" s="1602">
        <v>7.2</v>
      </c>
      <c r="B176" s="1611">
        <v>0.86770000000000003</v>
      </c>
      <c r="C176" s="1611">
        <v>0.86770000000000003</v>
      </c>
      <c r="D176" s="1611">
        <v>0.76870000000000005</v>
      </c>
      <c r="E176" s="1611">
        <v>0.76870000000000005</v>
      </c>
      <c r="F176" s="1611">
        <v>0.76870000000000005</v>
      </c>
      <c r="G176" s="1611">
        <v>0.76870000000000005</v>
      </c>
      <c r="H176" s="1611">
        <v>0.76870000000000005</v>
      </c>
      <c r="I176" s="1611">
        <v>0.67469999999999997</v>
      </c>
      <c r="J176" s="1611">
        <v>0.67469999999999997</v>
      </c>
      <c r="K176" s="1611">
        <v>0.67469999999999997</v>
      </c>
      <c r="L176" s="1611">
        <v>0.67469999999999997</v>
      </c>
      <c r="M176" s="1611">
        <v>0.67469999999999997</v>
      </c>
    </row>
    <row r="177" spans="1:13">
      <c r="A177" s="1602">
        <v>7.3</v>
      </c>
      <c r="B177" s="1611">
        <v>0.86609999999999998</v>
      </c>
      <c r="C177" s="1611">
        <v>0.86609999999999998</v>
      </c>
      <c r="D177" s="1611">
        <v>0.76700000000000002</v>
      </c>
      <c r="E177" s="1611">
        <v>0.76700000000000002</v>
      </c>
      <c r="F177" s="1611">
        <v>0.76700000000000002</v>
      </c>
      <c r="G177" s="1611">
        <v>0.76700000000000002</v>
      </c>
      <c r="H177" s="1611">
        <v>0.76700000000000002</v>
      </c>
      <c r="I177" s="1611">
        <v>0.67269999999999996</v>
      </c>
      <c r="J177" s="1611">
        <v>0.67269999999999996</v>
      </c>
      <c r="K177" s="1611">
        <v>0.67269999999999996</v>
      </c>
      <c r="L177" s="1611">
        <v>0.67269999999999996</v>
      </c>
      <c r="M177" s="1611">
        <v>0.67269999999999996</v>
      </c>
    </row>
    <row r="178" spans="1:13">
      <c r="A178" s="1602">
        <v>7.4</v>
      </c>
      <c r="B178" s="1611">
        <v>0.86450000000000005</v>
      </c>
      <c r="C178" s="1611">
        <v>0.86450000000000005</v>
      </c>
      <c r="D178" s="1611">
        <v>0.76529999999999998</v>
      </c>
      <c r="E178" s="1611">
        <v>0.76529999999999998</v>
      </c>
      <c r="F178" s="1611">
        <v>0.76529999999999998</v>
      </c>
      <c r="G178" s="1611">
        <v>0.76529999999999998</v>
      </c>
      <c r="H178" s="1611">
        <v>0.76529999999999998</v>
      </c>
      <c r="I178" s="1611">
        <v>0.67079999999999995</v>
      </c>
      <c r="J178" s="1611">
        <v>0.67079999999999995</v>
      </c>
      <c r="K178" s="1611">
        <v>0.67079999999999995</v>
      </c>
      <c r="L178" s="1611">
        <v>0.67079999999999995</v>
      </c>
      <c r="M178" s="1611">
        <v>0.67079999999999995</v>
      </c>
    </row>
    <row r="179" spans="1:13">
      <c r="A179" s="1602">
        <v>7.5</v>
      </c>
      <c r="B179" s="1611">
        <v>0.86299999999999999</v>
      </c>
      <c r="C179" s="1611">
        <v>0.86299999999999999</v>
      </c>
      <c r="D179" s="1611">
        <v>0.76359999999999995</v>
      </c>
      <c r="E179" s="1611">
        <v>0.76359999999999995</v>
      </c>
      <c r="F179" s="1611">
        <v>0.76359999999999995</v>
      </c>
      <c r="G179" s="1611">
        <v>0.76359999999999995</v>
      </c>
      <c r="H179" s="1611">
        <v>0.76359999999999995</v>
      </c>
      <c r="I179" s="1611">
        <v>0.66890000000000005</v>
      </c>
      <c r="J179" s="1611">
        <v>0.66890000000000005</v>
      </c>
      <c r="K179" s="1611">
        <v>0.66890000000000005</v>
      </c>
      <c r="L179" s="1611">
        <v>0.66890000000000005</v>
      </c>
      <c r="M179" s="1611">
        <v>0.66890000000000005</v>
      </c>
    </row>
    <row r="180" spans="1:13">
      <c r="A180" s="1602">
        <v>7.6</v>
      </c>
      <c r="B180" s="1611">
        <v>0.86150000000000004</v>
      </c>
      <c r="C180" s="1611">
        <v>0.86150000000000004</v>
      </c>
      <c r="D180" s="1611">
        <v>0.76200000000000001</v>
      </c>
      <c r="E180" s="1611">
        <v>0.76200000000000001</v>
      </c>
      <c r="F180" s="1611">
        <v>0.76200000000000001</v>
      </c>
      <c r="G180" s="1611">
        <v>0.76200000000000001</v>
      </c>
      <c r="H180" s="1611">
        <v>0.76200000000000001</v>
      </c>
      <c r="I180" s="1611">
        <v>0.66700000000000004</v>
      </c>
      <c r="J180" s="1611">
        <v>0.66700000000000004</v>
      </c>
      <c r="K180" s="1611">
        <v>0.66700000000000004</v>
      </c>
      <c r="L180" s="1611">
        <v>0.66700000000000004</v>
      </c>
      <c r="M180" s="1611">
        <v>0.66700000000000004</v>
      </c>
    </row>
    <row r="181" spans="1:13">
      <c r="A181" s="1602">
        <v>7.7</v>
      </c>
      <c r="B181" s="1611">
        <v>0.86</v>
      </c>
      <c r="C181" s="1611">
        <v>0.86</v>
      </c>
      <c r="D181" s="1611">
        <v>0.76039999999999996</v>
      </c>
      <c r="E181" s="1611">
        <v>0.76039999999999996</v>
      </c>
      <c r="F181" s="1611">
        <v>0.76039999999999996</v>
      </c>
      <c r="G181" s="1611">
        <v>0.76039999999999996</v>
      </c>
      <c r="H181" s="1611">
        <v>0.76039999999999996</v>
      </c>
      <c r="I181" s="1611">
        <v>0.66510000000000002</v>
      </c>
      <c r="J181" s="1611">
        <v>0.66510000000000002</v>
      </c>
      <c r="K181" s="1611">
        <v>0.66510000000000002</v>
      </c>
      <c r="L181" s="1611">
        <v>0.66510000000000002</v>
      </c>
      <c r="M181" s="1611">
        <v>0.66510000000000002</v>
      </c>
    </row>
    <row r="182" spans="1:13">
      <c r="A182" s="1602">
        <v>7.8</v>
      </c>
      <c r="B182" s="1611">
        <v>0.85850000000000004</v>
      </c>
      <c r="C182" s="1611">
        <v>0.85850000000000004</v>
      </c>
      <c r="D182" s="1611">
        <v>0.75880000000000003</v>
      </c>
      <c r="E182" s="1611">
        <v>0.75880000000000003</v>
      </c>
      <c r="F182" s="1611">
        <v>0.75880000000000003</v>
      </c>
      <c r="G182" s="1611">
        <v>0.75880000000000003</v>
      </c>
      <c r="H182" s="1611">
        <v>0.75880000000000003</v>
      </c>
      <c r="I182" s="1611">
        <v>0.6633</v>
      </c>
      <c r="J182" s="1611">
        <v>0.6633</v>
      </c>
      <c r="K182" s="1611">
        <v>0.6633</v>
      </c>
      <c r="L182" s="1611">
        <v>0.6633</v>
      </c>
      <c r="M182" s="1611">
        <v>0.6633</v>
      </c>
    </row>
    <row r="183" spans="1:13">
      <c r="A183" s="1602">
        <v>7.9</v>
      </c>
      <c r="B183" s="1611">
        <v>0.85699999999999998</v>
      </c>
      <c r="C183" s="1611">
        <v>0.85699999999999998</v>
      </c>
      <c r="D183" s="1611">
        <v>0.75719999999999998</v>
      </c>
      <c r="E183" s="1611">
        <v>0.75719999999999998</v>
      </c>
      <c r="F183" s="1611">
        <v>0.75719999999999998</v>
      </c>
      <c r="G183" s="1611">
        <v>0.75719999999999998</v>
      </c>
      <c r="H183" s="1611">
        <v>0.75719999999999998</v>
      </c>
      <c r="I183" s="1611">
        <v>0.66149999999999998</v>
      </c>
      <c r="J183" s="1611">
        <v>0.66149999999999998</v>
      </c>
      <c r="K183" s="1611">
        <v>0.66149999999999998</v>
      </c>
      <c r="L183" s="1611">
        <v>0.66149999999999998</v>
      </c>
      <c r="M183" s="1611">
        <v>0.66149999999999998</v>
      </c>
    </row>
    <row r="184" spans="1:13">
      <c r="A184" s="1602">
        <v>8</v>
      </c>
      <c r="B184" s="1611">
        <v>0.85550000000000004</v>
      </c>
      <c r="C184" s="1611">
        <v>0.85550000000000004</v>
      </c>
      <c r="D184" s="1611">
        <v>0.75570000000000004</v>
      </c>
      <c r="E184" s="1611">
        <v>0.75570000000000004</v>
      </c>
      <c r="F184" s="1611">
        <v>0.75570000000000004</v>
      </c>
      <c r="G184" s="1611">
        <v>0.75570000000000004</v>
      </c>
      <c r="H184" s="1611">
        <v>0.75570000000000004</v>
      </c>
      <c r="I184" s="1611">
        <v>0.65969999999999995</v>
      </c>
      <c r="J184" s="1611">
        <v>0.65969999999999995</v>
      </c>
      <c r="K184" s="1611">
        <v>0.65969999999999995</v>
      </c>
      <c r="L184" s="1611">
        <v>0.65969999999999995</v>
      </c>
      <c r="M184" s="1611">
        <v>0.65969999999999995</v>
      </c>
    </row>
    <row r="185" spans="1:13">
      <c r="A185" s="1602">
        <v>8.1</v>
      </c>
      <c r="B185" s="1611">
        <v>0.85399999999999998</v>
      </c>
      <c r="C185" s="1611">
        <v>0.85399999999999998</v>
      </c>
      <c r="D185" s="1611">
        <v>0.75419999999999998</v>
      </c>
      <c r="E185" s="1611">
        <v>0.75419999999999998</v>
      </c>
      <c r="F185" s="1611">
        <v>0.75419999999999998</v>
      </c>
      <c r="G185" s="1611">
        <v>0.75419999999999998</v>
      </c>
      <c r="H185" s="1611">
        <v>0.75419999999999998</v>
      </c>
      <c r="I185" s="1611">
        <v>0.65800000000000003</v>
      </c>
      <c r="J185" s="1611">
        <v>0.65800000000000003</v>
      </c>
      <c r="K185" s="1611">
        <v>0.65800000000000003</v>
      </c>
      <c r="L185" s="1611">
        <v>0.65800000000000003</v>
      </c>
      <c r="M185" s="1611">
        <v>0.65800000000000003</v>
      </c>
    </row>
    <row r="186" spans="1:13">
      <c r="A186" s="1602">
        <v>8.1999999999999993</v>
      </c>
      <c r="B186" s="1611">
        <v>0.85250000000000004</v>
      </c>
      <c r="C186" s="1611">
        <v>0.85250000000000004</v>
      </c>
      <c r="D186" s="1611">
        <v>0.75270000000000004</v>
      </c>
      <c r="E186" s="1611">
        <v>0.75270000000000004</v>
      </c>
      <c r="F186" s="1611">
        <v>0.75270000000000004</v>
      </c>
      <c r="G186" s="1611">
        <v>0.75270000000000004</v>
      </c>
      <c r="H186" s="1611">
        <v>0.75270000000000004</v>
      </c>
      <c r="I186" s="1611">
        <v>0.65629999999999999</v>
      </c>
      <c r="J186" s="1611">
        <v>0.65629999999999999</v>
      </c>
      <c r="K186" s="1611">
        <v>0.65629999999999999</v>
      </c>
      <c r="L186" s="1611">
        <v>0.65629999999999999</v>
      </c>
      <c r="M186" s="1611">
        <v>0.65629999999999999</v>
      </c>
    </row>
    <row r="187" spans="1:13">
      <c r="A187" s="1602">
        <v>8.3000000000000007</v>
      </c>
      <c r="B187" s="1611">
        <v>0.85109999999999997</v>
      </c>
      <c r="C187" s="1611">
        <v>0.85109999999999997</v>
      </c>
      <c r="D187" s="1611">
        <v>0.75119999999999998</v>
      </c>
      <c r="E187" s="1611">
        <v>0.75119999999999998</v>
      </c>
      <c r="F187" s="1611">
        <v>0.75119999999999998</v>
      </c>
      <c r="G187" s="1611">
        <v>0.75119999999999998</v>
      </c>
      <c r="H187" s="1611">
        <v>0.75119999999999998</v>
      </c>
      <c r="I187" s="1611">
        <v>0.65459999999999996</v>
      </c>
      <c r="J187" s="1611">
        <v>0.65459999999999996</v>
      </c>
      <c r="K187" s="1611">
        <v>0.65459999999999996</v>
      </c>
      <c r="L187" s="1611">
        <v>0.65459999999999996</v>
      </c>
      <c r="M187" s="1611">
        <v>0.65459999999999996</v>
      </c>
    </row>
    <row r="188" spans="1:13">
      <c r="A188" s="1602">
        <v>8.4</v>
      </c>
      <c r="B188" s="1611">
        <v>0.84970000000000001</v>
      </c>
      <c r="C188" s="1611">
        <v>0.84970000000000001</v>
      </c>
      <c r="D188" s="1611">
        <v>0.74970000000000003</v>
      </c>
      <c r="E188" s="1611">
        <v>0.74970000000000003</v>
      </c>
      <c r="F188" s="1611">
        <v>0.74970000000000003</v>
      </c>
      <c r="G188" s="1611">
        <v>0.74970000000000003</v>
      </c>
      <c r="H188" s="1611">
        <v>0.74970000000000003</v>
      </c>
      <c r="I188" s="1611">
        <v>0.65300000000000002</v>
      </c>
      <c r="J188" s="1611">
        <v>0.65300000000000002</v>
      </c>
      <c r="K188" s="1611">
        <v>0.65300000000000002</v>
      </c>
      <c r="L188" s="1611">
        <v>0.65300000000000002</v>
      </c>
      <c r="M188" s="1611">
        <v>0.65300000000000002</v>
      </c>
    </row>
    <row r="189" spans="1:13">
      <c r="A189" s="1602">
        <v>8.5</v>
      </c>
      <c r="B189" s="1611">
        <v>0.84830000000000005</v>
      </c>
      <c r="C189" s="1611">
        <v>0.84830000000000005</v>
      </c>
      <c r="D189" s="1611">
        <v>0.74819999999999998</v>
      </c>
      <c r="E189" s="1611">
        <v>0.74819999999999998</v>
      </c>
      <c r="F189" s="1611">
        <v>0.74819999999999998</v>
      </c>
      <c r="G189" s="1611">
        <v>0.74819999999999998</v>
      </c>
      <c r="H189" s="1611">
        <v>0.74819999999999998</v>
      </c>
      <c r="I189" s="1611">
        <v>0.65139999999999998</v>
      </c>
      <c r="J189" s="1611">
        <v>0.65139999999999998</v>
      </c>
      <c r="K189" s="1611">
        <v>0.65139999999999998</v>
      </c>
      <c r="L189" s="1611">
        <v>0.65139999999999998</v>
      </c>
      <c r="M189" s="1611">
        <v>0.65139999999999998</v>
      </c>
    </row>
    <row r="190" spans="1:13">
      <c r="A190" s="1602">
        <v>8.6</v>
      </c>
      <c r="B190" s="1611">
        <v>0.84689999999999999</v>
      </c>
      <c r="C190" s="1611">
        <v>0.84689999999999999</v>
      </c>
      <c r="D190" s="1611">
        <v>0.74670000000000003</v>
      </c>
      <c r="E190" s="1611">
        <v>0.74670000000000003</v>
      </c>
      <c r="F190" s="1611">
        <v>0.74670000000000003</v>
      </c>
      <c r="G190" s="1611">
        <v>0.74670000000000003</v>
      </c>
      <c r="H190" s="1611">
        <v>0.74670000000000003</v>
      </c>
      <c r="I190" s="1611">
        <v>0.64980000000000004</v>
      </c>
      <c r="J190" s="1611">
        <v>0.64980000000000004</v>
      </c>
      <c r="K190" s="1611">
        <v>0.64980000000000004</v>
      </c>
      <c r="L190" s="1611">
        <v>0.64980000000000004</v>
      </c>
      <c r="M190" s="1611">
        <v>0.64980000000000004</v>
      </c>
    </row>
    <row r="191" spans="1:13">
      <c r="A191" s="1602">
        <v>8.6999999999999993</v>
      </c>
      <c r="B191" s="1611">
        <v>0.84550000000000003</v>
      </c>
      <c r="C191" s="1611">
        <v>0.84550000000000003</v>
      </c>
      <c r="D191" s="1611">
        <v>0.74519999999999997</v>
      </c>
      <c r="E191" s="1611">
        <v>0.74519999999999997</v>
      </c>
      <c r="F191" s="1611">
        <v>0.74519999999999997</v>
      </c>
      <c r="G191" s="1611">
        <v>0.74519999999999997</v>
      </c>
      <c r="H191" s="1611">
        <v>0.74519999999999997</v>
      </c>
      <c r="I191" s="1611">
        <v>0.6482</v>
      </c>
      <c r="J191" s="1611">
        <v>0.6482</v>
      </c>
      <c r="K191" s="1611">
        <v>0.6482</v>
      </c>
      <c r="L191" s="1611">
        <v>0.6482</v>
      </c>
      <c r="M191" s="1611">
        <v>0.6482</v>
      </c>
    </row>
    <row r="192" spans="1:13">
      <c r="A192" s="1602">
        <v>8.8000000000000007</v>
      </c>
      <c r="B192" s="1611">
        <v>0.84409999999999996</v>
      </c>
      <c r="C192" s="1611">
        <v>0.84409999999999996</v>
      </c>
      <c r="D192" s="1611">
        <v>0.74370000000000003</v>
      </c>
      <c r="E192" s="1611">
        <v>0.74370000000000003</v>
      </c>
      <c r="F192" s="1611">
        <v>0.74370000000000003</v>
      </c>
      <c r="G192" s="1611">
        <v>0.74370000000000003</v>
      </c>
      <c r="H192" s="1611">
        <v>0.74370000000000003</v>
      </c>
      <c r="I192" s="1611">
        <v>0.64659999999999995</v>
      </c>
      <c r="J192" s="1611">
        <v>0.64659999999999995</v>
      </c>
      <c r="K192" s="1611">
        <v>0.64659999999999995</v>
      </c>
      <c r="L192" s="1611">
        <v>0.64659999999999995</v>
      </c>
      <c r="M192" s="1611">
        <v>0.64659999999999995</v>
      </c>
    </row>
    <row r="193" spans="1:13">
      <c r="A193" s="1602">
        <v>8.9</v>
      </c>
      <c r="B193" s="1611">
        <v>0.84279999999999999</v>
      </c>
      <c r="C193" s="1611">
        <v>0.84279999999999999</v>
      </c>
      <c r="D193" s="1611">
        <v>0.74219999999999997</v>
      </c>
      <c r="E193" s="1611">
        <v>0.74219999999999997</v>
      </c>
      <c r="F193" s="1611">
        <v>0.74219999999999997</v>
      </c>
      <c r="G193" s="1611">
        <v>0.74219999999999997</v>
      </c>
      <c r="H193" s="1611">
        <v>0.74219999999999997</v>
      </c>
      <c r="I193" s="1611">
        <v>0.64500000000000002</v>
      </c>
      <c r="J193" s="1611">
        <v>0.64500000000000002</v>
      </c>
      <c r="K193" s="1611">
        <v>0.64500000000000002</v>
      </c>
      <c r="L193" s="1611">
        <v>0.64500000000000002</v>
      </c>
      <c r="M193" s="1611">
        <v>0.64500000000000002</v>
      </c>
    </row>
    <row r="194" spans="1:13">
      <c r="A194" s="1625">
        <v>9</v>
      </c>
      <c r="B194" s="1611">
        <v>0.84150000000000003</v>
      </c>
      <c r="C194" s="1611">
        <v>0.84150000000000003</v>
      </c>
      <c r="D194" s="1611">
        <v>0.74070000000000003</v>
      </c>
      <c r="E194" s="1611">
        <v>0.74070000000000003</v>
      </c>
      <c r="F194" s="1611">
        <v>0.74070000000000003</v>
      </c>
      <c r="G194" s="1611">
        <v>0.74070000000000003</v>
      </c>
      <c r="H194" s="1611">
        <v>0.74070000000000003</v>
      </c>
      <c r="I194" s="1611">
        <v>0.64349999999999996</v>
      </c>
      <c r="J194" s="1611">
        <v>0.64349999999999996</v>
      </c>
      <c r="K194" s="1611">
        <v>0.64349999999999996</v>
      </c>
      <c r="L194" s="1611">
        <v>0.64349999999999996</v>
      </c>
      <c r="M194" s="1611">
        <v>0.64349999999999996</v>
      </c>
    </row>
    <row r="195" spans="1:13">
      <c r="A195" s="1625">
        <v>9.1</v>
      </c>
      <c r="B195" s="1611">
        <v>0.84019999999999995</v>
      </c>
      <c r="C195" s="1611">
        <v>0.84019999999999995</v>
      </c>
      <c r="D195" s="1611">
        <v>0.73919999999999997</v>
      </c>
      <c r="E195" s="1611">
        <v>0.73919999999999997</v>
      </c>
      <c r="F195" s="1611">
        <v>0.73919999999999997</v>
      </c>
      <c r="G195" s="1611">
        <v>0.73919999999999997</v>
      </c>
      <c r="H195" s="1611">
        <v>0.73919999999999997</v>
      </c>
      <c r="I195" s="1611">
        <v>0.64200000000000002</v>
      </c>
      <c r="J195" s="1611">
        <v>0.64200000000000002</v>
      </c>
      <c r="K195" s="1611">
        <v>0.64200000000000002</v>
      </c>
      <c r="L195" s="1611">
        <v>0.64200000000000002</v>
      </c>
      <c r="M195" s="1611">
        <v>0.64200000000000002</v>
      </c>
    </row>
    <row r="196" spans="1:13">
      <c r="A196" s="1625">
        <v>9.1999999999999993</v>
      </c>
      <c r="B196" s="1611">
        <v>0.83889999999999998</v>
      </c>
      <c r="C196" s="1611">
        <v>0.83889999999999998</v>
      </c>
      <c r="D196" s="1611">
        <v>0.73770000000000002</v>
      </c>
      <c r="E196" s="1611">
        <v>0.73770000000000002</v>
      </c>
      <c r="F196" s="1611">
        <v>0.73770000000000002</v>
      </c>
      <c r="G196" s="1611">
        <v>0.73770000000000002</v>
      </c>
      <c r="H196" s="1611">
        <v>0.73770000000000002</v>
      </c>
      <c r="I196" s="1611">
        <v>0.64059999999999995</v>
      </c>
      <c r="J196" s="1611">
        <v>0.64059999999999995</v>
      </c>
      <c r="K196" s="1611">
        <v>0.64059999999999995</v>
      </c>
      <c r="L196" s="1611">
        <v>0.64059999999999995</v>
      </c>
      <c r="M196" s="1611">
        <v>0.64059999999999995</v>
      </c>
    </row>
    <row r="197" spans="1:13">
      <c r="A197" s="1625">
        <v>9.3000000000000007</v>
      </c>
      <c r="B197" s="1611">
        <v>0.83760000000000001</v>
      </c>
      <c r="C197" s="1611">
        <v>0.83760000000000001</v>
      </c>
      <c r="D197" s="1611">
        <v>0.73629999999999995</v>
      </c>
      <c r="E197" s="1611">
        <v>0.73629999999999995</v>
      </c>
      <c r="F197" s="1611">
        <v>0.73629999999999995</v>
      </c>
      <c r="G197" s="1611">
        <v>0.73629999999999995</v>
      </c>
      <c r="H197" s="1611">
        <v>0.73629999999999995</v>
      </c>
      <c r="I197" s="1611">
        <v>0.63919999999999999</v>
      </c>
      <c r="J197" s="1611">
        <v>0.63919999999999999</v>
      </c>
      <c r="K197" s="1611">
        <v>0.63919999999999999</v>
      </c>
      <c r="L197" s="1611">
        <v>0.63919999999999999</v>
      </c>
      <c r="M197" s="1611">
        <v>0.63919999999999999</v>
      </c>
    </row>
    <row r="198" spans="1:13">
      <c r="A198" s="1625">
        <v>9.4</v>
      </c>
      <c r="B198" s="1611">
        <v>0.83630000000000004</v>
      </c>
      <c r="C198" s="1611">
        <v>0.83630000000000004</v>
      </c>
      <c r="D198" s="1611">
        <v>0.7349</v>
      </c>
      <c r="E198" s="1611">
        <v>0.7349</v>
      </c>
      <c r="F198" s="1611">
        <v>0.7349</v>
      </c>
      <c r="G198" s="1611">
        <v>0.7349</v>
      </c>
      <c r="H198" s="1611">
        <v>0.7349</v>
      </c>
      <c r="I198" s="1611">
        <v>0.63780000000000003</v>
      </c>
      <c r="J198" s="1611">
        <v>0.63780000000000003</v>
      </c>
      <c r="K198" s="1611">
        <v>0.63780000000000003</v>
      </c>
      <c r="L198" s="1611">
        <v>0.63780000000000003</v>
      </c>
      <c r="M198" s="1611">
        <v>0.63780000000000003</v>
      </c>
    </row>
    <row r="199" spans="1:13">
      <c r="A199" s="1625">
        <v>9.5</v>
      </c>
      <c r="B199" s="1611">
        <v>0.83499999999999996</v>
      </c>
      <c r="C199" s="1611">
        <v>0.83499999999999996</v>
      </c>
      <c r="D199" s="1611">
        <v>0.73350000000000004</v>
      </c>
      <c r="E199" s="1611">
        <v>0.73350000000000004</v>
      </c>
      <c r="F199" s="1611">
        <v>0.73350000000000004</v>
      </c>
      <c r="G199" s="1611">
        <v>0.73350000000000004</v>
      </c>
      <c r="H199" s="1611">
        <v>0.73350000000000004</v>
      </c>
      <c r="I199" s="1611">
        <v>0.63639999999999997</v>
      </c>
      <c r="J199" s="1611">
        <v>0.63639999999999997</v>
      </c>
      <c r="K199" s="1611">
        <v>0.63639999999999997</v>
      </c>
      <c r="L199" s="1611">
        <v>0.63639999999999997</v>
      </c>
      <c r="M199" s="1611">
        <v>0.63639999999999997</v>
      </c>
    </row>
    <row r="200" spans="1:13">
      <c r="A200" s="1625">
        <v>9.6</v>
      </c>
      <c r="B200" s="1611">
        <v>0.83379999999999999</v>
      </c>
      <c r="C200" s="1611">
        <v>0.83379999999999999</v>
      </c>
      <c r="D200" s="1611">
        <v>0.73209999999999997</v>
      </c>
      <c r="E200" s="1611">
        <v>0.73209999999999997</v>
      </c>
      <c r="F200" s="1611">
        <v>0.73209999999999997</v>
      </c>
      <c r="G200" s="1611">
        <v>0.73209999999999997</v>
      </c>
      <c r="H200" s="1611">
        <v>0.73209999999999997</v>
      </c>
      <c r="I200" s="1611">
        <v>0.63500000000000001</v>
      </c>
      <c r="J200" s="1611">
        <v>0.63500000000000001</v>
      </c>
      <c r="K200" s="1611">
        <v>0.63500000000000001</v>
      </c>
      <c r="L200" s="1611">
        <v>0.63500000000000001</v>
      </c>
      <c r="M200" s="1611">
        <v>0.63500000000000001</v>
      </c>
    </row>
    <row r="201" spans="1:13">
      <c r="A201" s="1625">
        <v>9.6999999999999993</v>
      </c>
      <c r="B201" s="1611">
        <v>0.83260000000000001</v>
      </c>
      <c r="C201" s="1611">
        <v>0.83260000000000001</v>
      </c>
      <c r="D201" s="1611">
        <v>0.73070000000000002</v>
      </c>
      <c r="E201" s="1611">
        <v>0.73070000000000002</v>
      </c>
      <c r="F201" s="1611">
        <v>0.73070000000000002</v>
      </c>
      <c r="G201" s="1611">
        <v>0.73070000000000002</v>
      </c>
      <c r="H201" s="1611">
        <v>0.73070000000000002</v>
      </c>
      <c r="I201" s="1611">
        <v>0.63360000000000005</v>
      </c>
      <c r="J201" s="1611">
        <v>0.63360000000000005</v>
      </c>
      <c r="K201" s="1611">
        <v>0.63360000000000005</v>
      </c>
      <c r="L201" s="1611">
        <v>0.63360000000000005</v>
      </c>
      <c r="M201" s="1611">
        <v>0.63360000000000005</v>
      </c>
    </row>
    <row r="202" spans="1:13">
      <c r="A202" s="1625">
        <v>9.8000000000000007</v>
      </c>
      <c r="B202" s="1611">
        <v>0.83140000000000003</v>
      </c>
      <c r="C202" s="1611">
        <v>0.83140000000000003</v>
      </c>
      <c r="D202" s="1611">
        <v>0.72929999999999995</v>
      </c>
      <c r="E202" s="1611">
        <v>0.72929999999999995</v>
      </c>
      <c r="F202" s="1611">
        <v>0.72929999999999995</v>
      </c>
      <c r="G202" s="1611">
        <v>0.72929999999999995</v>
      </c>
      <c r="H202" s="1611">
        <v>0.72929999999999995</v>
      </c>
      <c r="I202" s="1611">
        <v>0.63219999999999998</v>
      </c>
      <c r="J202" s="1611">
        <v>0.63219999999999998</v>
      </c>
      <c r="K202" s="1611">
        <v>0.63219999999999998</v>
      </c>
      <c r="L202" s="1611">
        <v>0.63219999999999998</v>
      </c>
      <c r="M202" s="1611">
        <v>0.63219999999999998</v>
      </c>
    </row>
    <row r="203" spans="1:13">
      <c r="A203" s="1625">
        <v>9.9</v>
      </c>
      <c r="B203" s="1611">
        <v>0.83020000000000005</v>
      </c>
      <c r="C203" s="1611">
        <v>0.83020000000000005</v>
      </c>
      <c r="D203" s="1611">
        <v>0.72799999999999998</v>
      </c>
      <c r="E203" s="1611">
        <v>0.72799999999999998</v>
      </c>
      <c r="F203" s="1611">
        <v>0.72799999999999998</v>
      </c>
      <c r="G203" s="1611">
        <v>0.72799999999999998</v>
      </c>
      <c r="H203" s="1611">
        <v>0.72799999999999998</v>
      </c>
      <c r="I203" s="1611">
        <v>0.63080000000000003</v>
      </c>
      <c r="J203" s="1611">
        <v>0.63080000000000003</v>
      </c>
      <c r="K203" s="1611">
        <v>0.63080000000000003</v>
      </c>
      <c r="L203" s="1611">
        <v>0.63080000000000003</v>
      </c>
      <c r="M203" s="1611">
        <v>0.63080000000000003</v>
      </c>
    </row>
    <row r="204" spans="1:13">
      <c r="A204" s="1625">
        <v>10</v>
      </c>
      <c r="B204" s="1611">
        <v>0.82899999999999996</v>
      </c>
      <c r="C204" s="1611">
        <v>0.82899999999999996</v>
      </c>
      <c r="D204" s="1611">
        <v>0.72670000000000001</v>
      </c>
      <c r="E204" s="1611">
        <v>0.72670000000000001</v>
      </c>
      <c r="F204" s="1611">
        <v>0.72670000000000001</v>
      </c>
      <c r="G204" s="1611">
        <v>0.72670000000000001</v>
      </c>
      <c r="H204" s="1611">
        <v>0.72670000000000001</v>
      </c>
      <c r="I204" s="1611">
        <v>0.62939999999999996</v>
      </c>
      <c r="J204" s="1611">
        <v>0.62939999999999996</v>
      </c>
      <c r="K204" s="1611">
        <v>0.62939999999999996</v>
      </c>
      <c r="L204" s="1611">
        <v>0.62939999999999996</v>
      </c>
      <c r="M204" s="1611">
        <v>0.62939999999999996</v>
      </c>
    </row>
    <row r="205" spans="1:13" ht="14.25">
      <c r="A205" s="1599" t="s">
        <v>2127</v>
      </c>
      <c r="B205" s="1600"/>
      <c r="C205" s="1600"/>
      <c r="D205" s="1600"/>
      <c r="E205" s="1600"/>
      <c r="F205" s="1600"/>
      <c r="G205" s="1600"/>
      <c r="H205" s="1600"/>
      <c r="I205" s="1600"/>
      <c r="J205" s="1600"/>
      <c r="K205" s="1600"/>
      <c r="L205" s="1600"/>
      <c r="M205" s="1600"/>
    </row>
    <row r="206" spans="1:13">
      <c r="A206" s="1602" t="s">
        <v>2117</v>
      </c>
      <c r="B206" s="1603" t="s">
        <v>1522</v>
      </c>
      <c r="C206" s="1603" t="s">
        <v>1523</v>
      </c>
      <c r="D206" s="1603" t="s">
        <v>1524</v>
      </c>
      <c r="E206" s="1603" t="s">
        <v>1525</v>
      </c>
      <c r="F206" s="1603" t="s">
        <v>1526</v>
      </c>
      <c r="G206" s="1603" t="s">
        <v>1527</v>
      </c>
      <c r="H206" s="1604" t="s">
        <v>1528</v>
      </c>
      <c r="I206" s="1604" t="s">
        <v>1529</v>
      </c>
      <c r="J206" s="1605" t="s">
        <v>1530</v>
      </c>
      <c r="K206" s="1605" t="s">
        <v>1531</v>
      </c>
      <c r="L206" s="1605" t="s">
        <v>1532</v>
      </c>
      <c r="M206" s="1605" t="s">
        <v>1533</v>
      </c>
    </row>
    <row r="207" spans="1:13">
      <c r="A207" s="1602">
        <v>0.1</v>
      </c>
      <c r="B207" s="1611">
        <v>12.172000000000001</v>
      </c>
      <c r="C207" s="1611">
        <v>12.172000000000001</v>
      </c>
      <c r="D207" s="1611">
        <v>12.375999999999999</v>
      </c>
      <c r="E207" s="1611">
        <v>12.375999999999999</v>
      </c>
      <c r="F207" s="1611">
        <v>12.375999999999999</v>
      </c>
      <c r="G207" s="1611">
        <v>12.375999999999999</v>
      </c>
      <c r="H207" s="1611">
        <v>12.375999999999999</v>
      </c>
      <c r="I207" s="1611">
        <v>11.071999999999999</v>
      </c>
      <c r="J207" s="1611">
        <v>11.071999999999999</v>
      </c>
      <c r="K207" s="1611">
        <v>11.071999999999999</v>
      </c>
      <c r="L207" s="1611">
        <v>11.071999999999999</v>
      </c>
      <c r="M207" s="1611">
        <v>11.071999999999999</v>
      </c>
    </row>
    <row r="208" spans="1:13">
      <c r="A208" s="1602">
        <v>0.2</v>
      </c>
      <c r="B208" s="1611">
        <v>6.0860000000000003</v>
      </c>
      <c r="C208" s="1611">
        <v>6.0860000000000003</v>
      </c>
      <c r="D208" s="1611">
        <v>6.1879999999999997</v>
      </c>
      <c r="E208" s="1611">
        <v>6.1879999999999997</v>
      </c>
      <c r="F208" s="1611">
        <v>6.1879999999999997</v>
      </c>
      <c r="G208" s="1611">
        <v>6.1879999999999997</v>
      </c>
      <c r="H208" s="1611">
        <v>6.1879999999999997</v>
      </c>
      <c r="I208" s="1611">
        <v>5.5359999999999996</v>
      </c>
      <c r="J208" s="1611">
        <v>5.5359999999999996</v>
      </c>
      <c r="K208" s="1611">
        <v>5.5359999999999996</v>
      </c>
      <c r="L208" s="1611">
        <v>5.5359999999999996</v>
      </c>
      <c r="M208" s="1611">
        <v>5.5359999999999996</v>
      </c>
    </row>
    <row r="209" spans="1:13">
      <c r="A209" s="1602">
        <v>0.3</v>
      </c>
      <c r="B209" s="1611">
        <v>4.0572999999999997</v>
      </c>
      <c r="C209" s="1611">
        <v>4.0572999999999997</v>
      </c>
      <c r="D209" s="1611">
        <v>4.1253000000000002</v>
      </c>
      <c r="E209" s="1611">
        <v>4.1253000000000002</v>
      </c>
      <c r="F209" s="1611">
        <v>4.1253000000000002</v>
      </c>
      <c r="G209" s="1611">
        <v>4.1253000000000002</v>
      </c>
      <c r="H209" s="1611">
        <v>4.1253000000000002</v>
      </c>
      <c r="I209" s="1611">
        <v>3.6907000000000001</v>
      </c>
      <c r="J209" s="1611">
        <v>3.6907000000000001</v>
      </c>
      <c r="K209" s="1611">
        <v>3.6907000000000001</v>
      </c>
      <c r="L209" s="1611">
        <v>3.6907000000000001</v>
      </c>
      <c r="M209" s="1611">
        <v>3.6907000000000001</v>
      </c>
    </row>
    <row r="210" spans="1:13">
      <c r="A210" s="1602">
        <v>0.4</v>
      </c>
      <c r="B210" s="1611">
        <v>3.0430000000000001</v>
      </c>
      <c r="C210" s="1611">
        <v>3.0430000000000001</v>
      </c>
      <c r="D210" s="1611">
        <v>3.0939999999999999</v>
      </c>
      <c r="E210" s="1611">
        <v>3.0939999999999999</v>
      </c>
      <c r="F210" s="1611">
        <v>3.0939999999999999</v>
      </c>
      <c r="G210" s="1611">
        <v>3.0939999999999999</v>
      </c>
      <c r="H210" s="1611">
        <v>3.0939999999999999</v>
      </c>
      <c r="I210" s="1611">
        <v>2.7679999999999998</v>
      </c>
      <c r="J210" s="1611">
        <v>2.7679999999999998</v>
      </c>
      <c r="K210" s="1611">
        <v>2.7679999999999998</v>
      </c>
      <c r="L210" s="1611">
        <v>2.7679999999999998</v>
      </c>
      <c r="M210" s="1611">
        <v>2.7679999999999998</v>
      </c>
    </row>
    <row r="211" spans="1:13">
      <c r="A211" s="1602">
        <v>0.5</v>
      </c>
      <c r="B211" s="1611">
        <v>2.4344000000000001</v>
      </c>
      <c r="C211" s="1611">
        <v>2.4344000000000001</v>
      </c>
      <c r="D211" s="1611">
        <v>2.4752000000000001</v>
      </c>
      <c r="E211" s="1611">
        <v>2.4752000000000001</v>
      </c>
      <c r="F211" s="1611">
        <v>2.4752000000000001</v>
      </c>
      <c r="G211" s="1611">
        <v>2.4752000000000001</v>
      </c>
      <c r="H211" s="1611">
        <v>2.4752000000000001</v>
      </c>
      <c r="I211" s="1611">
        <v>2.2143999999999999</v>
      </c>
      <c r="J211" s="1611">
        <v>2.2143999999999999</v>
      </c>
      <c r="K211" s="1611">
        <v>2.2143999999999999</v>
      </c>
      <c r="L211" s="1611">
        <v>2.2143999999999999</v>
      </c>
      <c r="M211" s="1611">
        <v>2.2143999999999999</v>
      </c>
    </row>
    <row r="212" spans="1:13">
      <c r="A212" s="1602">
        <v>0.6</v>
      </c>
      <c r="B212" s="1611">
        <v>2.0287000000000002</v>
      </c>
      <c r="C212" s="1611">
        <v>2.0287000000000002</v>
      </c>
      <c r="D212" s="1611">
        <v>2.0627</v>
      </c>
      <c r="E212" s="1611">
        <v>2.0627</v>
      </c>
      <c r="F212" s="1611">
        <v>2.0627</v>
      </c>
      <c r="G212" s="1611">
        <v>2.0627</v>
      </c>
      <c r="H212" s="1611">
        <v>2.0627</v>
      </c>
      <c r="I212" s="1611">
        <v>1.8452999999999999</v>
      </c>
      <c r="J212" s="1611">
        <v>1.8452999999999999</v>
      </c>
      <c r="K212" s="1611">
        <v>1.8452999999999999</v>
      </c>
      <c r="L212" s="1611">
        <v>1.8452999999999999</v>
      </c>
      <c r="M212" s="1611">
        <v>1.8452999999999999</v>
      </c>
    </row>
    <row r="213" spans="1:13">
      <c r="A213" s="1602">
        <v>0.7</v>
      </c>
      <c r="B213" s="1611">
        <v>1.7388999999999999</v>
      </c>
      <c r="C213" s="1611">
        <v>1.7388999999999999</v>
      </c>
      <c r="D213" s="1611">
        <v>1.768</v>
      </c>
      <c r="E213" s="1611">
        <v>1.768</v>
      </c>
      <c r="F213" s="1611">
        <v>1.768</v>
      </c>
      <c r="G213" s="1611">
        <v>1.768</v>
      </c>
      <c r="H213" s="1611">
        <v>1.768</v>
      </c>
      <c r="I213" s="1611">
        <v>1.5817000000000001</v>
      </c>
      <c r="J213" s="1611">
        <v>1.5817000000000001</v>
      </c>
      <c r="K213" s="1611">
        <v>1.5817000000000001</v>
      </c>
      <c r="L213" s="1611">
        <v>1.5817000000000001</v>
      </c>
      <c r="M213" s="1611">
        <v>1.5817000000000001</v>
      </c>
    </row>
    <row r="214" spans="1:13">
      <c r="A214" s="1602">
        <v>0.8</v>
      </c>
      <c r="B214" s="1611">
        <v>1.5215000000000001</v>
      </c>
      <c r="C214" s="1611">
        <v>1.5215000000000001</v>
      </c>
      <c r="D214" s="1611">
        <v>1.5469999999999999</v>
      </c>
      <c r="E214" s="1611">
        <v>1.5469999999999999</v>
      </c>
      <c r="F214" s="1611">
        <v>1.5469999999999999</v>
      </c>
      <c r="G214" s="1611">
        <v>1.5469999999999999</v>
      </c>
      <c r="H214" s="1611">
        <v>1.5469999999999999</v>
      </c>
      <c r="I214" s="1611">
        <v>1.3839999999999999</v>
      </c>
      <c r="J214" s="1611">
        <v>1.3839999999999999</v>
      </c>
      <c r="K214" s="1611">
        <v>1.3839999999999999</v>
      </c>
      <c r="L214" s="1611">
        <v>1.3839999999999999</v>
      </c>
      <c r="M214" s="1611">
        <v>1.3839999999999999</v>
      </c>
    </row>
    <row r="215" spans="1:13">
      <c r="A215" s="1602">
        <v>0.9</v>
      </c>
      <c r="B215" s="1611">
        <v>1.3524</v>
      </c>
      <c r="C215" s="1611">
        <v>1.3524</v>
      </c>
      <c r="D215" s="1611">
        <v>1.3751</v>
      </c>
      <c r="E215" s="1611">
        <v>1.3751</v>
      </c>
      <c r="F215" s="1611">
        <v>1.3751</v>
      </c>
      <c r="G215" s="1611">
        <v>1.3751</v>
      </c>
      <c r="H215" s="1611">
        <v>1.3751</v>
      </c>
      <c r="I215" s="1611">
        <v>1.2302</v>
      </c>
      <c r="J215" s="1611">
        <v>1.2302</v>
      </c>
      <c r="K215" s="1611">
        <v>1.2302</v>
      </c>
      <c r="L215" s="1611">
        <v>1.2302</v>
      </c>
      <c r="M215" s="1611">
        <v>1.2302</v>
      </c>
    </row>
    <row r="216" spans="1:13">
      <c r="A216" s="1602">
        <v>1</v>
      </c>
      <c r="B216" s="1611">
        <v>1.2172000000000001</v>
      </c>
      <c r="C216" s="1611">
        <v>1.2172000000000001</v>
      </c>
      <c r="D216" s="1611">
        <v>1.2376</v>
      </c>
      <c r="E216" s="1611">
        <v>1.2376</v>
      </c>
      <c r="F216" s="1611">
        <v>1.2376</v>
      </c>
      <c r="G216" s="1611">
        <v>1.2376</v>
      </c>
      <c r="H216" s="1611">
        <v>1.2376</v>
      </c>
      <c r="I216" s="1611">
        <v>1.1072</v>
      </c>
      <c r="J216" s="1611">
        <v>1.1072</v>
      </c>
      <c r="K216" s="1611">
        <v>1.1072</v>
      </c>
      <c r="L216" s="1611">
        <v>1.1072</v>
      </c>
      <c r="M216" s="1611">
        <v>1.1072</v>
      </c>
    </row>
    <row r="217" spans="1:13">
      <c r="A217" s="1602">
        <v>1.1000000000000001</v>
      </c>
      <c r="B217" s="1611">
        <v>1.198</v>
      </c>
      <c r="C217" s="1611">
        <v>1.198</v>
      </c>
      <c r="D217" s="1611">
        <v>1.2156</v>
      </c>
      <c r="E217" s="1611">
        <v>1.2156</v>
      </c>
      <c r="F217" s="1611">
        <v>1.2156</v>
      </c>
      <c r="G217" s="1611">
        <v>1.2156</v>
      </c>
      <c r="H217" s="1611">
        <v>1.2156</v>
      </c>
      <c r="I217" s="1611">
        <v>1.0829</v>
      </c>
      <c r="J217" s="1611">
        <v>1.0829</v>
      </c>
      <c r="K217" s="1611">
        <v>1.0829</v>
      </c>
      <c r="L217" s="1611">
        <v>1.0829</v>
      </c>
      <c r="M217" s="1611">
        <v>1.0829</v>
      </c>
    </row>
    <row r="218" spans="1:13">
      <c r="A218" s="1602">
        <v>1.2</v>
      </c>
      <c r="B218" s="1611">
        <v>1.1795</v>
      </c>
      <c r="C218" s="1611">
        <v>1.1795</v>
      </c>
      <c r="D218" s="1611">
        <v>1.1947000000000001</v>
      </c>
      <c r="E218" s="1611">
        <v>1.1947000000000001</v>
      </c>
      <c r="F218" s="1611">
        <v>1.1947000000000001</v>
      </c>
      <c r="G218" s="1611">
        <v>1.1947000000000001</v>
      </c>
      <c r="H218" s="1611">
        <v>1.1947000000000001</v>
      </c>
      <c r="I218" s="1611">
        <v>1.0601</v>
      </c>
      <c r="J218" s="1611">
        <v>1.0601</v>
      </c>
      <c r="K218" s="1611">
        <v>1.0601</v>
      </c>
      <c r="L218" s="1611">
        <v>1.0601</v>
      </c>
      <c r="M218" s="1611">
        <v>1.0601</v>
      </c>
    </row>
    <row r="219" spans="1:13">
      <c r="A219" s="1602">
        <v>1.3</v>
      </c>
      <c r="B219" s="1611">
        <v>1.1617999999999999</v>
      </c>
      <c r="C219" s="1611">
        <v>1.1617999999999999</v>
      </c>
      <c r="D219" s="1611">
        <v>1.1748000000000001</v>
      </c>
      <c r="E219" s="1611">
        <v>1.1748000000000001</v>
      </c>
      <c r="F219" s="1611">
        <v>1.1748000000000001</v>
      </c>
      <c r="G219" s="1611">
        <v>1.1748000000000001</v>
      </c>
      <c r="H219" s="1611">
        <v>1.1748000000000001</v>
      </c>
      <c r="I219" s="1611">
        <v>1.0387999999999999</v>
      </c>
      <c r="J219" s="1611">
        <v>1.0387999999999999</v>
      </c>
      <c r="K219" s="1611">
        <v>1.0387999999999999</v>
      </c>
      <c r="L219" s="1611">
        <v>1.0387999999999999</v>
      </c>
      <c r="M219" s="1611">
        <v>1.0387999999999999</v>
      </c>
    </row>
    <row r="220" spans="1:13">
      <c r="A220" s="1602">
        <v>1.4</v>
      </c>
      <c r="B220" s="1611">
        <v>1.1448</v>
      </c>
      <c r="C220" s="1611">
        <v>1.1448</v>
      </c>
      <c r="D220" s="1611">
        <v>1.1557999999999999</v>
      </c>
      <c r="E220" s="1611">
        <v>1.1557999999999999</v>
      </c>
      <c r="F220" s="1611">
        <v>1.1557999999999999</v>
      </c>
      <c r="G220" s="1611">
        <v>1.1557999999999999</v>
      </c>
      <c r="H220" s="1611">
        <v>1.1557999999999999</v>
      </c>
      <c r="I220" s="1611">
        <v>1.0187999999999999</v>
      </c>
      <c r="J220" s="1611">
        <v>1.0187999999999999</v>
      </c>
      <c r="K220" s="1611">
        <v>1.0187999999999999</v>
      </c>
      <c r="L220" s="1611">
        <v>1.0187999999999999</v>
      </c>
      <c r="M220" s="1611">
        <v>1.0187999999999999</v>
      </c>
    </row>
    <row r="221" spans="1:13">
      <c r="A221" s="1602">
        <v>1.5</v>
      </c>
      <c r="B221" s="1611">
        <v>1.1285000000000001</v>
      </c>
      <c r="C221" s="1611">
        <v>1.1285000000000001</v>
      </c>
      <c r="D221" s="1611">
        <v>1.1377999999999999</v>
      </c>
      <c r="E221" s="1611">
        <v>1.1377999999999999</v>
      </c>
      <c r="F221" s="1611">
        <v>1.1377999999999999</v>
      </c>
      <c r="G221" s="1611">
        <v>1.1377999999999999</v>
      </c>
      <c r="H221" s="1611">
        <v>1.1377999999999999</v>
      </c>
      <c r="I221" s="1611">
        <v>1</v>
      </c>
      <c r="J221" s="1611">
        <v>1</v>
      </c>
      <c r="K221" s="1611">
        <v>1</v>
      </c>
      <c r="L221" s="1611">
        <v>1</v>
      </c>
      <c r="M221" s="1611">
        <v>1</v>
      </c>
    </row>
    <row r="222" spans="1:13">
      <c r="A222" s="1602">
        <v>1.6</v>
      </c>
      <c r="B222" s="1611">
        <v>1.1129</v>
      </c>
      <c r="C222" s="1611">
        <v>1.1129</v>
      </c>
      <c r="D222" s="1611">
        <v>1.1206</v>
      </c>
      <c r="E222" s="1611">
        <v>1.1206</v>
      </c>
      <c r="F222" s="1611">
        <v>1.1206</v>
      </c>
      <c r="G222" s="1611">
        <v>1.1206</v>
      </c>
      <c r="H222" s="1611">
        <v>1.1206</v>
      </c>
      <c r="I222" s="1611">
        <v>0.98240000000000005</v>
      </c>
      <c r="J222" s="1611">
        <v>0.98240000000000005</v>
      </c>
      <c r="K222" s="1611">
        <v>0.98240000000000005</v>
      </c>
      <c r="L222" s="1611">
        <v>0.98240000000000005</v>
      </c>
      <c r="M222" s="1611">
        <v>0.98240000000000005</v>
      </c>
    </row>
    <row r="223" spans="1:13">
      <c r="A223" s="1602">
        <v>1.7</v>
      </c>
      <c r="B223" s="1611">
        <v>1.0980000000000001</v>
      </c>
      <c r="C223" s="1611">
        <v>1.0980000000000001</v>
      </c>
      <c r="D223" s="1611">
        <v>1.1043000000000001</v>
      </c>
      <c r="E223" s="1611">
        <v>1.1043000000000001</v>
      </c>
      <c r="F223" s="1611">
        <v>1.1043000000000001</v>
      </c>
      <c r="G223" s="1611">
        <v>1.1043000000000001</v>
      </c>
      <c r="H223" s="1611">
        <v>1.1043000000000001</v>
      </c>
      <c r="I223" s="1611">
        <v>0.96579999999999999</v>
      </c>
      <c r="J223" s="1611">
        <v>0.96579999999999999</v>
      </c>
      <c r="K223" s="1611">
        <v>0.96579999999999999</v>
      </c>
      <c r="L223" s="1611">
        <v>0.96579999999999999</v>
      </c>
      <c r="M223" s="1611">
        <v>0.96579999999999999</v>
      </c>
    </row>
    <row r="224" spans="1:13">
      <c r="A224" s="1602">
        <v>1.8</v>
      </c>
      <c r="B224" s="1611">
        <v>1.0835999999999999</v>
      </c>
      <c r="C224" s="1611">
        <v>1.0835999999999999</v>
      </c>
      <c r="D224" s="1611">
        <v>1.0888</v>
      </c>
      <c r="E224" s="1611">
        <v>1.0888</v>
      </c>
      <c r="F224" s="1611">
        <v>1.0888</v>
      </c>
      <c r="G224" s="1611">
        <v>1.0888</v>
      </c>
      <c r="H224" s="1611">
        <v>1.0888</v>
      </c>
      <c r="I224" s="1611">
        <v>0.95030000000000003</v>
      </c>
      <c r="J224" s="1611">
        <v>0.95030000000000003</v>
      </c>
      <c r="K224" s="1611">
        <v>0.95030000000000003</v>
      </c>
      <c r="L224" s="1611">
        <v>0.95030000000000003</v>
      </c>
      <c r="M224" s="1611">
        <v>0.95030000000000003</v>
      </c>
    </row>
    <row r="225" spans="1:13">
      <c r="A225" s="1602">
        <v>1.9</v>
      </c>
      <c r="B225" s="1611">
        <v>1.0698000000000001</v>
      </c>
      <c r="C225" s="1611">
        <v>1.0698000000000001</v>
      </c>
      <c r="D225" s="1611">
        <v>1.0741000000000001</v>
      </c>
      <c r="E225" s="1611">
        <v>1.0741000000000001</v>
      </c>
      <c r="F225" s="1611">
        <v>1.0741000000000001</v>
      </c>
      <c r="G225" s="1611">
        <v>1.0741000000000001</v>
      </c>
      <c r="H225" s="1611">
        <v>1.0741000000000001</v>
      </c>
      <c r="I225" s="1611">
        <v>0.93610000000000004</v>
      </c>
      <c r="J225" s="1611">
        <v>0.93610000000000004</v>
      </c>
      <c r="K225" s="1611">
        <v>0.93610000000000004</v>
      </c>
      <c r="L225" s="1611">
        <v>0.93610000000000004</v>
      </c>
      <c r="M225" s="1611">
        <v>0.93610000000000004</v>
      </c>
    </row>
    <row r="226" spans="1:13">
      <c r="A226" s="1602">
        <v>2</v>
      </c>
      <c r="B226" s="1611">
        <v>1.0568</v>
      </c>
      <c r="C226" s="1611">
        <v>1.0568</v>
      </c>
      <c r="D226" s="1611">
        <v>1.0601</v>
      </c>
      <c r="E226" s="1611">
        <v>1.0601</v>
      </c>
      <c r="F226" s="1611">
        <v>1.0601</v>
      </c>
      <c r="G226" s="1611">
        <v>1.0601</v>
      </c>
      <c r="H226" s="1611">
        <v>1.0601</v>
      </c>
      <c r="I226" s="1611">
        <v>0.9224</v>
      </c>
      <c r="J226" s="1611">
        <v>0.9224</v>
      </c>
      <c r="K226" s="1611">
        <v>0.9224</v>
      </c>
      <c r="L226" s="1611">
        <v>0.9224</v>
      </c>
      <c r="M226" s="1611">
        <v>0.9224</v>
      </c>
    </row>
    <row r="227" spans="1:13">
      <c r="A227" s="1625">
        <v>2.1</v>
      </c>
      <c r="B227" s="1611">
        <v>1.0443</v>
      </c>
      <c r="C227" s="1611">
        <v>1.0443</v>
      </c>
      <c r="D227" s="1611">
        <v>1.0468</v>
      </c>
      <c r="E227" s="1611">
        <v>1.0468</v>
      </c>
      <c r="F227" s="1611">
        <v>1.0468</v>
      </c>
      <c r="G227" s="1611">
        <v>1.0468</v>
      </c>
      <c r="H227" s="1611">
        <v>1.0468</v>
      </c>
      <c r="I227" s="1611">
        <v>0.90959999999999996</v>
      </c>
      <c r="J227" s="1611">
        <v>0.90959999999999996</v>
      </c>
      <c r="K227" s="1611">
        <v>0.90959999999999996</v>
      </c>
      <c r="L227" s="1611">
        <v>0.90959999999999996</v>
      </c>
      <c r="M227" s="1611">
        <v>0.90959999999999996</v>
      </c>
    </row>
    <row r="228" spans="1:13">
      <c r="A228" s="1625">
        <v>2.2000000000000002</v>
      </c>
      <c r="B228" s="1611">
        <v>1.0325</v>
      </c>
      <c r="C228" s="1611">
        <v>1.0325</v>
      </c>
      <c r="D228" s="1611">
        <v>1.0342</v>
      </c>
      <c r="E228" s="1611">
        <v>1.0342</v>
      </c>
      <c r="F228" s="1611">
        <v>1.0342</v>
      </c>
      <c r="G228" s="1611">
        <v>1.0342</v>
      </c>
      <c r="H228" s="1611">
        <v>1.0342</v>
      </c>
      <c r="I228" s="1611">
        <v>0.89749999999999996</v>
      </c>
      <c r="J228" s="1611">
        <v>0.89749999999999996</v>
      </c>
      <c r="K228" s="1611">
        <v>0.89749999999999996</v>
      </c>
      <c r="L228" s="1611">
        <v>0.89749999999999996</v>
      </c>
      <c r="M228" s="1611">
        <v>0.89749999999999996</v>
      </c>
    </row>
    <row r="229" spans="1:13">
      <c r="A229" s="1625">
        <v>2.2999999999999998</v>
      </c>
      <c r="B229" s="1611">
        <v>1.0209999999999999</v>
      </c>
      <c r="C229" s="1611">
        <v>1.0209999999999999</v>
      </c>
      <c r="D229" s="1611">
        <v>1.0222</v>
      </c>
      <c r="E229" s="1611">
        <v>1.0222</v>
      </c>
      <c r="F229" s="1611">
        <v>1.0222</v>
      </c>
      <c r="G229" s="1611">
        <v>1.0222</v>
      </c>
      <c r="H229" s="1611">
        <v>1.0222</v>
      </c>
      <c r="I229" s="1611">
        <v>0.88619999999999999</v>
      </c>
      <c r="J229" s="1611">
        <v>0.88619999999999999</v>
      </c>
      <c r="K229" s="1611">
        <v>0.88619999999999999</v>
      </c>
      <c r="L229" s="1611">
        <v>0.88619999999999999</v>
      </c>
      <c r="M229" s="1611">
        <v>0.88619999999999999</v>
      </c>
    </row>
    <row r="230" spans="1:13">
      <c r="A230" s="1625">
        <v>2.4</v>
      </c>
      <c r="B230" s="1611">
        <v>1.0102</v>
      </c>
      <c r="C230" s="1611">
        <v>1.0102</v>
      </c>
      <c r="D230" s="1611">
        <v>1.0107999999999999</v>
      </c>
      <c r="E230" s="1611">
        <v>1.0107999999999999</v>
      </c>
      <c r="F230" s="1611">
        <v>1.0107999999999999</v>
      </c>
      <c r="G230" s="1611">
        <v>1.0107999999999999</v>
      </c>
      <c r="H230" s="1611">
        <v>1.0107999999999999</v>
      </c>
      <c r="I230" s="1611">
        <v>0.87529999999999997</v>
      </c>
      <c r="J230" s="1611">
        <v>0.87529999999999997</v>
      </c>
      <c r="K230" s="1611">
        <v>0.87529999999999997</v>
      </c>
      <c r="L230" s="1611">
        <v>0.87529999999999997</v>
      </c>
      <c r="M230" s="1611">
        <v>0.87529999999999997</v>
      </c>
    </row>
    <row r="231" spans="1:13">
      <c r="A231" s="1625">
        <v>2.5</v>
      </c>
      <c r="B231" s="1611">
        <v>1</v>
      </c>
      <c r="C231" s="1611">
        <v>1</v>
      </c>
      <c r="D231" s="1611">
        <v>1</v>
      </c>
      <c r="E231" s="1611">
        <v>1</v>
      </c>
      <c r="F231" s="1611">
        <v>1</v>
      </c>
      <c r="G231" s="1611">
        <v>1</v>
      </c>
      <c r="H231" s="1611">
        <v>1</v>
      </c>
      <c r="I231" s="1611">
        <v>0.86509999999999998</v>
      </c>
      <c r="J231" s="1611">
        <v>0.86509999999999998</v>
      </c>
      <c r="K231" s="1611">
        <v>0.86509999999999998</v>
      </c>
      <c r="L231" s="1611">
        <v>0.86509999999999998</v>
      </c>
      <c r="M231" s="1611">
        <v>0.86509999999999998</v>
      </c>
    </row>
    <row r="232" spans="1:13">
      <c r="A232" s="1625">
        <v>2.6</v>
      </c>
      <c r="B232" s="1611">
        <v>0.99029999999999996</v>
      </c>
      <c r="C232" s="1611">
        <v>0.99029999999999996</v>
      </c>
      <c r="D232" s="1611">
        <v>0.98970000000000002</v>
      </c>
      <c r="E232" s="1611">
        <v>0.98970000000000002</v>
      </c>
      <c r="F232" s="1611">
        <v>0.98970000000000002</v>
      </c>
      <c r="G232" s="1611">
        <v>0.98970000000000002</v>
      </c>
      <c r="H232" s="1611">
        <v>0.98970000000000002</v>
      </c>
      <c r="I232" s="1611">
        <v>0.85529999999999995</v>
      </c>
      <c r="J232" s="1611">
        <v>0.85529999999999995</v>
      </c>
      <c r="K232" s="1611">
        <v>0.85529999999999995</v>
      </c>
      <c r="L232" s="1611">
        <v>0.85529999999999995</v>
      </c>
      <c r="M232" s="1611">
        <v>0.85529999999999995</v>
      </c>
    </row>
    <row r="233" spans="1:13">
      <c r="A233" s="1625">
        <v>2.7</v>
      </c>
      <c r="B233" s="1611">
        <v>0.98109999999999997</v>
      </c>
      <c r="C233" s="1611">
        <v>0.98109999999999997</v>
      </c>
      <c r="D233" s="1611">
        <v>0.97989999999999999</v>
      </c>
      <c r="E233" s="1611">
        <v>0.97989999999999999</v>
      </c>
      <c r="F233" s="1611">
        <v>0.97989999999999999</v>
      </c>
      <c r="G233" s="1611">
        <v>0.97989999999999999</v>
      </c>
      <c r="H233" s="1611">
        <v>0.97989999999999999</v>
      </c>
      <c r="I233" s="1611">
        <v>0.84599999999999997</v>
      </c>
      <c r="J233" s="1611">
        <v>0.84599999999999997</v>
      </c>
      <c r="K233" s="1611">
        <v>0.84599999999999997</v>
      </c>
      <c r="L233" s="1611">
        <v>0.84599999999999997</v>
      </c>
      <c r="M233" s="1611">
        <v>0.84599999999999997</v>
      </c>
    </row>
    <row r="234" spans="1:13">
      <c r="A234" s="1625">
        <v>2.8</v>
      </c>
      <c r="B234" s="1611">
        <v>0.97240000000000004</v>
      </c>
      <c r="C234" s="1611">
        <v>0.97240000000000004</v>
      </c>
      <c r="D234" s="1611">
        <v>0.97060000000000002</v>
      </c>
      <c r="E234" s="1611">
        <v>0.97060000000000002</v>
      </c>
      <c r="F234" s="1611">
        <v>0.97060000000000002</v>
      </c>
      <c r="G234" s="1611">
        <v>0.97060000000000002</v>
      </c>
      <c r="H234" s="1611">
        <v>0.97060000000000002</v>
      </c>
      <c r="I234" s="1611">
        <v>0.83709999999999996</v>
      </c>
      <c r="J234" s="1611">
        <v>0.83709999999999996</v>
      </c>
      <c r="K234" s="1611">
        <v>0.83709999999999996</v>
      </c>
      <c r="L234" s="1611">
        <v>0.83709999999999996</v>
      </c>
      <c r="M234" s="1611">
        <v>0.83709999999999996</v>
      </c>
    </row>
    <row r="235" spans="1:13">
      <c r="A235" s="1625">
        <v>2.9</v>
      </c>
      <c r="B235" s="1611">
        <v>0.96419999999999995</v>
      </c>
      <c r="C235" s="1611">
        <v>0.96419999999999995</v>
      </c>
      <c r="D235" s="1611">
        <v>0.96179999999999999</v>
      </c>
      <c r="E235" s="1611">
        <v>0.96179999999999999</v>
      </c>
      <c r="F235" s="1611">
        <v>0.96179999999999999</v>
      </c>
      <c r="G235" s="1611">
        <v>0.96179999999999999</v>
      </c>
      <c r="H235" s="1611">
        <v>0.96179999999999999</v>
      </c>
      <c r="I235" s="1611">
        <v>0.82850000000000001</v>
      </c>
      <c r="J235" s="1611">
        <v>0.82850000000000001</v>
      </c>
      <c r="K235" s="1611">
        <v>0.82850000000000001</v>
      </c>
      <c r="L235" s="1611">
        <v>0.82850000000000001</v>
      </c>
      <c r="M235" s="1611">
        <v>0.82850000000000001</v>
      </c>
    </row>
    <row r="236" spans="1:13">
      <c r="A236" s="1625">
        <v>3</v>
      </c>
      <c r="B236" s="1611">
        <v>0.95640000000000003</v>
      </c>
      <c r="C236" s="1611">
        <v>0.95640000000000003</v>
      </c>
      <c r="D236" s="1611">
        <v>0.95340000000000003</v>
      </c>
      <c r="E236" s="1611">
        <v>0.95340000000000003</v>
      </c>
      <c r="F236" s="1611">
        <v>0.95340000000000003</v>
      </c>
      <c r="G236" s="1611">
        <v>0.95340000000000003</v>
      </c>
      <c r="H236" s="1611">
        <v>0.95340000000000003</v>
      </c>
      <c r="I236" s="1611">
        <v>0.82040000000000002</v>
      </c>
      <c r="J236" s="1611">
        <v>0.82040000000000002</v>
      </c>
      <c r="K236" s="1611">
        <v>0.82040000000000002</v>
      </c>
      <c r="L236" s="1611">
        <v>0.82040000000000002</v>
      </c>
      <c r="M236" s="1611">
        <v>0.82040000000000002</v>
      </c>
    </row>
    <row r="237" spans="1:13">
      <c r="A237" s="1625">
        <v>3.1</v>
      </c>
      <c r="B237" s="1611">
        <v>0.94899999999999995</v>
      </c>
      <c r="C237" s="1611">
        <v>0.94899999999999995</v>
      </c>
      <c r="D237" s="1611">
        <v>0.94550000000000001</v>
      </c>
      <c r="E237" s="1611">
        <v>0.94550000000000001</v>
      </c>
      <c r="F237" s="1611">
        <v>0.94550000000000001</v>
      </c>
      <c r="G237" s="1611">
        <v>0.94550000000000001</v>
      </c>
      <c r="H237" s="1611">
        <v>0.94550000000000001</v>
      </c>
      <c r="I237" s="1611">
        <v>0.81259999999999999</v>
      </c>
      <c r="J237" s="1611">
        <v>0.81259999999999999</v>
      </c>
      <c r="K237" s="1611">
        <v>0.81259999999999999</v>
      </c>
      <c r="L237" s="1611">
        <v>0.81259999999999999</v>
      </c>
      <c r="M237" s="1611">
        <v>0.81259999999999999</v>
      </c>
    </row>
    <row r="238" spans="1:13">
      <c r="A238" s="1625">
        <v>3.2</v>
      </c>
      <c r="B238" s="1611">
        <v>0.94199999999999995</v>
      </c>
      <c r="C238" s="1611">
        <v>0.94199999999999995</v>
      </c>
      <c r="D238" s="1611">
        <v>0.93789999999999996</v>
      </c>
      <c r="E238" s="1611">
        <v>0.93789999999999996</v>
      </c>
      <c r="F238" s="1611">
        <v>0.93789999999999996</v>
      </c>
      <c r="G238" s="1611">
        <v>0.93789999999999996</v>
      </c>
      <c r="H238" s="1611">
        <v>0.93789999999999996</v>
      </c>
      <c r="I238" s="1611">
        <v>0.80530000000000002</v>
      </c>
      <c r="J238" s="1611">
        <v>0.80530000000000002</v>
      </c>
      <c r="K238" s="1611">
        <v>0.80530000000000002</v>
      </c>
      <c r="L238" s="1611">
        <v>0.80530000000000002</v>
      </c>
      <c r="M238" s="1611">
        <v>0.80530000000000002</v>
      </c>
    </row>
    <row r="239" spans="1:13">
      <c r="A239" s="1625">
        <v>3.3</v>
      </c>
      <c r="B239" s="1611">
        <v>0.93540000000000001</v>
      </c>
      <c r="C239" s="1611">
        <v>0.93540000000000001</v>
      </c>
      <c r="D239" s="1611">
        <v>0.93069999999999997</v>
      </c>
      <c r="E239" s="1611">
        <v>0.93069999999999997</v>
      </c>
      <c r="F239" s="1611">
        <v>0.93069999999999997</v>
      </c>
      <c r="G239" s="1611">
        <v>0.93069999999999997</v>
      </c>
      <c r="H239" s="1611">
        <v>0.93069999999999997</v>
      </c>
      <c r="I239" s="1611">
        <v>0.79820000000000002</v>
      </c>
      <c r="J239" s="1611">
        <v>0.79820000000000002</v>
      </c>
      <c r="K239" s="1611">
        <v>0.79820000000000002</v>
      </c>
      <c r="L239" s="1611">
        <v>0.79820000000000002</v>
      </c>
      <c r="M239" s="1611">
        <v>0.79820000000000002</v>
      </c>
    </row>
    <row r="240" spans="1:13">
      <c r="A240" s="1625">
        <v>3.4</v>
      </c>
      <c r="B240" s="1611">
        <v>0.92920000000000003</v>
      </c>
      <c r="C240" s="1611">
        <v>0.92920000000000003</v>
      </c>
      <c r="D240" s="1611">
        <v>0.92390000000000005</v>
      </c>
      <c r="E240" s="1611">
        <v>0.92390000000000005</v>
      </c>
      <c r="F240" s="1611">
        <v>0.92390000000000005</v>
      </c>
      <c r="G240" s="1611">
        <v>0.92390000000000005</v>
      </c>
      <c r="H240" s="1611">
        <v>0.92390000000000005</v>
      </c>
      <c r="I240" s="1611">
        <v>0.79139999999999999</v>
      </c>
      <c r="J240" s="1611">
        <v>0.79139999999999999</v>
      </c>
      <c r="K240" s="1611">
        <v>0.79139999999999999</v>
      </c>
      <c r="L240" s="1611">
        <v>0.79139999999999999</v>
      </c>
      <c r="M240" s="1611">
        <v>0.79139999999999999</v>
      </c>
    </row>
    <row r="241" spans="1:13">
      <c r="A241" s="1625">
        <v>3.5</v>
      </c>
      <c r="B241" s="1611">
        <v>0.9234</v>
      </c>
      <c r="C241" s="1611">
        <v>0.9234</v>
      </c>
      <c r="D241" s="1611">
        <v>0.91749999999999998</v>
      </c>
      <c r="E241" s="1611">
        <v>0.91749999999999998</v>
      </c>
      <c r="F241" s="1611">
        <v>0.91749999999999998</v>
      </c>
      <c r="G241" s="1611">
        <v>0.91749999999999998</v>
      </c>
      <c r="H241" s="1611">
        <v>0.91749999999999998</v>
      </c>
      <c r="I241" s="1611">
        <v>0.78490000000000004</v>
      </c>
      <c r="J241" s="1611">
        <v>0.78490000000000004</v>
      </c>
      <c r="K241" s="1611">
        <v>0.78490000000000004</v>
      </c>
      <c r="L241" s="1611">
        <v>0.78490000000000004</v>
      </c>
      <c r="M241" s="1611">
        <v>0.78490000000000004</v>
      </c>
    </row>
    <row r="242" spans="1:13">
      <c r="A242" s="1625">
        <v>3.6</v>
      </c>
      <c r="B242" s="1611">
        <v>0.91790000000000005</v>
      </c>
      <c r="C242" s="1611">
        <v>0.91790000000000005</v>
      </c>
      <c r="D242" s="1611">
        <v>0.91139999999999999</v>
      </c>
      <c r="E242" s="1611">
        <v>0.91139999999999999</v>
      </c>
      <c r="F242" s="1611">
        <v>0.91139999999999999</v>
      </c>
      <c r="G242" s="1611">
        <v>0.91139999999999999</v>
      </c>
      <c r="H242" s="1611">
        <v>0.91139999999999999</v>
      </c>
      <c r="I242" s="1611">
        <v>0.77880000000000005</v>
      </c>
      <c r="J242" s="1611">
        <v>0.77880000000000005</v>
      </c>
      <c r="K242" s="1611">
        <v>0.77880000000000005</v>
      </c>
      <c r="L242" s="1611">
        <v>0.77880000000000005</v>
      </c>
      <c r="M242" s="1611">
        <v>0.77880000000000005</v>
      </c>
    </row>
    <row r="243" spans="1:13">
      <c r="A243" s="1625">
        <v>3.7</v>
      </c>
      <c r="B243" s="1611">
        <v>0.91269999999999996</v>
      </c>
      <c r="C243" s="1611">
        <v>0.91269999999999996</v>
      </c>
      <c r="D243" s="1611">
        <v>0.90559999999999996</v>
      </c>
      <c r="E243" s="1611">
        <v>0.90559999999999996</v>
      </c>
      <c r="F243" s="1611">
        <v>0.90559999999999996</v>
      </c>
      <c r="G243" s="1611">
        <v>0.90559999999999996</v>
      </c>
      <c r="H243" s="1611">
        <v>0.90559999999999996</v>
      </c>
      <c r="I243" s="1611">
        <v>0.77300000000000002</v>
      </c>
      <c r="J243" s="1611">
        <v>0.77300000000000002</v>
      </c>
      <c r="K243" s="1611">
        <v>0.77300000000000002</v>
      </c>
      <c r="L243" s="1611">
        <v>0.77300000000000002</v>
      </c>
      <c r="M243" s="1611">
        <v>0.77300000000000002</v>
      </c>
    </row>
    <row r="244" spans="1:13">
      <c r="A244" s="1625">
        <v>3.8</v>
      </c>
      <c r="B244" s="1611">
        <v>0.90780000000000005</v>
      </c>
      <c r="C244" s="1611">
        <v>0.90780000000000005</v>
      </c>
      <c r="D244" s="1611">
        <v>0.90010000000000001</v>
      </c>
      <c r="E244" s="1611">
        <v>0.90010000000000001</v>
      </c>
      <c r="F244" s="1611">
        <v>0.90010000000000001</v>
      </c>
      <c r="G244" s="1611">
        <v>0.90010000000000001</v>
      </c>
      <c r="H244" s="1611">
        <v>0.90010000000000001</v>
      </c>
      <c r="I244" s="1611">
        <v>0.76739999999999997</v>
      </c>
      <c r="J244" s="1611">
        <v>0.76739999999999997</v>
      </c>
      <c r="K244" s="1611">
        <v>0.76739999999999997</v>
      </c>
      <c r="L244" s="1611">
        <v>0.76739999999999997</v>
      </c>
      <c r="M244" s="1611">
        <v>0.76739999999999997</v>
      </c>
    </row>
    <row r="245" spans="1:13">
      <c r="A245" s="1625">
        <v>3.9</v>
      </c>
      <c r="B245" s="1611">
        <v>0.9032</v>
      </c>
      <c r="C245" s="1611">
        <v>0.9032</v>
      </c>
      <c r="D245" s="1611">
        <v>0.89490000000000003</v>
      </c>
      <c r="E245" s="1611">
        <v>0.89490000000000003</v>
      </c>
      <c r="F245" s="1611">
        <v>0.89490000000000003</v>
      </c>
      <c r="G245" s="1611">
        <v>0.89490000000000003</v>
      </c>
      <c r="H245" s="1611">
        <v>0.89490000000000003</v>
      </c>
      <c r="I245" s="1611">
        <v>0.7621</v>
      </c>
      <c r="J245" s="1611">
        <v>0.7621</v>
      </c>
      <c r="K245" s="1611">
        <v>0.7621</v>
      </c>
      <c r="L245" s="1611">
        <v>0.7621</v>
      </c>
      <c r="M245" s="1611">
        <v>0.7621</v>
      </c>
    </row>
    <row r="246" spans="1:13">
      <c r="A246" s="1625">
        <v>4</v>
      </c>
      <c r="B246" s="1611">
        <v>0.89890000000000003</v>
      </c>
      <c r="C246" s="1611">
        <v>0.89890000000000003</v>
      </c>
      <c r="D246" s="1611">
        <v>0.89</v>
      </c>
      <c r="E246" s="1611">
        <v>0.89</v>
      </c>
      <c r="F246" s="1611">
        <v>0.89</v>
      </c>
      <c r="G246" s="1611">
        <v>0.89</v>
      </c>
      <c r="H246" s="1611">
        <v>0.89</v>
      </c>
      <c r="I246" s="1611">
        <v>0.7571</v>
      </c>
      <c r="J246" s="1611">
        <v>0.7571</v>
      </c>
      <c r="K246" s="1611">
        <v>0.7571</v>
      </c>
      <c r="L246" s="1611">
        <v>0.7571</v>
      </c>
      <c r="M246" s="1611">
        <v>0.7571</v>
      </c>
    </row>
    <row r="247" spans="1:13">
      <c r="A247" s="1625">
        <v>4.0999999999999996</v>
      </c>
      <c r="B247" s="1611">
        <v>0.89480000000000004</v>
      </c>
      <c r="C247" s="1611">
        <v>0.89480000000000004</v>
      </c>
      <c r="D247" s="1611">
        <v>0.88539999999999996</v>
      </c>
      <c r="E247" s="1611">
        <v>0.88539999999999996</v>
      </c>
      <c r="F247" s="1611">
        <v>0.88539999999999996</v>
      </c>
      <c r="G247" s="1611">
        <v>0.88539999999999996</v>
      </c>
      <c r="H247" s="1611">
        <v>0.88539999999999996</v>
      </c>
      <c r="I247" s="1611">
        <v>0.75229999999999997</v>
      </c>
      <c r="J247" s="1611">
        <v>0.75229999999999997</v>
      </c>
      <c r="K247" s="1611">
        <v>0.75229999999999997</v>
      </c>
      <c r="L247" s="1611">
        <v>0.75229999999999997</v>
      </c>
      <c r="M247" s="1611">
        <v>0.75229999999999997</v>
      </c>
    </row>
    <row r="248" spans="1:13">
      <c r="A248" s="1625">
        <v>4.2</v>
      </c>
      <c r="B248" s="1611">
        <v>0.89100000000000001</v>
      </c>
      <c r="C248" s="1611">
        <v>0.89100000000000001</v>
      </c>
      <c r="D248" s="1611">
        <v>0.88109999999999999</v>
      </c>
      <c r="E248" s="1611">
        <v>0.88109999999999999</v>
      </c>
      <c r="F248" s="1611">
        <v>0.88109999999999999</v>
      </c>
      <c r="G248" s="1611">
        <v>0.88109999999999999</v>
      </c>
      <c r="H248" s="1611">
        <v>0.88109999999999999</v>
      </c>
      <c r="I248" s="1611">
        <v>0.74780000000000002</v>
      </c>
      <c r="J248" s="1611">
        <v>0.74780000000000002</v>
      </c>
      <c r="K248" s="1611">
        <v>0.74780000000000002</v>
      </c>
      <c r="L248" s="1611">
        <v>0.74780000000000002</v>
      </c>
      <c r="M248" s="1611">
        <v>0.74780000000000002</v>
      </c>
    </row>
    <row r="249" spans="1:13">
      <c r="A249" s="1625">
        <v>4.3</v>
      </c>
      <c r="B249" s="1611">
        <v>0.88739999999999997</v>
      </c>
      <c r="C249" s="1611">
        <v>0.88739999999999997</v>
      </c>
      <c r="D249" s="1611">
        <v>0.877</v>
      </c>
      <c r="E249" s="1611">
        <v>0.877</v>
      </c>
      <c r="F249" s="1611">
        <v>0.877</v>
      </c>
      <c r="G249" s="1611">
        <v>0.877</v>
      </c>
      <c r="H249" s="1611">
        <v>0.877</v>
      </c>
      <c r="I249" s="1611">
        <v>0.74329999999999996</v>
      </c>
      <c r="J249" s="1611">
        <v>0.74329999999999996</v>
      </c>
      <c r="K249" s="1611">
        <v>0.74329999999999996</v>
      </c>
      <c r="L249" s="1611">
        <v>0.74329999999999996</v>
      </c>
      <c r="M249" s="1611">
        <v>0.74329999999999996</v>
      </c>
    </row>
    <row r="250" spans="1:13">
      <c r="A250" s="1625">
        <v>4.4000000000000004</v>
      </c>
      <c r="B250" s="1611">
        <v>0.88400000000000001</v>
      </c>
      <c r="C250" s="1611">
        <v>0.88400000000000001</v>
      </c>
      <c r="D250" s="1611">
        <v>0.87309999999999999</v>
      </c>
      <c r="E250" s="1611">
        <v>0.87309999999999999</v>
      </c>
      <c r="F250" s="1611">
        <v>0.87309999999999999</v>
      </c>
      <c r="G250" s="1611">
        <v>0.87309999999999999</v>
      </c>
      <c r="H250" s="1611">
        <v>0.87309999999999999</v>
      </c>
      <c r="I250" s="1611">
        <v>0.73909999999999998</v>
      </c>
      <c r="J250" s="1611">
        <v>0.73909999999999998</v>
      </c>
      <c r="K250" s="1611">
        <v>0.73909999999999998</v>
      </c>
      <c r="L250" s="1611">
        <v>0.73909999999999998</v>
      </c>
      <c r="M250" s="1611">
        <v>0.73909999999999998</v>
      </c>
    </row>
    <row r="251" spans="1:13">
      <c r="A251" s="1625">
        <v>4.5</v>
      </c>
      <c r="B251" s="1611">
        <v>0.88080000000000003</v>
      </c>
      <c r="C251" s="1611">
        <v>0.88080000000000003</v>
      </c>
      <c r="D251" s="1611">
        <v>0.86939999999999995</v>
      </c>
      <c r="E251" s="1611">
        <v>0.86939999999999995</v>
      </c>
      <c r="F251" s="1611">
        <v>0.86939999999999995</v>
      </c>
      <c r="G251" s="1611">
        <v>0.86939999999999995</v>
      </c>
      <c r="H251" s="1611">
        <v>0.86939999999999995</v>
      </c>
      <c r="I251" s="1611">
        <v>0.73499999999999999</v>
      </c>
      <c r="J251" s="1611">
        <v>0.73499999999999999</v>
      </c>
      <c r="K251" s="1611">
        <v>0.73499999999999999</v>
      </c>
      <c r="L251" s="1611">
        <v>0.73499999999999999</v>
      </c>
      <c r="M251" s="1611">
        <v>0.73499999999999999</v>
      </c>
    </row>
    <row r="252" spans="1:13">
      <c r="A252" s="1625">
        <v>4.5999999999999996</v>
      </c>
      <c r="B252" s="1611">
        <v>0.87780000000000002</v>
      </c>
      <c r="C252" s="1611">
        <v>0.87780000000000002</v>
      </c>
      <c r="D252" s="1611">
        <v>0.8659</v>
      </c>
      <c r="E252" s="1611">
        <v>0.8659</v>
      </c>
      <c r="F252" s="1611">
        <v>0.8659</v>
      </c>
      <c r="G252" s="1611">
        <v>0.8659</v>
      </c>
      <c r="H252" s="1611">
        <v>0.8659</v>
      </c>
      <c r="I252" s="1611">
        <v>0.73109999999999997</v>
      </c>
      <c r="J252" s="1611">
        <v>0.73109999999999997</v>
      </c>
      <c r="K252" s="1611">
        <v>0.73109999999999997</v>
      </c>
      <c r="L252" s="1611">
        <v>0.73109999999999997</v>
      </c>
      <c r="M252" s="1611">
        <v>0.73109999999999997</v>
      </c>
    </row>
    <row r="253" spans="1:13">
      <c r="A253" s="1625">
        <v>4.7</v>
      </c>
      <c r="B253" s="1611">
        <v>0.875</v>
      </c>
      <c r="C253" s="1611">
        <v>0.875</v>
      </c>
      <c r="D253" s="1611">
        <v>0.86260000000000003</v>
      </c>
      <c r="E253" s="1611">
        <v>0.86260000000000003</v>
      </c>
      <c r="F253" s="1611">
        <v>0.86260000000000003</v>
      </c>
      <c r="G253" s="1611">
        <v>0.86260000000000003</v>
      </c>
      <c r="H253" s="1611">
        <v>0.86260000000000003</v>
      </c>
      <c r="I253" s="1611">
        <v>0.72750000000000004</v>
      </c>
      <c r="J253" s="1611">
        <v>0.72750000000000004</v>
      </c>
      <c r="K253" s="1611">
        <v>0.72750000000000004</v>
      </c>
      <c r="L253" s="1611">
        <v>0.72750000000000004</v>
      </c>
      <c r="M253" s="1611">
        <v>0.72750000000000004</v>
      </c>
    </row>
    <row r="254" spans="1:13">
      <c r="A254" s="1625">
        <v>4.8</v>
      </c>
      <c r="B254" s="1611">
        <v>0.87229999999999996</v>
      </c>
      <c r="C254" s="1611">
        <v>0.87229999999999996</v>
      </c>
      <c r="D254" s="1611">
        <v>0.85950000000000004</v>
      </c>
      <c r="E254" s="1611">
        <v>0.85950000000000004</v>
      </c>
      <c r="F254" s="1611">
        <v>0.85950000000000004</v>
      </c>
      <c r="G254" s="1611">
        <v>0.85950000000000004</v>
      </c>
      <c r="H254" s="1611">
        <v>0.85950000000000004</v>
      </c>
      <c r="I254" s="1611">
        <v>0.72399999999999998</v>
      </c>
      <c r="J254" s="1611">
        <v>0.72399999999999998</v>
      </c>
      <c r="K254" s="1611">
        <v>0.72399999999999998</v>
      </c>
      <c r="L254" s="1611">
        <v>0.72399999999999998</v>
      </c>
      <c r="M254" s="1611">
        <v>0.72399999999999998</v>
      </c>
    </row>
    <row r="255" spans="1:13">
      <c r="A255" s="1625">
        <v>4.9000000000000004</v>
      </c>
      <c r="B255" s="1611">
        <v>0.86980000000000002</v>
      </c>
      <c r="C255" s="1611">
        <v>0.86980000000000002</v>
      </c>
      <c r="D255" s="1611">
        <v>0.85660000000000003</v>
      </c>
      <c r="E255" s="1611">
        <v>0.85660000000000003</v>
      </c>
      <c r="F255" s="1611">
        <v>0.85660000000000003</v>
      </c>
      <c r="G255" s="1611">
        <v>0.85660000000000003</v>
      </c>
      <c r="H255" s="1611">
        <v>0.85660000000000003</v>
      </c>
      <c r="I255" s="1611">
        <v>0.7208</v>
      </c>
      <c r="J255" s="1611">
        <v>0.7208</v>
      </c>
      <c r="K255" s="1611">
        <v>0.7208</v>
      </c>
      <c r="L255" s="1611">
        <v>0.7208</v>
      </c>
      <c r="M255" s="1611">
        <v>0.7208</v>
      </c>
    </row>
    <row r="256" spans="1:13">
      <c r="A256" s="1625">
        <v>5</v>
      </c>
      <c r="B256" s="1611">
        <v>0.86739999999999995</v>
      </c>
      <c r="C256" s="1611">
        <v>0.86739999999999995</v>
      </c>
      <c r="D256" s="1611">
        <v>0.8538</v>
      </c>
      <c r="E256" s="1611">
        <v>0.8538</v>
      </c>
      <c r="F256" s="1611">
        <v>0.8538</v>
      </c>
      <c r="G256" s="1611">
        <v>0.8538</v>
      </c>
      <c r="H256" s="1611">
        <v>0.8538</v>
      </c>
      <c r="I256" s="1611">
        <v>0.71760000000000002</v>
      </c>
      <c r="J256" s="1611">
        <v>0.71760000000000002</v>
      </c>
      <c r="K256" s="1611">
        <v>0.71760000000000002</v>
      </c>
      <c r="L256" s="1611">
        <v>0.71760000000000002</v>
      </c>
      <c r="M256" s="1611">
        <v>0.71760000000000002</v>
      </c>
    </row>
    <row r="257" spans="1:13">
      <c r="A257" s="1602">
        <v>5.0999999999999996</v>
      </c>
      <c r="B257" s="1611">
        <v>0.86519999999999997</v>
      </c>
      <c r="C257" s="1611">
        <v>0.86519999999999997</v>
      </c>
      <c r="D257" s="1611">
        <v>0.85109999999999997</v>
      </c>
      <c r="E257" s="1611">
        <v>0.85109999999999997</v>
      </c>
      <c r="F257" s="1611">
        <v>0.85109999999999997</v>
      </c>
      <c r="G257" s="1611">
        <v>0.85109999999999997</v>
      </c>
      <c r="H257" s="1611">
        <v>0.85109999999999997</v>
      </c>
      <c r="I257" s="1611">
        <v>0.7147</v>
      </c>
      <c r="J257" s="1611">
        <v>0.7147</v>
      </c>
      <c r="K257" s="1611">
        <v>0.7147</v>
      </c>
      <c r="L257" s="1611">
        <v>0.7147</v>
      </c>
      <c r="M257" s="1611">
        <v>0.7147</v>
      </c>
    </row>
    <row r="258" spans="1:13">
      <c r="A258" s="1602">
        <v>5.2</v>
      </c>
      <c r="B258" s="1611">
        <v>0.86309999999999998</v>
      </c>
      <c r="C258" s="1611">
        <v>0.86309999999999998</v>
      </c>
      <c r="D258" s="1611">
        <v>0.84860000000000002</v>
      </c>
      <c r="E258" s="1611">
        <v>0.84860000000000002</v>
      </c>
      <c r="F258" s="1611">
        <v>0.84860000000000002</v>
      </c>
      <c r="G258" s="1611">
        <v>0.84860000000000002</v>
      </c>
      <c r="H258" s="1611">
        <v>0.84860000000000002</v>
      </c>
      <c r="I258" s="1611">
        <v>0.71189999999999998</v>
      </c>
      <c r="J258" s="1611">
        <v>0.71189999999999998</v>
      </c>
      <c r="K258" s="1611">
        <v>0.71189999999999998</v>
      </c>
      <c r="L258" s="1611">
        <v>0.71189999999999998</v>
      </c>
      <c r="M258" s="1611">
        <v>0.71189999999999998</v>
      </c>
    </row>
    <row r="259" spans="1:13">
      <c r="A259" s="1602">
        <v>5.3</v>
      </c>
      <c r="B259" s="1611">
        <v>0.86119999999999997</v>
      </c>
      <c r="C259" s="1611">
        <v>0.86119999999999997</v>
      </c>
      <c r="D259" s="1611">
        <v>0.84619999999999995</v>
      </c>
      <c r="E259" s="1611">
        <v>0.84619999999999995</v>
      </c>
      <c r="F259" s="1611">
        <v>0.84619999999999995</v>
      </c>
      <c r="G259" s="1611">
        <v>0.84619999999999995</v>
      </c>
      <c r="H259" s="1611">
        <v>0.84619999999999995</v>
      </c>
      <c r="I259" s="1611">
        <v>0.70909999999999995</v>
      </c>
      <c r="J259" s="1611">
        <v>0.70909999999999995</v>
      </c>
      <c r="K259" s="1611">
        <v>0.70909999999999995</v>
      </c>
      <c r="L259" s="1611">
        <v>0.70909999999999995</v>
      </c>
      <c r="M259" s="1611">
        <v>0.70909999999999995</v>
      </c>
    </row>
    <row r="260" spans="1:13">
      <c r="A260" s="1602">
        <v>5.4</v>
      </c>
      <c r="B260" s="1611">
        <v>0.85940000000000005</v>
      </c>
      <c r="C260" s="1611">
        <v>0.85940000000000005</v>
      </c>
      <c r="D260" s="1611">
        <v>0.84389999999999998</v>
      </c>
      <c r="E260" s="1611">
        <v>0.84389999999999998</v>
      </c>
      <c r="F260" s="1611">
        <v>0.84389999999999998</v>
      </c>
      <c r="G260" s="1611">
        <v>0.84389999999999998</v>
      </c>
      <c r="H260" s="1611">
        <v>0.84389999999999998</v>
      </c>
      <c r="I260" s="1611">
        <v>0.70650000000000002</v>
      </c>
      <c r="J260" s="1611">
        <v>0.70650000000000002</v>
      </c>
      <c r="K260" s="1611">
        <v>0.70650000000000002</v>
      </c>
      <c r="L260" s="1611">
        <v>0.70650000000000002</v>
      </c>
      <c r="M260" s="1611">
        <v>0.70650000000000002</v>
      </c>
    </row>
    <row r="261" spans="1:13">
      <c r="A261" s="1602">
        <v>5.5</v>
      </c>
      <c r="B261" s="1611">
        <v>0.85770000000000002</v>
      </c>
      <c r="C261" s="1611">
        <v>0.85770000000000002</v>
      </c>
      <c r="D261" s="1611">
        <v>0.84179999999999999</v>
      </c>
      <c r="E261" s="1611">
        <v>0.84179999999999999</v>
      </c>
      <c r="F261" s="1611">
        <v>0.84179999999999999</v>
      </c>
      <c r="G261" s="1611">
        <v>0.84179999999999999</v>
      </c>
      <c r="H261" s="1611">
        <v>0.84179999999999999</v>
      </c>
      <c r="I261" s="1611">
        <v>0.70399999999999996</v>
      </c>
      <c r="J261" s="1611">
        <v>0.70399999999999996</v>
      </c>
      <c r="K261" s="1611">
        <v>0.70399999999999996</v>
      </c>
      <c r="L261" s="1611">
        <v>0.70399999999999996</v>
      </c>
      <c r="M261" s="1611">
        <v>0.70399999999999996</v>
      </c>
    </row>
    <row r="262" spans="1:13">
      <c r="A262" s="1602">
        <v>5.6</v>
      </c>
      <c r="B262" s="1611">
        <v>0.85599999999999998</v>
      </c>
      <c r="C262" s="1611">
        <v>0.85599999999999998</v>
      </c>
      <c r="D262" s="1611">
        <v>0.83979999999999999</v>
      </c>
      <c r="E262" s="1611">
        <v>0.83979999999999999</v>
      </c>
      <c r="F262" s="1611">
        <v>0.83979999999999999</v>
      </c>
      <c r="G262" s="1611">
        <v>0.83979999999999999</v>
      </c>
      <c r="H262" s="1611">
        <v>0.83979999999999999</v>
      </c>
      <c r="I262" s="1611">
        <v>0.7016</v>
      </c>
      <c r="J262" s="1611">
        <v>0.7016</v>
      </c>
      <c r="K262" s="1611">
        <v>0.7016</v>
      </c>
      <c r="L262" s="1611">
        <v>0.7016</v>
      </c>
      <c r="M262" s="1611">
        <v>0.7016</v>
      </c>
    </row>
    <row r="263" spans="1:13">
      <c r="A263" s="1625">
        <v>5.7</v>
      </c>
      <c r="B263" s="1611">
        <v>0.85440000000000005</v>
      </c>
      <c r="C263" s="1611">
        <v>0.85440000000000005</v>
      </c>
      <c r="D263" s="1611">
        <v>0.83789999999999998</v>
      </c>
      <c r="E263" s="1611">
        <v>0.83789999999999998</v>
      </c>
      <c r="F263" s="1611">
        <v>0.83789999999999998</v>
      </c>
      <c r="G263" s="1611">
        <v>0.83789999999999998</v>
      </c>
      <c r="H263" s="1611">
        <v>0.83789999999999998</v>
      </c>
      <c r="I263" s="1611">
        <v>0.69940000000000002</v>
      </c>
      <c r="J263" s="1611">
        <v>0.69940000000000002</v>
      </c>
      <c r="K263" s="1611">
        <v>0.69940000000000002</v>
      </c>
      <c r="L263" s="1611">
        <v>0.69940000000000002</v>
      </c>
      <c r="M263" s="1611">
        <v>0.69940000000000002</v>
      </c>
    </row>
    <row r="264" spans="1:13">
      <c r="A264" s="1602">
        <v>5.8</v>
      </c>
      <c r="B264" s="1611">
        <v>0.85289999999999999</v>
      </c>
      <c r="C264" s="1611">
        <v>0.85289999999999999</v>
      </c>
      <c r="D264" s="1611">
        <v>0.83599999999999997</v>
      </c>
      <c r="E264" s="1611">
        <v>0.83599999999999997</v>
      </c>
      <c r="F264" s="1611">
        <v>0.83599999999999997</v>
      </c>
      <c r="G264" s="1611">
        <v>0.83599999999999997</v>
      </c>
      <c r="H264" s="1611">
        <v>0.83599999999999997</v>
      </c>
      <c r="I264" s="1611">
        <v>0.69720000000000004</v>
      </c>
      <c r="J264" s="1611">
        <v>0.69720000000000004</v>
      </c>
      <c r="K264" s="1611">
        <v>0.69720000000000004</v>
      </c>
      <c r="L264" s="1611">
        <v>0.69720000000000004</v>
      </c>
      <c r="M264" s="1611">
        <v>0.69720000000000004</v>
      </c>
    </row>
    <row r="265" spans="1:13">
      <c r="A265" s="1602">
        <v>5.9</v>
      </c>
      <c r="B265" s="1611">
        <v>0.85150000000000003</v>
      </c>
      <c r="C265" s="1611">
        <v>0.85150000000000003</v>
      </c>
      <c r="D265" s="1611">
        <v>0.83430000000000004</v>
      </c>
      <c r="E265" s="1611">
        <v>0.83430000000000004</v>
      </c>
      <c r="F265" s="1611">
        <v>0.83430000000000004</v>
      </c>
      <c r="G265" s="1611">
        <v>0.83430000000000004</v>
      </c>
      <c r="H265" s="1611">
        <v>0.83430000000000004</v>
      </c>
      <c r="I265" s="1611">
        <v>0.69520000000000004</v>
      </c>
      <c r="J265" s="1611">
        <v>0.69520000000000004</v>
      </c>
      <c r="K265" s="1611">
        <v>0.69520000000000004</v>
      </c>
      <c r="L265" s="1611">
        <v>0.69520000000000004</v>
      </c>
      <c r="M265" s="1611">
        <v>0.69520000000000004</v>
      </c>
    </row>
    <row r="266" spans="1:13">
      <c r="A266" s="1602">
        <v>6</v>
      </c>
      <c r="B266" s="1611">
        <v>0.85019999999999996</v>
      </c>
      <c r="C266" s="1611">
        <v>0.85019999999999996</v>
      </c>
      <c r="D266" s="1611">
        <v>0.8327</v>
      </c>
      <c r="E266" s="1611">
        <v>0.8327</v>
      </c>
      <c r="F266" s="1611">
        <v>0.8327</v>
      </c>
      <c r="G266" s="1611">
        <v>0.8327</v>
      </c>
      <c r="H266" s="1611">
        <v>0.8327</v>
      </c>
      <c r="I266" s="1611">
        <v>0.69320000000000004</v>
      </c>
      <c r="J266" s="1611">
        <v>0.69320000000000004</v>
      </c>
      <c r="K266" s="1611">
        <v>0.69320000000000004</v>
      </c>
      <c r="L266" s="1611">
        <v>0.69320000000000004</v>
      </c>
      <c r="M266" s="1611">
        <v>0.69320000000000004</v>
      </c>
    </row>
    <row r="267" spans="1:13">
      <c r="A267" s="1602">
        <v>6.1</v>
      </c>
      <c r="B267" s="1611">
        <v>0.84899999999999998</v>
      </c>
      <c r="C267" s="1611">
        <v>0.84899999999999998</v>
      </c>
      <c r="D267" s="1611">
        <v>0.83109999999999995</v>
      </c>
      <c r="E267" s="1611">
        <v>0.83109999999999995</v>
      </c>
      <c r="F267" s="1611">
        <v>0.83109999999999995</v>
      </c>
      <c r="G267" s="1611">
        <v>0.83109999999999995</v>
      </c>
      <c r="H267" s="1611">
        <v>0.83109999999999995</v>
      </c>
      <c r="I267" s="1611">
        <v>0.69130000000000003</v>
      </c>
      <c r="J267" s="1611">
        <v>0.69130000000000003</v>
      </c>
      <c r="K267" s="1611">
        <v>0.69130000000000003</v>
      </c>
      <c r="L267" s="1611">
        <v>0.69130000000000003</v>
      </c>
      <c r="M267" s="1611">
        <v>0.69130000000000003</v>
      </c>
    </row>
    <row r="268" spans="1:13">
      <c r="A268" s="1602">
        <v>6.2</v>
      </c>
      <c r="B268" s="1611">
        <v>0.8478</v>
      </c>
      <c r="C268" s="1611">
        <v>0.8478</v>
      </c>
      <c r="D268" s="1611">
        <v>0.8296</v>
      </c>
      <c r="E268" s="1611">
        <v>0.8296</v>
      </c>
      <c r="F268" s="1611">
        <v>0.8296</v>
      </c>
      <c r="G268" s="1611">
        <v>0.8296</v>
      </c>
      <c r="H268" s="1611">
        <v>0.8296</v>
      </c>
      <c r="I268" s="1611">
        <v>0.68940000000000001</v>
      </c>
      <c r="J268" s="1611">
        <v>0.68940000000000001</v>
      </c>
      <c r="K268" s="1611">
        <v>0.68940000000000001</v>
      </c>
      <c r="L268" s="1611">
        <v>0.68940000000000001</v>
      </c>
      <c r="M268" s="1611">
        <v>0.68940000000000001</v>
      </c>
    </row>
    <row r="269" spans="1:13">
      <c r="A269" s="1602">
        <v>6.3</v>
      </c>
      <c r="B269" s="1611">
        <v>0.84670000000000001</v>
      </c>
      <c r="C269" s="1611">
        <v>0.84670000000000001</v>
      </c>
      <c r="D269" s="1611">
        <v>0.82820000000000005</v>
      </c>
      <c r="E269" s="1611">
        <v>0.82820000000000005</v>
      </c>
      <c r="F269" s="1611">
        <v>0.82820000000000005</v>
      </c>
      <c r="G269" s="1611">
        <v>0.82820000000000005</v>
      </c>
      <c r="H269" s="1611">
        <v>0.82820000000000005</v>
      </c>
      <c r="I269" s="1611">
        <v>0.68769999999999998</v>
      </c>
      <c r="J269" s="1611">
        <v>0.68769999999999998</v>
      </c>
      <c r="K269" s="1611">
        <v>0.68769999999999998</v>
      </c>
      <c r="L269" s="1611">
        <v>0.68769999999999998</v>
      </c>
      <c r="M269" s="1611">
        <v>0.68769999999999998</v>
      </c>
    </row>
    <row r="270" spans="1:13">
      <c r="A270" s="1602">
        <v>6.4</v>
      </c>
      <c r="B270" s="1611">
        <v>0.84570000000000001</v>
      </c>
      <c r="C270" s="1611">
        <v>0.84570000000000001</v>
      </c>
      <c r="D270" s="1611">
        <v>0.82689999999999997</v>
      </c>
      <c r="E270" s="1611">
        <v>0.82689999999999997</v>
      </c>
      <c r="F270" s="1611">
        <v>0.82689999999999997</v>
      </c>
      <c r="G270" s="1611">
        <v>0.82689999999999997</v>
      </c>
      <c r="H270" s="1611">
        <v>0.82689999999999997</v>
      </c>
      <c r="I270" s="1611">
        <v>0.68610000000000004</v>
      </c>
      <c r="J270" s="1611">
        <v>0.68610000000000004</v>
      </c>
      <c r="K270" s="1611">
        <v>0.68610000000000004</v>
      </c>
      <c r="L270" s="1611">
        <v>0.68610000000000004</v>
      </c>
      <c r="M270" s="1611">
        <v>0.68610000000000004</v>
      </c>
    </row>
    <row r="271" spans="1:13">
      <c r="A271" s="1602">
        <v>6.5</v>
      </c>
      <c r="B271" s="1611">
        <v>0.84470000000000001</v>
      </c>
      <c r="C271" s="1611">
        <v>0.84470000000000001</v>
      </c>
      <c r="D271" s="1611">
        <v>0.82569999999999999</v>
      </c>
      <c r="E271" s="1611">
        <v>0.82569999999999999</v>
      </c>
      <c r="F271" s="1611">
        <v>0.82569999999999999</v>
      </c>
      <c r="G271" s="1611">
        <v>0.82569999999999999</v>
      </c>
      <c r="H271" s="1611">
        <v>0.82569999999999999</v>
      </c>
      <c r="I271" s="1611">
        <v>0.68440000000000001</v>
      </c>
      <c r="J271" s="1611">
        <v>0.68440000000000001</v>
      </c>
      <c r="K271" s="1611">
        <v>0.68440000000000001</v>
      </c>
      <c r="L271" s="1611">
        <v>0.68440000000000001</v>
      </c>
      <c r="M271" s="1611">
        <v>0.68440000000000001</v>
      </c>
    </row>
    <row r="272" spans="1:13">
      <c r="A272" s="1602">
        <v>6.6</v>
      </c>
      <c r="B272" s="1611">
        <v>0.84370000000000001</v>
      </c>
      <c r="C272" s="1611">
        <v>0.84370000000000001</v>
      </c>
      <c r="D272" s="1611">
        <v>0.82450000000000001</v>
      </c>
      <c r="E272" s="1611">
        <v>0.82450000000000001</v>
      </c>
      <c r="F272" s="1611">
        <v>0.82450000000000001</v>
      </c>
      <c r="G272" s="1611">
        <v>0.82450000000000001</v>
      </c>
      <c r="H272" s="1611">
        <v>0.82450000000000001</v>
      </c>
      <c r="I272" s="1611">
        <v>0.68289999999999995</v>
      </c>
      <c r="J272" s="1611">
        <v>0.68289999999999995</v>
      </c>
      <c r="K272" s="1611">
        <v>0.68289999999999995</v>
      </c>
      <c r="L272" s="1611">
        <v>0.68289999999999995</v>
      </c>
      <c r="M272" s="1611">
        <v>0.68289999999999995</v>
      </c>
    </row>
    <row r="273" spans="1:13">
      <c r="A273" s="1602">
        <v>6.7</v>
      </c>
      <c r="B273" s="1611">
        <v>0.8427</v>
      </c>
      <c r="C273" s="1611">
        <v>0.8427</v>
      </c>
      <c r="D273" s="1611">
        <v>0.82330000000000003</v>
      </c>
      <c r="E273" s="1611">
        <v>0.82330000000000003</v>
      </c>
      <c r="F273" s="1611">
        <v>0.82330000000000003</v>
      </c>
      <c r="G273" s="1611">
        <v>0.82330000000000003</v>
      </c>
      <c r="H273" s="1611">
        <v>0.82330000000000003</v>
      </c>
      <c r="I273" s="1611">
        <v>0.68130000000000002</v>
      </c>
      <c r="J273" s="1611">
        <v>0.68130000000000002</v>
      </c>
      <c r="K273" s="1611">
        <v>0.68130000000000002</v>
      </c>
      <c r="L273" s="1611">
        <v>0.68130000000000002</v>
      </c>
      <c r="M273" s="1611">
        <v>0.68130000000000002</v>
      </c>
    </row>
    <row r="274" spans="1:13">
      <c r="A274" s="1602">
        <v>6.8</v>
      </c>
      <c r="B274" s="1611">
        <v>0.84179999999999999</v>
      </c>
      <c r="C274" s="1611">
        <v>0.84179999999999999</v>
      </c>
      <c r="D274" s="1611">
        <v>0.82210000000000005</v>
      </c>
      <c r="E274" s="1611">
        <v>0.82210000000000005</v>
      </c>
      <c r="F274" s="1611">
        <v>0.82210000000000005</v>
      </c>
      <c r="G274" s="1611">
        <v>0.82210000000000005</v>
      </c>
      <c r="H274" s="1611">
        <v>0.82210000000000005</v>
      </c>
      <c r="I274" s="1611">
        <v>0.67979999999999996</v>
      </c>
      <c r="J274" s="1611">
        <v>0.67979999999999996</v>
      </c>
      <c r="K274" s="1611">
        <v>0.67979999999999996</v>
      </c>
      <c r="L274" s="1611">
        <v>0.67979999999999996</v>
      </c>
      <c r="M274" s="1611">
        <v>0.67979999999999996</v>
      </c>
    </row>
    <row r="275" spans="1:13">
      <c r="A275" s="1602">
        <v>6.9</v>
      </c>
      <c r="B275" s="1611">
        <v>0.84089999999999998</v>
      </c>
      <c r="C275" s="1611">
        <v>0.84089999999999998</v>
      </c>
      <c r="D275" s="1611">
        <v>0.82099999999999995</v>
      </c>
      <c r="E275" s="1611">
        <v>0.82099999999999995</v>
      </c>
      <c r="F275" s="1611">
        <v>0.82099999999999995</v>
      </c>
      <c r="G275" s="1611">
        <v>0.82099999999999995</v>
      </c>
      <c r="H275" s="1611">
        <v>0.82099999999999995</v>
      </c>
      <c r="I275" s="1611">
        <v>0.67849999999999999</v>
      </c>
      <c r="J275" s="1611">
        <v>0.67849999999999999</v>
      </c>
      <c r="K275" s="1611">
        <v>0.67849999999999999</v>
      </c>
      <c r="L275" s="1611">
        <v>0.67849999999999999</v>
      </c>
      <c r="M275" s="1611">
        <v>0.67849999999999999</v>
      </c>
    </row>
    <row r="276" spans="1:13">
      <c r="A276" s="1602">
        <v>7</v>
      </c>
      <c r="B276" s="1611">
        <v>0.84009999999999996</v>
      </c>
      <c r="C276" s="1611">
        <v>0.84009999999999996</v>
      </c>
      <c r="D276" s="1611">
        <v>0.81989999999999996</v>
      </c>
      <c r="E276" s="1611">
        <v>0.81989999999999996</v>
      </c>
      <c r="F276" s="1611">
        <v>0.81989999999999996</v>
      </c>
      <c r="G276" s="1611">
        <v>0.81989999999999996</v>
      </c>
      <c r="H276" s="1611">
        <v>0.81989999999999996</v>
      </c>
      <c r="I276" s="1611">
        <v>0.67720000000000002</v>
      </c>
      <c r="J276" s="1611">
        <v>0.67720000000000002</v>
      </c>
      <c r="K276" s="1611">
        <v>0.67720000000000002</v>
      </c>
      <c r="L276" s="1611">
        <v>0.67720000000000002</v>
      </c>
      <c r="M276" s="1611">
        <v>0.67720000000000002</v>
      </c>
    </row>
    <row r="277" spans="1:13">
      <c r="A277" s="1602">
        <v>7.1</v>
      </c>
      <c r="B277" s="1611">
        <v>0.83930000000000005</v>
      </c>
      <c r="C277" s="1611">
        <v>0.83930000000000005</v>
      </c>
      <c r="D277" s="1611">
        <v>0.81889999999999996</v>
      </c>
      <c r="E277" s="1611">
        <v>0.81889999999999996</v>
      </c>
      <c r="F277" s="1611">
        <v>0.81889999999999996</v>
      </c>
      <c r="G277" s="1611">
        <v>0.81889999999999996</v>
      </c>
      <c r="H277" s="1611">
        <v>0.81889999999999996</v>
      </c>
      <c r="I277" s="1611">
        <v>0.67589999999999995</v>
      </c>
      <c r="J277" s="1611">
        <v>0.67589999999999995</v>
      </c>
      <c r="K277" s="1611">
        <v>0.67589999999999995</v>
      </c>
      <c r="L277" s="1611">
        <v>0.67589999999999995</v>
      </c>
      <c r="M277" s="1611">
        <v>0.67589999999999995</v>
      </c>
    </row>
    <row r="278" spans="1:13">
      <c r="A278" s="1602">
        <v>7.2</v>
      </c>
      <c r="B278" s="1611">
        <v>0.83850000000000002</v>
      </c>
      <c r="C278" s="1611">
        <v>0.83850000000000002</v>
      </c>
      <c r="D278" s="1611">
        <v>0.81789999999999996</v>
      </c>
      <c r="E278" s="1611">
        <v>0.81789999999999996</v>
      </c>
      <c r="F278" s="1611">
        <v>0.81789999999999996</v>
      </c>
      <c r="G278" s="1611">
        <v>0.81789999999999996</v>
      </c>
      <c r="H278" s="1611">
        <v>0.81789999999999996</v>
      </c>
      <c r="I278" s="1611">
        <v>0.67459999999999998</v>
      </c>
      <c r="J278" s="1611">
        <v>0.67459999999999998</v>
      </c>
      <c r="K278" s="1611">
        <v>0.67459999999999998</v>
      </c>
      <c r="L278" s="1611">
        <v>0.67459999999999998</v>
      </c>
      <c r="M278" s="1611">
        <v>0.67459999999999998</v>
      </c>
    </row>
    <row r="279" spans="1:13">
      <c r="A279" s="1602">
        <v>7.3</v>
      </c>
      <c r="B279" s="1611">
        <v>0.8377</v>
      </c>
      <c r="C279" s="1611">
        <v>0.8377</v>
      </c>
      <c r="D279" s="1611">
        <v>0.81689999999999996</v>
      </c>
      <c r="E279" s="1611">
        <v>0.81689999999999996</v>
      </c>
      <c r="F279" s="1611">
        <v>0.81689999999999996</v>
      </c>
      <c r="G279" s="1611">
        <v>0.81689999999999996</v>
      </c>
      <c r="H279" s="1611">
        <v>0.81689999999999996</v>
      </c>
      <c r="I279" s="1611">
        <v>0.6734</v>
      </c>
      <c r="J279" s="1611">
        <v>0.6734</v>
      </c>
      <c r="K279" s="1611">
        <v>0.6734</v>
      </c>
      <c r="L279" s="1611">
        <v>0.6734</v>
      </c>
      <c r="M279" s="1611">
        <v>0.6734</v>
      </c>
    </row>
    <row r="280" spans="1:13">
      <c r="A280" s="1602">
        <v>7.4</v>
      </c>
      <c r="B280" s="1611">
        <v>0.83699999999999997</v>
      </c>
      <c r="C280" s="1611">
        <v>0.83699999999999997</v>
      </c>
      <c r="D280" s="1611">
        <v>0.81599999999999995</v>
      </c>
      <c r="E280" s="1611">
        <v>0.81599999999999995</v>
      </c>
      <c r="F280" s="1611">
        <v>0.81599999999999995</v>
      </c>
      <c r="G280" s="1611">
        <v>0.81599999999999995</v>
      </c>
      <c r="H280" s="1611">
        <v>0.81599999999999995</v>
      </c>
      <c r="I280" s="1611">
        <v>0.67210000000000003</v>
      </c>
      <c r="J280" s="1611">
        <v>0.67210000000000003</v>
      </c>
      <c r="K280" s="1611">
        <v>0.67210000000000003</v>
      </c>
      <c r="L280" s="1611">
        <v>0.67210000000000003</v>
      </c>
      <c r="M280" s="1611">
        <v>0.67210000000000003</v>
      </c>
    </row>
    <row r="281" spans="1:13">
      <c r="A281" s="1602">
        <v>7.5</v>
      </c>
      <c r="B281" s="1611">
        <v>0.83630000000000004</v>
      </c>
      <c r="C281" s="1611">
        <v>0.83630000000000004</v>
      </c>
      <c r="D281" s="1611">
        <v>0.81510000000000005</v>
      </c>
      <c r="E281" s="1611">
        <v>0.81510000000000005</v>
      </c>
      <c r="F281" s="1611">
        <v>0.81510000000000005</v>
      </c>
      <c r="G281" s="1611">
        <v>0.81510000000000005</v>
      </c>
      <c r="H281" s="1611">
        <v>0.81510000000000005</v>
      </c>
      <c r="I281" s="1611">
        <v>0.67090000000000005</v>
      </c>
      <c r="J281" s="1611">
        <v>0.67090000000000005</v>
      </c>
      <c r="K281" s="1611">
        <v>0.67090000000000005</v>
      </c>
      <c r="L281" s="1611">
        <v>0.67090000000000005</v>
      </c>
      <c r="M281" s="1611">
        <v>0.67090000000000005</v>
      </c>
    </row>
    <row r="282" spans="1:13">
      <c r="A282" s="1602">
        <v>7.6</v>
      </c>
      <c r="B282" s="1611">
        <v>0.83560000000000001</v>
      </c>
      <c r="C282" s="1611">
        <v>0.83560000000000001</v>
      </c>
      <c r="D282" s="1611">
        <v>0.81420000000000003</v>
      </c>
      <c r="E282" s="1611">
        <v>0.81420000000000003</v>
      </c>
      <c r="F282" s="1611">
        <v>0.81420000000000003</v>
      </c>
      <c r="G282" s="1611">
        <v>0.81420000000000003</v>
      </c>
      <c r="H282" s="1611">
        <v>0.81420000000000003</v>
      </c>
      <c r="I282" s="1611">
        <v>0.66979999999999995</v>
      </c>
      <c r="J282" s="1611">
        <v>0.66979999999999995</v>
      </c>
      <c r="K282" s="1611">
        <v>0.66979999999999995</v>
      </c>
      <c r="L282" s="1611">
        <v>0.66979999999999995</v>
      </c>
      <c r="M282" s="1611">
        <v>0.66979999999999995</v>
      </c>
    </row>
    <row r="283" spans="1:13">
      <c r="A283" s="1602">
        <v>7.7</v>
      </c>
      <c r="B283" s="1611">
        <v>0.83489999999999998</v>
      </c>
      <c r="C283" s="1611">
        <v>0.83489999999999998</v>
      </c>
      <c r="D283" s="1611">
        <v>0.81330000000000002</v>
      </c>
      <c r="E283" s="1611">
        <v>0.81330000000000002</v>
      </c>
      <c r="F283" s="1611">
        <v>0.81330000000000002</v>
      </c>
      <c r="G283" s="1611">
        <v>0.81330000000000002</v>
      </c>
      <c r="H283" s="1611">
        <v>0.81330000000000002</v>
      </c>
      <c r="I283" s="1611">
        <v>0.66869999999999996</v>
      </c>
      <c r="J283" s="1611">
        <v>0.66869999999999996</v>
      </c>
      <c r="K283" s="1611">
        <v>0.66869999999999996</v>
      </c>
      <c r="L283" s="1611">
        <v>0.66869999999999996</v>
      </c>
      <c r="M283" s="1611">
        <v>0.66869999999999996</v>
      </c>
    </row>
    <row r="284" spans="1:13">
      <c r="A284" s="1602">
        <v>7.8</v>
      </c>
      <c r="B284" s="1611">
        <v>0.83420000000000005</v>
      </c>
      <c r="C284" s="1611">
        <v>0.83420000000000005</v>
      </c>
      <c r="D284" s="1611">
        <v>0.81240000000000001</v>
      </c>
      <c r="E284" s="1611">
        <v>0.81240000000000001</v>
      </c>
      <c r="F284" s="1611">
        <v>0.81240000000000001</v>
      </c>
      <c r="G284" s="1611">
        <v>0.81240000000000001</v>
      </c>
      <c r="H284" s="1611">
        <v>0.81240000000000001</v>
      </c>
      <c r="I284" s="1611">
        <v>0.66759999999999997</v>
      </c>
      <c r="J284" s="1611">
        <v>0.66759999999999997</v>
      </c>
      <c r="K284" s="1611">
        <v>0.66759999999999997</v>
      </c>
      <c r="L284" s="1611">
        <v>0.66759999999999997</v>
      </c>
      <c r="M284" s="1611">
        <v>0.66759999999999997</v>
      </c>
    </row>
    <row r="285" spans="1:13">
      <c r="A285" s="1602">
        <v>7.9</v>
      </c>
      <c r="B285" s="1611">
        <v>0.83350000000000002</v>
      </c>
      <c r="C285" s="1611">
        <v>0.83350000000000002</v>
      </c>
      <c r="D285" s="1611">
        <v>0.81159999999999999</v>
      </c>
      <c r="E285" s="1611">
        <v>0.81159999999999999</v>
      </c>
      <c r="F285" s="1611">
        <v>0.81159999999999999</v>
      </c>
      <c r="G285" s="1611">
        <v>0.81159999999999999</v>
      </c>
      <c r="H285" s="1611">
        <v>0.81159999999999999</v>
      </c>
      <c r="I285" s="1611">
        <v>0.66649999999999998</v>
      </c>
      <c r="J285" s="1611">
        <v>0.66649999999999998</v>
      </c>
      <c r="K285" s="1611">
        <v>0.66649999999999998</v>
      </c>
      <c r="L285" s="1611">
        <v>0.66649999999999998</v>
      </c>
      <c r="M285" s="1611">
        <v>0.66649999999999998</v>
      </c>
    </row>
    <row r="286" spans="1:13">
      <c r="A286" s="1602">
        <v>8</v>
      </c>
      <c r="B286" s="1611">
        <v>0.83279999999999998</v>
      </c>
      <c r="C286" s="1611">
        <v>0.83279999999999998</v>
      </c>
      <c r="D286" s="1611">
        <v>0.81079999999999997</v>
      </c>
      <c r="E286" s="1611">
        <v>0.81079999999999997</v>
      </c>
      <c r="F286" s="1611">
        <v>0.81079999999999997</v>
      </c>
      <c r="G286" s="1611">
        <v>0.81079999999999997</v>
      </c>
      <c r="H286" s="1611">
        <v>0.81079999999999997</v>
      </c>
      <c r="I286" s="1611">
        <v>0.66549999999999998</v>
      </c>
      <c r="J286" s="1611">
        <v>0.66549999999999998</v>
      </c>
      <c r="K286" s="1611">
        <v>0.66549999999999998</v>
      </c>
      <c r="L286" s="1611">
        <v>0.66549999999999998</v>
      </c>
      <c r="M286" s="1611">
        <v>0.66549999999999998</v>
      </c>
    </row>
    <row r="287" spans="1:13">
      <c r="A287" s="1602">
        <v>8.1</v>
      </c>
      <c r="B287" s="1611">
        <v>0.83220000000000005</v>
      </c>
      <c r="C287" s="1611">
        <v>0.83220000000000005</v>
      </c>
      <c r="D287" s="1611">
        <v>0.81</v>
      </c>
      <c r="E287" s="1611">
        <v>0.81</v>
      </c>
      <c r="F287" s="1611">
        <v>0.81</v>
      </c>
      <c r="G287" s="1611">
        <v>0.81</v>
      </c>
      <c r="H287" s="1611">
        <v>0.81</v>
      </c>
      <c r="I287" s="1611">
        <v>0.66439999999999999</v>
      </c>
      <c r="J287" s="1611">
        <v>0.66439999999999999</v>
      </c>
      <c r="K287" s="1611">
        <v>0.66439999999999999</v>
      </c>
      <c r="L287" s="1611">
        <v>0.66439999999999999</v>
      </c>
      <c r="M287" s="1611">
        <v>0.66439999999999999</v>
      </c>
    </row>
    <row r="288" spans="1:13">
      <c r="A288" s="1602">
        <v>8.1999999999999993</v>
      </c>
      <c r="B288" s="1611">
        <v>0.83160000000000001</v>
      </c>
      <c r="C288" s="1611">
        <v>0.83160000000000001</v>
      </c>
      <c r="D288" s="1611">
        <v>0.80920000000000003</v>
      </c>
      <c r="E288" s="1611">
        <v>0.80920000000000003</v>
      </c>
      <c r="F288" s="1611">
        <v>0.80920000000000003</v>
      </c>
      <c r="G288" s="1611">
        <v>0.80920000000000003</v>
      </c>
      <c r="H288" s="1611">
        <v>0.80920000000000003</v>
      </c>
      <c r="I288" s="1611">
        <v>0.66339999999999999</v>
      </c>
      <c r="J288" s="1611">
        <v>0.66339999999999999</v>
      </c>
      <c r="K288" s="1611">
        <v>0.66339999999999999</v>
      </c>
      <c r="L288" s="1611">
        <v>0.66339999999999999</v>
      </c>
      <c r="M288" s="1611">
        <v>0.66339999999999999</v>
      </c>
    </row>
    <row r="289" spans="1:13">
      <c r="A289" s="1602">
        <v>8.3000000000000007</v>
      </c>
      <c r="B289" s="1611">
        <v>0.83099999999999996</v>
      </c>
      <c r="C289" s="1611">
        <v>0.83099999999999996</v>
      </c>
      <c r="D289" s="1611">
        <v>0.80840000000000001</v>
      </c>
      <c r="E289" s="1611">
        <v>0.80840000000000001</v>
      </c>
      <c r="F289" s="1611">
        <v>0.80840000000000001</v>
      </c>
      <c r="G289" s="1611">
        <v>0.80840000000000001</v>
      </c>
      <c r="H289" s="1611">
        <v>0.80840000000000001</v>
      </c>
      <c r="I289" s="1611">
        <v>0.66239999999999999</v>
      </c>
      <c r="J289" s="1611">
        <v>0.66239999999999999</v>
      </c>
      <c r="K289" s="1611">
        <v>0.66239999999999999</v>
      </c>
      <c r="L289" s="1611">
        <v>0.66239999999999999</v>
      </c>
      <c r="M289" s="1611">
        <v>0.66239999999999999</v>
      </c>
    </row>
    <row r="290" spans="1:13">
      <c r="A290" s="1602">
        <v>8.4</v>
      </c>
      <c r="B290" s="1611">
        <v>0.83040000000000003</v>
      </c>
      <c r="C290" s="1611">
        <v>0.83040000000000003</v>
      </c>
      <c r="D290" s="1611">
        <v>0.80759999999999998</v>
      </c>
      <c r="E290" s="1611">
        <v>0.80759999999999998</v>
      </c>
      <c r="F290" s="1611">
        <v>0.80759999999999998</v>
      </c>
      <c r="G290" s="1611">
        <v>0.80759999999999998</v>
      </c>
      <c r="H290" s="1611">
        <v>0.80759999999999998</v>
      </c>
      <c r="I290" s="1611">
        <v>0.66139999999999999</v>
      </c>
      <c r="J290" s="1611">
        <v>0.66139999999999999</v>
      </c>
      <c r="K290" s="1611">
        <v>0.66139999999999999</v>
      </c>
      <c r="L290" s="1611">
        <v>0.66139999999999999</v>
      </c>
      <c r="M290" s="1611">
        <v>0.66139999999999999</v>
      </c>
    </row>
    <row r="291" spans="1:13">
      <c r="A291" s="1602">
        <v>8.5</v>
      </c>
      <c r="B291" s="1611">
        <v>0.82979999999999998</v>
      </c>
      <c r="C291" s="1611">
        <v>0.82979999999999998</v>
      </c>
      <c r="D291" s="1611">
        <v>0.80679999999999996</v>
      </c>
      <c r="E291" s="1611">
        <v>0.80679999999999996</v>
      </c>
      <c r="F291" s="1611">
        <v>0.80679999999999996</v>
      </c>
      <c r="G291" s="1611">
        <v>0.80679999999999996</v>
      </c>
      <c r="H291" s="1611">
        <v>0.80679999999999996</v>
      </c>
      <c r="I291" s="1611">
        <v>0.66049999999999998</v>
      </c>
      <c r="J291" s="1611">
        <v>0.66049999999999998</v>
      </c>
      <c r="K291" s="1611">
        <v>0.66049999999999998</v>
      </c>
      <c r="L291" s="1611">
        <v>0.66049999999999998</v>
      </c>
      <c r="M291" s="1611">
        <v>0.66049999999999998</v>
      </c>
    </row>
    <row r="292" spans="1:13">
      <c r="A292" s="1602">
        <v>8.6</v>
      </c>
      <c r="B292" s="1611">
        <v>0.82920000000000005</v>
      </c>
      <c r="C292" s="1611">
        <v>0.82920000000000005</v>
      </c>
      <c r="D292" s="1611">
        <v>0.80600000000000005</v>
      </c>
      <c r="E292" s="1611">
        <v>0.80600000000000005</v>
      </c>
      <c r="F292" s="1611">
        <v>0.80600000000000005</v>
      </c>
      <c r="G292" s="1611">
        <v>0.80600000000000005</v>
      </c>
      <c r="H292" s="1611">
        <v>0.80600000000000005</v>
      </c>
      <c r="I292" s="1611">
        <v>0.65949999999999998</v>
      </c>
      <c r="J292" s="1611">
        <v>0.65949999999999998</v>
      </c>
      <c r="K292" s="1611">
        <v>0.65949999999999998</v>
      </c>
      <c r="L292" s="1611">
        <v>0.65949999999999998</v>
      </c>
      <c r="M292" s="1611">
        <v>0.65949999999999998</v>
      </c>
    </row>
    <row r="293" spans="1:13">
      <c r="A293" s="1602">
        <v>8.6999999999999993</v>
      </c>
      <c r="B293" s="1611">
        <v>0.8286</v>
      </c>
      <c r="C293" s="1611">
        <v>0.8286</v>
      </c>
      <c r="D293" s="1611">
        <v>0.80520000000000003</v>
      </c>
      <c r="E293" s="1611">
        <v>0.80520000000000003</v>
      </c>
      <c r="F293" s="1611">
        <v>0.80520000000000003</v>
      </c>
      <c r="G293" s="1611">
        <v>0.80520000000000003</v>
      </c>
      <c r="H293" s="1611">
        <v>0.80520000000000003</v>
      </c>
      <c r="I293" s="1611">
        <v>0.65859999999999996</v>
      </c>
      <c r="J293" s="1611">
        <v>0.65859999999999996</v>
      </c>
      <c r="K293" s="1611">
        <v>0.65859999999999996</v>
      </c>
      <c r="L293" s="1611">
        <v>0.65859999999999996</v>
      </c>
      <c r="M293" s="1611">
        <v>0.65859999999999996</v>
      </c>
    </row>
    <row r="294" spans="1:13">
      <c r="A294" s="1602">
        <v>8.8000000000000007</v>
      </c>
      <c r="B294" s="1611">
        <v>0.82799999999999996</v>
      </c>
      <c r="C294" s="1611">
        <v>0.82799999999999996</v>
      </c>
      <c r="D294" s="1611">
        <v>0.8044</v>
      </c>
      <c r="E294" s="1611">
        <v>0.8044</v>
      </c>
      <c r="F294" s="1611">
        <v>0.8044</v>
      </c>
      <c r="G294" s="1611">
        <v>0.8044</v>
      </c>
      <c r="H294" s="1611">
        <v>0.8044</v>
      </c>
      <c r="I294" s="1611">
        <v>0.65759999999999996</v>
      </c>
      <c r="J294" s="1611">
        <v>0.65759999999999996</v>
      </c>
      <c r="K294" s="1611">
        <v>0.65759999999999996</v>
      </c>
      <c r="L294" s="1611">
        <v>0.65759999999999996</v>
      </c>
      <c r="M294" s="1611">
        <v>0.65759999999999996</v>
      </c>
    </row>
    <row r="295" spans="1:13">
      <c r="A295" s="1602">
        <v>8.9</v>
      </c>
      <c r="B295" s="1611">
        <v>0.82740000000000002</v>
      </c>
      <c r="C295" s="1611">
        <v>0.82740000000000002</v>
      </c>
      <c r="D295" s="1611">
        <v>0.80359999999999998</v>
      </c>
      <c r="E295" s="1611">
        <v>0.80359999999999998</v>
      </c>
      <c r="F295" s="1611">
        <v>0.80359999999999998</v>
      </c>
      <c r="G295" s="1611">
        <v>0.80359999999999998</v>
      </c>
      <c r="H295" s="1611">
        <v>0.80359999999999998</v>
      </c>
      <c r="I295" s="1611">
        <v>0.65669999999999995</v>
      </c>
      <c r="J295" s="1611">
        <v>0.65669999999999995</v>
      </c>
      <c r="K295" s="1611">
        <v>0.65669999999999995</v>
      </c>
      <c r="L295" s="1611">
        <v>0.65669999999999995</v>
      </c>
      <c r="M295" s="1611">
        <v>0.65669999999999995</v>
      </c>
    </row>
    <row r="296" spans="1:13">
      <c r="A296" s="1625">
        <v>9</v>
      </c>
      <c r="B296" s="1611">
        <v>0.82679999999999998</v>
      </c>
      <c r="C296" s="1611">
        <v>0.82679999999999998</v>
      </c>
      <c r="D296" s="1611">
        <v>0.80279999999999996</v>
      </c>
      <c r="E296" s="1611">
        <v>0.80279999999999996</v>
      </c>
      <c r="F296" s="1611">
        <v>0.80279999999999996</v>
      </c>
      <c r="G296" s="1611">
        <v>0.80279999999999996</v>
      </c>
      <c r="H296" s="1611">
        <v>0.80279999999999996</v>
      </c>
      <c r="I296" s="1611">
        <v>0.65569999999999995</v>
      </c>
      <c r="J296" s="1611">
        <v>0.65569999999999995</v>
      </c>
      <c r="K296" s="1611">
        <v>0.65569999999999995</v>
      </c>
      <c r="L296" s="1611">
        <v>0.65569999999999995</v>
      </c>
      <c r="M296" s="1611">
        <v>0.65569999999999995</v>
      </c>
    </row>
    <row r="297" spans="1:13">
      <c r="A297" s="1625">
        <v>9.1</v>
      </c>
      <c r="B297" s="1611">
        <v>0.82620000000000005</v>
      </c>
      <c r="C297" s="1611">
        <v>0.82620000000000005</v>
      </c>
      <c r="D297" s="1611">
        <v>0.80200000000000005</v>
      </c>
      <c r="E297" s="1611">
        <v>0.80200000000000005</v>
      </c>
      <c r="F297" s="1611">
        <v>0.80200000000000005</v>
      </c>
      <c r="G297" s="1611">
        <v>0.80200000000000005</v>
      </c>
      <c r="H297" s="1611">
        <v>0.80200000000000005</v>
      </c>
      <c r="I297" s="1611">
        <v>0.65480000000000005</v>
      </c>
      <c r="J297" s="1611">
        <v>0.65480000000000005</v>
      </c>
      <c r="K297" s="1611">
        <v>0.65480000000000005</v>
      </c>
      <c r="L297" s="1611">
        <v>0.65480000000000005</v>
      </c>
      <c r="M297" s="1611">
        <v>0.65480000000000005</v>
      </c>
    </row>
    <row r="298" spans="1:13">
      <c r="A298" s="1625">
        <v>9.1999999999999993</v>
      </c>
      <c r="B298" s="1611">
        <v>0.8256</v>
      </c>
      <c r="C298" s="1611">
        <v>0.8256</v>
      </c>
      <c r="D298" s="1611">
        <v>0.80120000000000002</v>
      </c>
      <c r="E298" s="1611">
        <v>0.80120000000000002</v>
      </c>
      <c r="F298" s="1611">
        <v>0.80120000000000002</v>
      </c>
      <c r="G298" s="1611">
        <v>0.80120000000000002</v>
      </c>
      <c r="H298" s="1611">
        <v>0.80120000000000002</v>
      </c>
      <c r="I298" s="1611">
        <v>0.65380000000000005</v>
      </c>
      <c r="J298" s="1611">
        <v>0.65380000000000005</v>
      </c>
      <c r="K298" s="1611">
        <v>0.65380000000000005</v>
      </c>
      <c r="L298" s="1611">
        <v>0.65380000000000005</v>
      </c>
      <c r="M298" s="1611">
        <v>0.65380000000000005</v>
      </c>
    </row>
    <row r="299" spans="1:13">
      <c r="A299" s="1625">
        <v>9.3000000000000007</v>
      </c>
      <c r="B299" s="1611">
        <v>0.82499999999999996</v>
      </c>
      <c r="C299" s="1611">
        <v>0.82499999999999996</v>
      </c>
      <c r="D299" s="1611">
        <v>0.8004</v>
      </c>
      <c r="E299" s="1611">
        <v>0.8004</v>
      </c>
      <c r="F299" s="1611">
        <v>0.8004</v>
      </c>
      <c r="G299" s="1611">
        <v>0.8004</v>
      </c>
      <c r="H299" s="1611">
        <v>0.8004</v>
      </c>
      <c r="I299" s="1611">
        <v>0.65290000000000004</v>
      </c>
      <c r="J299" s="1611">
        <v>0.65290000000000004</v>
      </c>
      <c r="K299" s="1611">
        <v>0.65290000000000004</v>
      </c>
      <c r="L299" s="1611">
        <v>0.65290000000000004</v>
      </c>
      <c r="M299" s="1611">
        <v>0.65290000000000004</v>
      </c>
    </row>
    <row r="300" spans="1:13">
      <c r="A300" s="1625">
        <v>9.4</v>
      </c>
      <c r="B300" s="1611">
        <v>0.82440000000000002</v>
      </c>
      <c r="C300" s="1611">
        <v>0.82440000000000002</v>
      </c>
      <c r="D300" s="1611">
        <v>0.79959999999999998</v>
      </c>
      <c r="E300" s="1611">
        <v>0.79959999999999998</v>
      </c>
      <c r="F300" s="1611">
        <v>0.79959999999999998</v>
      </c>
      <c r="G300" s="1611">
        <v>0.79959999999999998</v>
      </c>
      <c r="H300" s="1611">
        <v>0.79959999999999998</v>
      </c>
      <c r="I300" s="1611">
        <v>0.65190000000000003</v>
      </c>
      <c r="J300" s="1611">
        <v>0.65190000000000003</v>
      </c>
      <c r="K300" s="1611">
        <v>0.65190000000000003</v>
      </c>
      <c r="L300" s="1611">
        <v>0.65190000000000003</v>
      </c>
      <c r="M300" s="1611">
        <v>0.65190000000000003</v>
      </c>
    </row>
    <row r="301" spans="1:13">
      <c r="A301" s="1625">
        <v>9.5</v>
      </c>
      <c r="B301" s="1611">
        <v>0.82379999999999998</v>
      </c>
      <c r="C301" s="1611">
        <v>0.82379999999999998</v>
      </c>
      <c r="D301" s="1611">
        <v>0.79879999999999995</v>
      </c>
      <c r="E301" s="1611">
        <v>0.79879999999999995</v>
      </c>
      <c r="F301" s="1611">
        <v>0.79879999999999995</v>
      </c>
      <c r="G301" s="1611">
        <v>0.79879999999999995</v>
      </c>
      <c r="H301" s="1611">
        <v>0.79879999999999995</v>
      </c>
      <c r="I301" s="1611">
        <v>0.65100000000000002</v>
      </c>
      <c r="J301" s="1611">
        <v>0.65100000000000002</v>
      </c>
      <c r="K301" s="1611">
        <v>0.65100000000000002</v>
      </c>
      <c r="L301" s="1611">
        <v>0.65100000000000002</v>
      </c>
      <c r="M301" s="1611">
        <v>0.65100000000000002</v>
      </c>
    </row>
    <row r="302" spans="1:13">
      <c r="A302" s="1625">
        <v>9.6</v>
      </c>
      <c r="B302" s="1611">
        <v>0.82320000000000004</v>
      </c>
      <c r="C302" s="1611">
        <v>0.82320000000000004</v>
      </c>
      <c r="D302" s="1611">
        <v>0.79800000000000004</v>
      </c>
      <c r="E302" s="1611">
        <v>0.79800000000000004</v>
      </c>
      <c r="F302" s="1611">
        <v>0.79800000000000004</v>
      </c>
      <c r="G302" s="1611">
        <v>0.79800000000000004</v>
      </c>
      <c r="H302" s="1611">
        <v>0.79800000000000004</v>
      </c>
      <c r="I302" s="1611">
        <v>0.65</v>
      </c>
      <c r="J302" s="1611">
        <v>0.65</v>
      </c>
      <c r="K302" s="1611">
        <v>0.65</v>
      </c>
      <c r="L302" s="1611">
        <v>0.65</v>
      </c>
      <c r="M302" s="1611">
        <v>0.65</v>
      </c>
    </row>
    <row r="303" spans="1:13">
      <c r="A303" s="1625">
        <v>9.6999999999999993</v>
      </c>
      <c r="B303" s="1611">
        <v>0.8226</v>
      </c>
      <c r="C303" s="1611">
        <v>0.8226</v>
      </c>
      <c r="D303" s="1611">
        <v>0.79720000000000002</v>
      </c>
      <c r="E303" s="1611">
        <v>0.79720000000000002</v>
      </c>
      <c r="F303" s="1611">
        <v>0.79720000000000002</v>
      </c>
      <c r="G303" s="1611">
        <v>0.79720000000000002</v>
      </c>
      <c r="H303" s="1611">
        <v>0.79720000000000002</v>
      </c>
      <c r="I303" s="1611">
        <v>0.64900000000000002</v>
      </c>
      <c r="J303" s="1611">
        <v>0.64900000000000002</v>
      </c>
      <c r="K303" s="1611">
        <v>0.64900000000000002</v>
      </c>
      <c r="L303" s="1611">
        <v>0.64900000000000002</v>
      </c>
      <c r="M303" s="1611">
        <v>0.64900000000000002</v>
      </c>
    </row>
    <row r="304" spans="1:13">
      <c r="A304" s="1625">
        <v>9.8000000000000007</v>
      </c>
      <c r="B304" s="1611">
        <v>0.82199999999999995</v>
      </c>
      <c r="C304" s="1611">
        <v>0.82199999999999995</v>
      </c>
      <c r="D304" s="1611">
        <v>0.7964</v>
      </c>
      <c r="E304" s="1611">
        <v>0.7964</v>
      </c>
      <c r="F304" s="1611">
        <v>0.7964</v>
      </c>
      <c r="G304" s="1611">
        <v>0.7964</v>
      </c>
      <c r="H304" s="1611">
        <v>0.7964</v>
      </c>
      <c r="I304" s="1611">
        <v>0.64810000000000001</v>
      </c>
      <c r="J304" s="1611">
        <v>0.64810000000000001</v>
      </c>
      <c r="K304" s="1611">
        <v>0.64810000000000001</v>
      </c>
      <c r="L304" s="1611">
        <v>0.64810000000000001</v>
      </c>
      <c r="M304" s="1611">
        <v>0.64810000000000001</v>
      </c>
    </row>
    <row r="305" spans="1:13">
      <c r="A305" s="1625">
        <v>9.9</v>
      </c>
      <c r="B305" s="1611">
        <v>0.82140000000000002</v>
      </c>
      <c r="C305" s="1611">
        <v>0.82140000000000002</v>
      </c>
      <c r="D305" s="1611">
        <v>0.79559999999999997</v>
      </c>
      <c r="E305" s="1611">
        <v>0.79559999999999997</v>
      </c>
      <c r="F305" s="1611">
        <v>0.79559999999999997</v>
      </c>
      <c r="G305" s="1611">
        <v>0.79559999999999997</v>
      </c>
      <c r="H305" s="1611">
        <v>0.79559999999999997</v>
      </c>
      <c r="I305" s="1611">
        <v>0.64710000000000001</v>
      </c>
      <c r="J305" s="1611">
        <v>0.64710000000000001</v>
      </c>
      <c r="K305" s="1611">
        <v>0.64710000000000001</v>
      </c>
      <c r="L305" s="1611">
        <v>0.64710000000000001</v>
      </c>
      <c r="M305" s="1611">
        <v>0.64710000000000001</v>
      </c>
    </row>
    <row r="306" spans="1:13">
      <c r="A306" s="1625">
        <v>10</v>
      </c>
      <c r="B306" s="1611">
        <v>0.82079999999999997</v>
      </c>
      <c r="C306" s="1611">
        <v>0.82079999999999997</v>
      </c>
      <c r="D306" s="1611">
        <v>0.79479999999999995</v>
      </c>
      <c r="E306" s="1611">
        <v>0.79479999999999995</v>
      </c>
      <c r="F306" s="1611">
        <v>0.79479999999999995</v>
      </c>
      <c r="G306" s="1611">
        <v>0.79479999999999995</v>
      </c>
      <c r="H306" s="1611">
        <v>0.79479999999999995</v>
      </c>
      <c r="I306" s="1611">
        <v>0.6462</v>
      </c>
      <c r="J306" s="1611">
        <v>0.6462</v>
      </c>
      <c r="K306" s="1611">
        <v>0.6462</v>
      </c>
      <c r="L306" s="1611">
        <v>0.6462</v>
      </c>
      <c r="M306" s="1611">
        <v>0.6462</v>
      </c>
    </row>
    <row r="307" spans="1:13" ht="14.25">
      <c r="A307" s="1599" t="s">
        <v>2128</v>
      </c>
      <c r="B307" s="1600"/>
      <c r="C307" s="1600"/>
      <c r="D307" s="1600"/>
      <c r="E307" s="1600"/>
      <c r="F307" s="1600"/>
      <c r="G307" s="1600"/>
      <c r="H307" s="1600"/>
      <c r="I307" s="1600"/>
      <c r="J307" s="1600"/>
      <c r="K307" s="1600"/>
      <c r="L307" s="1600"/>
      <c r="M307" s="1600"/>
    </row>
    <row r="308" spans="1:13">
      <c r="A308" s="1602" t="s">
        <v>2117</v>
      </c>
      <c r="B308" s="1603" t="s">
        <v>1522</v>
      </c>
      <c r="C308" s="1603" t="s">
        <v>1523</v>
      </c>
      <c r="D308" s="1603" t="s">
        <v>1524</v>
      </c>
      <c r="E308" s="1603" t="s">
        <v>1525</v>
      </c>
      <c r="F308" s="1603" t="s">
        <v>1526</v>
      </c>
      <c r="G308" s="1603" t="s">
        <v>1527</v>
      </c>
      <c r="H308" s="1604" t="s">
        <v>1528</v>
      </c>
      <c r="I308" s="1604" t="s">
        <v>1529</v>
      </c>
      <c r="J308" s="1605" t="s">
        <v>1530</v>
      </c>
      <c r="K308" s="1605" t="s">
        <v>1531</v>
      </c>
      <c r="L308" s="1605" t="s">
        <v>1532</v>
      </c>
      <c r="M308" s="1605" t="s">
        <v>1533</v>
      </c>
    </row>
    <row r="309" spans="1:13">
      <c r="A309" s="1602">
        <v>0.1</v>
      </c>
      <c r="B309" s="1611">
        <v>11.506</v>
      </c>
      <c r="C309" s="1611">
        <v>11.506</v>
      </c>
      <c r="D309" s="1611">
        <v>12.015000000000001</v>
      </c>
      <c r="E309" s="1611">
        <v>12.015000000000001</v>
      </c>
      <c r="F309" s="1611">
        <v>12.015000000000001</v>
      </c>
      <c r="G309" s="1611">
        <v>11.118</v>
      </c>
      <c r="H309" s="1611">
        <v>11.118</v>
      </c>
      <c r="I309" s="1611">
        <v>10</v>
      </c>
      <c r="J309" s="1611">
        <v>10</v>
      </c>
      <c r="K309" s="1611">
        <v>10</v>
      </c>
      <c r="L309" s="1611">
        <v>10</v>
      </c>
      <c r="M309" s="1611">
        <v>10</v>
      </c>
    </row>
    <row r="310" spans="1:13">
      <c r="A310" s="1602">
        <v>0.2</v>
      </c>
      <c r="B310" s="1611">
        <v>5.7530000000000001</v>
      </c>
      <c r="C310" s="1611">
        <v>5.7530000000000001</v>
      </c>
      <c r="D310" s="1611">
        <v>6.0075000000000003</v>
      </c>
      <c r="E310" s="1611">
        <v>6.0075000000000003</v>
      </c>
      <c r="F310" s="1611">
        <v>6.0075000000000003</v>
      </c>
      <c r="G310" s="1611">
        <v>5.5590000000000002</v>
      </c>
      <c r="H310" s="1611">
        <v>5.5590000000000002</v>
      </c>
      <c r="I310" s="1611">
        <v>5</v>
      </c>
      <c r="J310" s="1611">
        <v>5</v>
      </c>
      <c r="K310" s="1611">
        <v>5</v>
      </c>
      <c r="L310" s="1611">
        <v>5</v>
      </c>
      <c r="M310" s="1611">
        <v>5</v>
      </c>
    </row>
    <row r="311" spans="1:13">
      <c r="A311" s="1602">
        <v>0.3</v>
      </c>
      <c r="B311" s="1611">
        <v>3.8353000000000002</v>
      </c>
      <c r="C311" s="1611">
        <v>3.8353000000000002</v>
      </c>
      <c r="D311" s="1611">
        <v>4.0049999999999999</v>
      </c>
      <c r="E311" s="1611">
        <v>4.0049999999999999</v>
      </c>
      <c r="F311" s="1611">
        <v>4.0049999999999999</v>
      </c>
      <c r="G311" s="1611">
        <v>3.706</v>
      </c>
      <c r="H311" s="1611">
        <v>3.706</v>
      </c>
      <c r="I311" s="1611">
        <v>3.3332999999999999</v>
      </c>
      <c r="J311" s="1611">
        <v>3.3332999999999999</v>
      </c>
      <c r="K311" s="1611">
        <v>3.3332999999999999</v>
      </c>
      <c r="L311" s="1611">
        <v>3.3332999999999999</v>
      </c>
      <c r="M311" s="1611">
        <v>3.3332999999999999</v>
      </c>
    </row>
    <row r="312" spans="1:13">
      <c r="A312" s="1602">
        <v>0.4</v>
      </c>
      <c r="B312" s="1611">
        <v>2.8765000000000001</v>
      </c>
      <c r="C312" s="1611">
        <v>2.8765000000000001</v>
      </c>
      <c r="D312" s="1611">
        <v>3.0038</v>
      </c>
      <c r="E312" s="1611">
        <v>3.0038</v>
      </c>
      <c r="F312" s="1611">
        <v>3.0038</v>
      </c>
      <c r="G312" s="1611">
        <v>2.7795000000000001</v>
      </c>
      <c r="H312" s="1611">
        <v>2.7795000000000001</v>
      </c>
      <c r="I312" s="1611">
        <v>2.5</v>
      </c>
      <c r="J312" s="1611">
        <v>2.5</v>
      </c>
      <c r="K312" s="1611">
        <v>2.5</v>
      </c>
      <c r="L312" s="1611">
        <v>2.5</v>
      </c>
      <c r="M312" s="1611">
        <v>2.5</v>
      </c>
    </row>
    <row r="313" spans="1:13">
      <c r="A313" s="1602">
        <v>0.5</v>
      </c>
      <c r="B313" s="1611">
        <v>2.3012000000000001</v>
      </c>
      <c r="C313" s="1611">
        <v>2.3012000000000001</v>
      </c>
      <c r="D313" s="1611">
        <v>2.403</v>
      </c>
      <c r="E313" s="1611">
        <v>2.403</v>
      </c>
      <c r="F313" s="1611">
        <v>2.403</v>
      </c>
      <c r="G313" s="1611">
        <v>2.2235999999999998</v>
      </c>
      <c r="H313" s="1611">
        <v>2.2235999999999998</v>
      </c>
      <c r="I313" s="1611">
        <v>2</v>
      </c>
      <c r="J313" s="1611">
        <v>2</v>
      </c>
      <c r="K313" s="1611">
        <v>2</v>
      </c>
      <c r="L313" s="1611">
        <v>2</v>
      </c>
      <c r="M313" s="1611">
        <v>2</v>
      </c>
    </row>
    <row r="314" spans="1:13">
      <c r="A314" s="1602">
        <v>0.6</v>
      </c>
      <c r="B314" s="1611">
        <v>1.9177</v>
      </c>
      <c r="C314" s="1611">
        <v>1.9177</v>
      </c>
      <c r="D314" s="1611">
        <v>2.0024999999999999</v>
      </c>
      <c r="E314" s="1611">
        <v>2.0024999999999999</v>
      </c>
      <c r="F314" s="1611">
        <v>2.0024999999999999</v>
      </c>
      <c r="G314" s="1611">
        <v>1.853</v>
      </c>
      <c r="H314" s="1611">
        <v>1.853</v>
      </c>
      <c r="I314" s="1611">
        <v>1.6667000000000001</v>
      </c>
      <c r="J314" s="1611">
        <v>1.6667000000000001</v>
      </c>
      <c r="K314" s="1611">
        <v>1.6667000000000001</v>
      </c>
      <c r="L314" s="1611">
        <v>1.6667000000000001</v>
      </c>
      <c r="M314" s="1611">
        <v>1.6667000000000001</v>
      </c>
    </row>
    <row r="315" spans="1:13">
      <c r="A315" s="1602">
        <v>0.7</v>
      </c>
      <c r="B315" s="1611">
        <v>1.6436999999999999</v>
      </c>
      <c r="C315" s="1611">
        <v>1.6436999999999999</v>
      </c>
      <c r="D315" s="1611">
        <v>1.7163999999999999</v>
      </c>
      <c r="E315" s="1611">
        <v>1.7163999999999999</v>
      </c>
      <c r="F315" s="1611">
        <v>1.7163999999999999</v>
      </c>
      <c r="G315" s="1611">
        <v>1.5883</v>
      </c>
      <c r="H315" s="1611">
        <v>1.5883</v>
      </c>
      <c r="I315" s="1611">
        <v>1.4286000000000001</v>
      </c>
      <c r="J315" s="1611">
        <v>1.4286000000000001</v>
      </c>
      <c r="K315" s="1611">
        <v>1.4286000000000001</v>
      </c>
      <c r="L315" s="1611">
        <v>1.4286000000000001</v>
      </c>
      <c r="M315" s="1611">
        <v>1.4286000000000001</v>
      </c>
    </row>
    <row r="316" spans="1:13">
      <c r="A316" s="1602">
        <v>0.8</v>
      </c>
      <c r="B316" s="1611">
        <v>1.4382999999999999</v>
      </c>
      <c r="C316" s="1611">
        <v>1.4382999999999999</v>
      </c>
      <c r="D316" s="1611">
        <v>1.5019</v>
      </c>
      <c r="E316" s="1611">
        <v>1.5019</v>
      </c>
      <c r="F316" s="1611">
        <v>1.5019</v>
      </c>
      <c r="G316" s="1611">
        <v>1.3897999999999999</v>
      </c>
      <c r="H316" s="1611">
        <v>1.3897999999999999</v>
      </c>
      <c r="I316" s="1611">
        <v>1.25</v>
      </c>
      <c r="J316" s="1611">
        <v>1.25</v>
      </c>
      <c r="K316" s="1611">
        <v>1.25</v>
      </c>
      <c r="L316" s="1611">
        <v>1.25</v>
      </c>
      <c r="M316" s="1611">
        <v>1.25</v>
      </c>
    </row>
    <row r="317" spans="1:13">
      <c r="A317" s="1602">
        <v>0.9</v>
      </c>
      <c r="B317" s="1611">
        <v>1.2784</v>
      </c>
      <c r="C317" s="1611">
        <v>1.2784</v>
      </c>
      <c r="D317" s="1611">
        <v>1.335</v>
      </c>
      <c r="E317" s="1611">
        <v>1.335</v>
      </c>
      <c r="F317" s="1611">
        <v>1.335</v>
      </c>
      <c r="G317" s="1611">
        <v>1.2353000000000001</v>
      </c>
      <c r="H317" s="1611">
        <v>1.2353000000000001</v>
      </c>
      <c r="I317" s="1611">
        <v>1.1111</v>
      </c>
      <c r="J317" s="1611">
        <v>1.1111</v>
      </c>
      <c r="K317" s="1611">
        <v>1.1111</v>
      </c>
      <c r="L317" s="1611">
        <v>1.1111</v>
      </c>
      <c r="M317" s="1611">
        <v>1.1111</v>
      </c>
    </row>
    <row r="318" spans="1:13">
      <c r="A318" s="1602">
        <v>1</v>
      </c>
      <c r="B318" s="1611">
        <v>1.1506000000000001</v>
      </c>
      <c r="C318" s="1611">
        <v>1.1506000000000001</v>
      </c>
      <c r="D318" s="1611">
        <v>1.2015</v>
      </c>
      <c r="E318" s="1611">
        <v>1.2015</v>
      </c>
      <c r="F318" s="1611">
        <v>1.2015</v>
      </c>
      <c r="G318" s="1611">
        <v>1.1117999999999999</v>
      </c>
      <c r="H318" s="1611">
        <v>1.1117999999999999</v>
      </c>
      <c r="I318" s="1611">
        <v>1</v>
      </c>
      <c r="J318" s="1611">
        <v>1</v>
      </c>
      <c r="K318" s="1611">
        <v>1</v>
      </c>
      <c r="L318" s="1611">
        <v>1</v>
      </c>
      <c r="M318" s="1611">
        <v>1</v>
      </c>
    </row>
    <row r="319" spans="1:13">
      <c r="A319" s="1602">
        <v>1.1000000000000001</v>
      </c>
      <c r="B319" s="1611">
        <v>1.1158999999999999</v>
      </c>
      <c r="C319" s="1611">
        <v>1.1158999999999999</v>
      </c>
      <c r="D319" s="1611">
        <v>1.1440999999999999</v>
      </c>
      <c r="E319" s="1611">
        <v>1.1440999999999999</v>
      </c>
      <c r="F319" s="1611">
        <v>1.1440999999999999</v>
      </c>
      <c r="G319" s="1611">
        <v>1.0492999999999999</v>
      </c>
      <c r="H319" s="1611">
        <v>1.0492999999999999</v>
      </c>
      <c r="I319" s="1611">
        <v>0.93730000000000002</v>
      </c>
      <c r="J319" s="1611">
        <v>0.93730000000000002</v>
      </c>
      <c r="K319" s="1611">
        <v>0.93730000000000002</v>
      </c>
      <c r="L319" s="1611">
        <v>0.93730000000000002</v>
      </c>
      <c r="M319" s="1611">
        <v>0.93730000000000002</v>
      </c>
    </row>
    <row r="320" spans="1:13">
      <c r="A320" s="1602">
        <v>1.2</v>
      </c>
      <c r="B320" s="1611">
        <v>1.0837000000000001</v>
      </c>
      <c r="C320" s="1611">
        <v>1.0837000000000001</v>
      </c>
      <c r="D320" s="1611">
        <v>1.0972999999999999</v>
      </c>
      <c r="E320" s="1611">
        <v>1.0972999999999999</v>
      </c>
      <c r="F320" s="1611">
        <v>1.0972999999999999</v>
      </c>
      <c r="G320" s="1611">
        <v>1</v>
      </c>
      <c r="H320" s="1611">
        <v>1</v>
      </c>
      <c r="I320" s="1611">
        <v>0.88890000000000002</v>
      </c>
      <c r="J320" s="1611">
        <v>0.88890000000000002</v>
      </c>
      <c r="K320" s="1611">
        <v>0.88890000000000002</v>
      </c>
      <c r="L320" s="1611">
        <v>0.88890000000000002</v>
      </c>
      <c r="M320" s="1611">
        <v>0.88890000000000002</v>
      </c>
    </row>
    <row r="321" spans="1:13">
      <c r="A321" s="1602">
        <v>1.3</v>
      </c>
      <c r="B321" s="1611">
        <v>1.0538000000000001</v>
      </c>
      <c r="C321" s="1611">
        <v>1.0538000000000001</v>
      </c>
      <c r="D321" s="1611">
        <v>1.0589999999999999</v>
      </c>
      <c r="E321" s="1611">
        <v>1.0589999999999999</v>
      </c>
      <c r="F321" s="1611">
        <v>1.0589999999999999</v>
      </c>
      <c r="G321" s="1611">
        <v>0.96140000000000003</v>
      </c>
      <c r="H321" s="1611">
        <v>0.96140000000000003</v>
      </c>
      <c r="I321" s="1611">
        <v>0.85209999999999997</v>
      </c>
      <c r="J321" s="1611">
        <v>0.85209999999999997</v>
      </c>
      <c r="K321" s="1611">
        <v>0.85209999999999997</v>
      </c>
      <c r="L321" s="1611">
        <v>0.85209999999999997</v>
      </c>
      <c r="M321" s="1611">
        <v>0.85209999999999997</v>
      </c>
    </row>
    <row r="322" spans="1:13">
      <c r="A322" s="1602">
        <v>1.4</v>
      </c>
      <c r="B322" s="1611">
        <v>1.026</v>
      </c>
      <c r="C322" s="1611">
        <v>1.026</v>
      </c>
      <c r="D322" s="1611">
        <v>1.0271999999999999</v>
      </c>
      <c r="E322" s="1611">
        <v>1.0271999999999999</v>
      </c>
      <c r="F322" s="1611">
        <v>1.0271999999999999</v>
      </c>
      <c r="G322" s="1611">
        <v>0.93079999999999996</v>
      </c>
      <c r="H322" s="1611">
        <v>0.93079999999999996</v>
      </c>
      <c r="I322" s="1611">
        <v>0.82379999999999998</v>
      </c>
      <c r="J322" s="1611">
        <v>0.82379999999999998</v>
      </c>
      <c r="K322" s="1611">
        <v>0.82379999999999998</v>
      </c>
      <c r="L322" s="1611">
        <v>0.82379999999999998</v>
      </c>
      <c r="M322" s="1611">
        <v>0.82379999999999998</v>
      </c>
    </row>
    <row r="323" spans="1:13">
      <c r="A323" s="1602">
        <v>1.5</v>
      </c>
      <c r="B323" s="1611">
        <v>1</v>
      </c>
      <c r="C323" s="1611">
        <v>1</v>
      </c>
      <c r="D323" s="1611">
        <v>1</v>
      </c>
      <c r="E323" s="1611">
        <v>1</v>
      </c>
      <c r="F323" s="1611">
        <v>1</v>
      </c>
      <c r="G323" s="1611">
        <v>0.90559999999999996</v>
      </c>
      <c r="H323" s="1611">
        <v>0.90559999999999996</v>
      </c>
      <c r="I323" s="1611">
        <v>0.80110000000000003</v>
      </c>
      <c r="J323" s="1611">
        <v>0.80110000000000003</v>
      </c>
      <c r="K323" s="1611">
        <v>0.80110000000000003</v>
      </c>
      <c r="L323" s="1611">
        <v>0.80110000000000003</v>
      </c>
      <c r="M323" s="1611">
        <v>0.80110000000000003</v>
      </c>
    </row>
    <row r="324" spans="1:13">
      <c r="A324" s="1602">
        <v>1.6</v>
      </c>
      <c r="B324" s="1611">
        <v>0.97570000000000001</v>
      </c>
      <c r="C324" s="1611">
        <v>0.97570000000000001</v>
      </c>
      <c r="D324" s="1611">
        <v>0.97519999999999996</v>
      </c>
      <c r="E324" s="1611">
        <v>0.97519999999999996</v>
      </c>
      <c r="F324" s="1611">
        <v>0.97519999999999996</v>
      </c>
      <c r="G324" s="1611">
        <v>0.8831</v>
      </c>
      <c r="H324" s="1611">
        <v>0.8831</v>
      </c>
      <c r="I324" s="1611">
        <v>0.78100000000000003</v>
      </c>
      <c r="J324" s="1611">
        <v>0.78100000000000003</v>
      </c>
      <c r="K324" s="1611">
        <v>0.78100000000000003</v>
      </c>
      <c r="L324" s="1611">
        <v>0.78100000000000003</v>
      </c>
      <c r="M324" s="1611">
        <v>0.78100000000000003</v>
      </c>
    </row>
    <row r="325" spans="1:13">
      <c r="A325" s="1602">
        <v>1.7</v>
      </c>
      <c r="B325" s="1611">
        <v>0.95289999999999997</v>
      </c>
      <c r="C325" s="1611">
        <v>0.95289999999999997</v>
      </c>
      <c r="D325" s="1611">
        <v>0.95189999999999997</v>
      </c>
      <c r="E325" s="1611">
        <v>0.95189999999999997</v>
      </c>
      <c r="F325" s="1611">
        <v>0.95189999999999997</v>
      </c>
      <c r="G325" s="1611">
        <v>0.86180000000000001</v>
      </c>
      <c r="H325" s="1611">
        <v>0.86180000000000001</v>
      </c>
      <c r="I325" s="1611">
        <v>0.7621</v>
      </c>
      <c r="J325" s="1611">
        <v>0.7621</v>
      </c>
      <c r="K325" s="1611">
        <v>0.7621</v>
      </c>
      <c r="L325" s="1611">
        <v>0.7621</v>
      </c>
      <c r="M325" s="1611">
        <v>0.7621</v>
      </c>
    </row>
    <row r="326" spans="1:13">
      <c r="A326" s="1602">
        <v>1.8</v>
      </c>
      <c r="B326" s="1611">
        <v>0.93149999999999999</v>
      </c>
      <c r="C326" s="1611">
        <v>0.93149999999999999</v>
      </c>
      <c r="D326" s="1611">
        <v>0.93</v>
      </c>
      <c r="E326" s="1611">
        <v>0.93</v>
      </c>
      <c r="F326" s="1611">
        <v>0.93</v>
      </c>
      <c r="G326" s="1611">
        <v>0.84179999999999999</v>
      </c>
      <c r="H326" s="1611">
        <v>0.84179999999999999</v>
      </c>
      <c r="I326" s="1611">
        <v>0.74419999999999997</v>
      </c>
      <c r="J326" s="1611">
        <v>0.74419999999999997</v>
      </c>
      <c r="K326" s="1611">
        <v>0.74419999999999997</v>
      </c>
      <c r="L326" s="1611">
        <v>0.74419999999999997</v>
      </c>
      <c r="M326" s="1611">
        <v>0.74419999999999997</v>
      </c>
    </row>
    <row r="327" spans="1:13">
      <c r="A327" s="1602">
        <v>1.9</v>
      </c>
      <c r="B327" s="1611">
        <v>0.91139999999999999</v>
      </c>
      <c r="C327" s="1611">
        <v>0.91139999999999999</v>
      </c>
      <c r="D327" s="1611">
        <v>0.90939999999999999</v>
      </c>
      <c r="E327" s="1611">
        <v>0.90939999999999999</v>
      </c>
      <c r="F327" s="1611">
        <v>0.90939999999999999</v>
      </c>
      <c r="G327" s="1611">
        <v>0.82289999999999996</v>
      </c>
      <c r="H327" s="1611">
        <v>0.82289999999999996</v>
      </c>
      <c r="I327" s="1611">
        <v>0.72740000000000005</v>
      </c>
      <c r="J327" s="1611">
        <v>0.72740000000000005</v>
      </c>
      <c r="K327" s="1611">
        <v>0.72740000000000005</v>
      </c>
      <c r="L327" s="1611">
        <v>0.72740000000000005</v>
      </c>
      <c r="M327" s="1611">
        <v>0.72740000000000005</v>
      </c>
    </row>
    <row r="328" spans="1:13">
      <c r="A328" s="1602">
        <v>2</v>
      </c>
      <c r="B328" s="1611">
        <v>0.89270000000000005</v>
      </c>
      <c r="C328" s="1611">
        <v>0.89270000000000005</v>
      </c>
      <c r="D328" s="1611">
        <v>0.8901</v>
      </c>
      <c r="E328" s="1611">
        <v>0.8901</v>
      </c>
      <c r="F328" s="1611">
        <v>0.8901</v>
      </c>
      <c r="G328" s="1611">
        <v>0.80530000000000002</v>
      </c>
      <c r="H328" s="1611">
        <v>0.80530000000000002</v>
      </c>
      <c r="I328" s="1611">
        <v>0.71160000000000001</v>
      </c>
      <c r="J328" s="1611">
        <v>0.71160000000000001</v>
      </c>
      <c r="K328" s="1611">
        <v>0.71160000000000001</v>
      </c>
      <c r="L328" s="1611">
        <v>0.71160000000000001</v>
      </c>
      <c r="M328" s="1611">
        <v>0.71160000000000001</v>
      </c>
    </row>
    <row r="329" spans="1:13">
      <c r="A329" s="1625">
        <v>2.1</v>
      </c>
      <c r="B329" s="1611">
        <v>0.87519999999999998</v>
      </c>
      <c r="C329" s="1611">
        <v>0.87519999999999998</v>
      </c>
      <c r="D329" s="1611">
        <v>0.872</v>
      </c>
      <c r="E329" s="1611">
        <v>0.872</v>
      </c>
      <c r="F329" s="1611">
        <v>0.872</v>
      </c>
      <c r="G329" s="1611">
        <v>0.78869999999999996</v>
      </c>
      <c r="H329" s="1611">
        <v>0.78869999999999996</v>
      </c>
      <c r="I329" s="1611">
        <v>0.69669999999999999</v>
      </c>
      <c r="J329" s="1611">
        <v>0.69669999999999999</v>
      </c>
      <c r="K329" s="1611">
        <v>0.69669999999999999</v>
      </c>
      <c r="L329" s="1611">
        <v>0.69669999999999999</v>
      </c>
      <c r="M329" s="1611">
        <v>0.69669999999999999</v>
      </c>
    </row>
    <row r="330" spans="1:13">
      <c r="A330" s="1625">
        <v>2.2000000000000002</v>
      </c>
      <c r="B330" s="1611">
        <v>0.85880000000000001</v>
      </c>
      <c r="C330" s="1611">
        <v>0.85880000000000001</v>
      </c>
      <c r="D330" s="1611">
        <v>0.85499999999999998</v>
      </c>
      <c r="E330" s="1611">
        <v>0.85499999999999998</v>
      </c>
      <c r="F330" s="1611">
        <v>0.85499999999999998</v>
      </c>
      <c r="G330" s="1611">
        <v>0.77300000000000002</v>
      </c>
      <c r="H330" s="1611">
        <v>0.77300000000000002</v>
      </c>
      <c r="I330" s="1611">
        <v>0.68269999999999997</v>
      </c>
      <c r="J330" s="1611">
        <v>0.68269999999999997</v>
      </c>
      <c r="K330" s="1611">
        <v>0.68269999999999997</v>
      </c>
      <c r="L330" s="1611">
        <v>0.68269999999999997</v>
      </c>
      <c r="M330" s="1611">
        <v>0.68269999999999997</v>
      </c>
    </row>
    <row r="331" spans="1:13">
      <c r="A331" s="1625">
        <v>2.2999999999999998</v>
      </c>
      <c r="B331" s="1611">
        <v>0.84360000000000002</v>
      </c>
      <c r="C331" s="1611">
        <v>0.84360000000000002</v>
      </c>
      <c r="D331" s="1611">
        <v>0.83899999999999997</v>
      </c>
      <c r="E331" s="1611">
        <v>0.83899999999999997</v>
      </c>
      <c r="F331" s="1611">
        <v>0.83899999999999997</v>
      </c>
      <c r="G331" s="1611">
        <v>0.75839999999999996</v>
      </c>
      <c r="H331" s="1611">
        <v>0.75839999999999996</v>
      </c>
      <c r="I331" s="1611">
        <v>0.66949999999999998</v>
      </c>
      <c r="J331" s="1611">
        <v>0.66949999999999998</v>
      </c>
      <c r="K331" s="1611">
        <v>0.66949999999999998</v>
      </c>
      <c r="L331" s="1611">
        <v>0.66949999999999998</v>
      </c>
      <c r="M331" s="1611">
        <v>0.66949999999999998</v>
      </c>
    </row>
    <row r="332" spans="1:13">
      <c r="A332" s="1625">
        <v>2.4</v>
      </c>
      <c r="B332" s="1611">
        <v>0.82940000000000003</v>
      </c>
      <c r="C332" s="1611">
        <v>0.82940000000000003</v>
      </c>
      <c r="D332" s="1611">
        <v>0.82410000000000005</v>
      </c>
      <c r="E332" s="1611">
        <v>0.82410000000000005</v>
      </c>
      <c r="F332" s="1611">
        <v>0.82410000000000005</v>
      </c>
      <c r="G332" s="1611">
        <v>0.74460000000000004</v>
      </c>
      <c r="H332" s="1611">
        <v>0.74460000000000004</v>
      </c>
      <c r="I332" s="1611">
        <v>0.65710000000000002</v>
      </c>
      <c r="J332" s="1611">
        <v>0.65710000000000002</v>
      </c>
      <c r="K332" s="1611">
        <v>0.65710000000000002</v>
      </c>
      <c r="L332" s="1611">
        <v>0.65710000000000002</v>
      </c>
      <c r="M332" s="1611">
        <v>0.65710000000000002</v>
      </c>
    </row>
    <row r="333" spans="1:13">
      <c r="A333" s="1625">
        <v>2.5</v>
      </c>
      <c r="B333" s="1611">
        <v>0.81620000000000004</v>
      </c>
      <c r="C333" s="1611">
        <v>0.81620000000000004</v>
      </c>
      <c r="D333" s="1611">
        <v>0.81020000000000003</v>
      </c>
      <c r="E333" s="1611">
        <v>0.81020000000000003</v>
      </c>
      <c r="F333" s="1611">
        <v>0.81020000000000003</v>
      </c>
      <c r="G333" s="1611">
        <v>0.73180000000000001</v>
      </c>
      <c r="H333" s="1611">
        <v>0.73180000000000001</v>
      </c>
      <c r="I333" s="1611">
        <v>0.64549999999999996</v>
      </c>
      <c r="J333" s="1611">
        <v>0.64549999999999996</v>
      </c>
      <c r="K333" s="1611">
        <v>0.64549999999999996</v>
      </c>
      <c r="L333" s="1611">
        <v>0.64549999999999996</v>
      </c>
      <c r="M333" s="1611">
        <v>0.64549999999999996</v>
      </c>
    </row>
    <row r="334" spans="1:13">
      <c r="A334" s="1625">
        <v>2.6</v>
      </c>
      <c r="B334" s="1611">
        <v>0.80389999999999995</v>
      </c>
      <c r="C334" s="1611">
        <v>0.80389999999999995</v>
      </c>
      <c r="D334" s="1611">
        <v>0.79710000000000003</v>
      </c>
      <c r="E334" s="1611">
        <v>0.79710000000000003</v>
      </c>
      <c r="F334" s="1611">
        <v>0.79710000000000003</v>
      </c>
      <c r="G334" s="1611">
        <v>0.71970000000000001</v>
      </c>
      <c r="H334" s="1611">
        <v>0.71970000000000001</v>
      </c>
      <c r="I334" s="1611">
        <v>0.63460000000000005</v>
      </c>
      <c r="J334" s="1611">
        <v>0.63460000000000005</v>
      </c>
      <c r="K334" s="1611">
        <v>0.63460000000000005</v>
      </c>
      <c r="L334" s="1611">
        <v>0.63460000000000005</v>
      </c>
      <c r="M334" s="1611">
        <v>0.63460000000000005</v>
      </c>
    </row>
    <row r="335" spans="1:13">
      <c r="A335" s="1625">
        <v>2.7</v>
      </c>
      <c r="B335" s="1611">
        <v>0.79249999999999998</v>
      </c>
      <c r="C335" s="1611">
        <v>0.79249999999999998</v>
      </c>
      <c r="D335" s="1611">
        <v>0.78490000000000004</v>
      </c>
      <c r="E335" s="1611">
        <v>0.78490000000000004</v>
      </c>
      <c r="F335" s="1611">
        <v>0.78490000000000004</v>
      </c>
      <c r="G335" s="1611">
        <v>0.70840000000000003</v>
      </c>
      <c r="H335" s="1611">
        <v>0.70840000000000003</v>
      </c>
      <c r="I335" s="1611">
        <v>0.62439999999999996</v>
      </c>
      <c r="J335" s="1611">
        <v>0.62439999999999996</v>
      </c>
      <c r="K335" s="1611">
        <v>0.62439999999999996</v>
      </c>
      <c r="L335" s="1611">
        <v>0.62439999999999996</v>
      </c>
      <c r="M335" s="1611">
        <v>0.62439999999999996</v>
      </c>
    </row>
    <row r="336" spans="1:13">
      <c r="A336" s="1625">
        <v>2.8</v>
      </c>
      <c r="B336" s="1611">
        <v>0.78190000000000004</v>
      </c>
      <c r="C336" s="1611">
        <v>0.78190000000000004</v>
      </c>
      <c r="D336" s="1611">
        <v>0.77359999999999995</v>
      </c>
      <c r="E336" s="1611">
        <v>0.77359999999999995</v>
      </c>
      <c r="F336" s="1611">
        <v>0.77359999999999995</v>
      </c>
      <c r="G336" s="1611">
        <v>0.69789999999999996</v>
      </c>
      <c r="H336" s="1611">
        <v>0.69789999999999996</v>
      </c>
      <c r="I336" s="1611">
        <v>0.61480000000000001</v>
      </c>
      <c r="J336" s="1611">
        <v>0.61480000000000001</v>
      </c>
      <c r="K336" s="1611">
        <v>0.61480000000000001</v>
      </c>
      <c r="L336" s="1611">
        <v>0.61480000000000001</v>
      </c>
      <c r="M336" s="1611">
        <v>0.61480000000000001</v>
      </c>
    </row>
    <row r="337" spans="1:13">
      <c r="A337" s="1625">
        <v>2.9</v>
      </c>
      <c r="B337" s="1611">
        <v>0.77210000000000001</v>
      </c>
      <c r="C337" s="1611">
        <v>0.77210000000000001</v>
      </c>
      <c r="D337" s="1611">
        <v>0.76300000000000001</v>
      </c>
      <c r="E337" s="1611">
        <v>0.76300000000000001</v>
      </c>
      <c r="F337" s="1611">
        <v>0.76300000000000001</v>
      </c>
      <c r="G337" s="1611">
        <v>0.68799999999999994</v>
      </c>
      <c r="H337" s="1611">
        <v>0.68799999999999994</v>
      </c>
      <c r="I337" s="1611">
        <v>0.60589999999999999</v>
      </c>
      <c r="J337" s="1611">
        <v>0.60589999999999999</v>
      </c>
      <c r="K337" s="1611">
        <v>0.60589999999999999</v>
      </c>
      <c r="L337" s="1611">
        <v>0.60589999999999999</v>
      </c>
      <c r="M337" s="1611">
        <v>0.60589999999999999</v>
      </c>
    </row>
    <row r="338" spans="1:13">
      <c r="A338" s="1625">
        <v>3</v>
      </c>
      <c r="B338" s="1611">
        <v>0.7631</v>
      </c>
      <c r="C338" s="1611">
        <v>0.7631</v>
      </c>
      <c r="D338" s="1611">
        <v>0.75309999999999999</v>
      </c>
      <c r="E338" s="1611">
        <v>0.75309999999999999</v>
      </c>
      <c r="F338" s="1611">
        <v>0.75309999999999999</v>
      </c>
      <c r="G338" s="1611">
        <v>0.67879999999999996</v>
      </c>
      <c r="H338" s="1611">
        <v>0.67879999999999996</v>
      </c>
      <c r="I338" s="1611">
        <v>0.59750000000000003</v>
      </c>
      <c r="J338" s="1611">
        <v>0.59750000000000003</v>
      </c>
      <c r="K338" s="1611">
        <v>0.59750000000000003</v>
      </c>
      <c r="L338" s="1611">
        <v>0.59750000000000003</v>
      </c>
      <c r="M338" s="1611">
        <v>0.59750000000000003</v>
      </c>
    </row>
    <row r="339" spans="1:13">
      <c r="A339" s="1625">
        <v>3.1</v>
      </c>
      <c r="B339" s="1611">
        <v>0.75470000000000004</v>
      </c>
      <c r="C339" s="1611">
        <v>0.75470000000000004</v>
      </c>
      <c r="D339" s="1611">
        <v>0.74399999999999999</v>
      </c>
      <c r="E339" s="1611">
        <v>0.74399999999999999</v>
      </c>
      <c r="F339" s="1611">
        <v>0.74399999999999999</v>
      </c>
      <c r="G339" s="1611">
        <v>0.67020000000000002</v>
      </c>
      <c r="H339" s="1611">
        <v>0.67020000000000002</v>
      </c>
      <c r="I339" s="1611">
        <v>0.5897</v>
      </c>
      <c r="J339" s="1611">
        <v>0.5897</v>
      </c>
      <c r="K339" s="1611">
        <v>0.5897</v>
      </c>
      <c r="L339" s="1611">
        <v>0.5897</v>
      </c>
      <c r="M339" s="1611">
        <v>0.5897</v>
      </c>
    </row>
    <row r="340" spans="1:13">
      <c r="A340" s="1625">
        <v>3.2</v>
      </c>
      <c r="B340" s="1611">
        <v>0.747</v>
      </c>
      <c r="C340" s="1611">
        <v>0.747</v>
      </c>
      <c r="D340" s="1611">
        <v>0.73540000000000005</v>
      </c>
      <c r="E340" s="1611">
        <v>0.73540000000000005</v>
      </c>
      <c r="F340" s="1611">
        <v>0.73540000000000005</v>
      </c>
      <c r="G340" s="1611">
        <v>0.66220000000000001</v>
      </c>
      <c r="H340" s="1611">
        <v>0.66220000000000001</v>
      </c>
      <c r="I340" s="1611">
        <v>0.58230000000000004</v>
      </c>
      <c r="J340" s="1611">
        <v>0.58230000000000004</v>
      </c>
      <c r="K340" s="1611">
        <v>0.58230000000000004</v>
      </c>
      <c r="L340" s="1611">
        <v>0.58230000000000004</v>
      </c>
      <c r="M340" s="1611">
        <v>0.58230000000000004</v>
      </c>
    </row>
    <row r="341" spans="1:13">
      <c r="A341" s="1625">
        <v>3.3</v>
      </c>
      <c r="B341" s="1611">
        <v>0.7399</v>
      </c>
      <c r="C341" s="1611">
        <v>0.7399</v>
      </c>
      <c r="D341" s="1611">
        <v>0.72750000000000004</v>
      </c>
      <c r="E341" s="1611">
        <v>0.72750000000000004</v>
      </c>
      <c r="F341" s="1611">
        <v>0.72750000000000004</v>
      </c>
      <c r="G341" s="1611">
        <v>0.65480000000000005</v>
      </c>
      <c r="H341" s="1611">
        <v>0.65480000000000005</v>
      </c>
      <c r="I341" s="1611">
        <v>0.57540000000000002</v>
      </c>
      <c r="J341" s="1611">
        <v>0.57540000000000002</v>
      </c>
      <c r="K341" s="1611">
        <v>0.57540000000000002</v>
      </c>
      <c r="L341" s="1611">
        <v>0.57540000000000002</v>
      </c>
      <c r="M341" s="1611">
        <v>0.57540000000000002</v>
      </c>
    </row>
    <row r="342" spans="1:13">
      <c r="A342" s="1625">
        <v>3.4</v>
      </c>
      <c r="B342" s="1611">
        <v>0.73340000000000005</v>
      </c>
      <c r="C342" s="1611">
        <v>0.73340000000000005</v>
      </c>
      <c r="D342" s="1611">
        <v>0.72009999999999996</v>
      </c>
      <c r="E342" s="1611">
        <v>0.72009999999999996</v>
      </c>
      <c r="F342" s="1611">
        <v>0.72009999999999996</v>
      </c>
      <c r="G342" s="1611">
        <v>0.64780000000000004</v>
      </c>
      <c r="H342" s="1611">
        <v>0.64780000000000004</v>
      </c>
      <c r="I342" s="1611">
        <v>0.56899999999999995</v>
      </c>
      <c r="J342" s="1611">
        <v>0.56899999999999995</v>
      </c>
      <c r="K342" s="1611">
        <v>0.56899999999999995</v>
      </c>
      <c r="L342" s="1611">
        <v>0.56899999999999995</v>
      </c>
      <c r="M342" s="1611">
        <v>0.56899999999999995</v>
      </c>
    </row>
    <row r="343" spans="1:13">
      <c r="A343" s="1625">
        <v>3.5</v>
      </c>
      <c r="B343" s="1611">
        <v>0.72740000000000005</v>
      </c>
      <c r="C343" s="1611">
        <v>0.72740000000000005</v>
      </c>
      <c r="D343" s="1611">
        <v>0.71330000000000005</v>
      </c>
      <c r="E343" s="1611">
        <v>0.71330000000000005</v>
      </c>
      <c r="F343" s="1611">
        <v>0.71330000000000005</v>
      </c>
      <c r="G343" s="1611">
        <v>0.64129999999999998</v>
      </c>
      <c r="H343" s="1611">
        <v>0.64129999999999998</v>
      </c>
      <c r="I343" s="1611">
        <v>0.56310000000000004</v>
      </c>
      <c r="J343" s="1611">
        <v>0.56310000000000004</v>
      </c>
      <c r="K343" s="1611">
        <v>0.56310000000000004</v>
      </c>
      <c r="L343" s="1611">
        <v>0.56310000000000004</v>
      </c>
      <c r="M343" s="1611">
        <v>0.56310000000000004</v>
      </c>
    </row>
    <row r="344" spans="1:13">
      <c r="A344" s="1625">
        <v>3.6</v>
      </c>
      <c r="B344" s="1611">
        <v>0.72189999999999999</v>
      </c>
      <c r="C344" s="1611">
        <v>0.72189999999999999</v>
      </c>
      <c r="D344" s="1611">
        <v>0.70699999999999996</v>
      </c>
      <c r="E344" s="1611">
        <v>0.70699999999999996</v>
      </c>
      <c r="F344" s="1611">
        <v>0.70699999999999996</v>
      </c>
      <c r="G344" s="1611">
        <v>0.63529999999999998</v>
      </c>
      <c r="H344" s="1611">
        <v>0.63529999999999998</v>
      </c>
      <c r="I344" s="1611">
        <v>0.5575</v>
      </c>
      <c r="J344" s="1611">
        <v>0.5575</v>
      </c>
      <c r="K344" s="1611">
        <v>0.5575</v>
      </c>
      <c r="L344" s="1611">
        <v>0.5575</v>
      </c>
      <c r="M344" s="1611">
        <v>0.5575</v>
      </c>
    </row>
    <row r="345" spans="1:13">
      <c r="A345" s="1625">
        <v>3.7</v>
      </c>
      <c r="B345" s="1611">
        <v>0.71679999999999999</v>
      </c>
      <c r="C345" s="1611">
        <v>0.71679999999999999</v>
      </c>
      <c r="D345" s="1611">
        <v>0.70109999999999995</v>
      </c>
      <c r="E345" s="1611">
        <v>0.70109999999999995</v>
      </c>
      <c r="F345" s="1611">
        <v>0.70109999999999995</v>
      </c>
      <c r="G345" s="1611">
        <v>0.62970000000000004</v>
      </c>
      <c r="H345" s="1611">
        <v>0.62970000000000004</v>
      </c>
      <c r="I345" s="1611">
        <v>0.55230000000000001</v>
      </c>
      <c r="J345" s="1611">
        <v>0.55230000000000001</v>
      </c>
      <c r="K345" s="1611">
        <v>0.55230000000000001</v>
      </c>
      <c r="L345" s="1611">
        <v>0.55230000000000001</v>
      </c>
      <c r="M345" s="1611">
        <v>0.55230000000000001</v>
      </c>
    </row>
    <row r="346" spans="1:13">
      <c r="A346" s="1625">
        <v>3.8</v>
      </c>
      <c r="B346" s="1611">
        <v>0.71220000000000006</v>
      </c>
      <c r="C346" s="1611">
        <v>0.71220000000000006</v>
      </c>
      <c r="D346" s="1611">
        <v>0.6956</v>
      </c>
      <c r="E346" s="1611">
        <v>0.6956</v>
      </c>
      <c r="F346" s="1611">
        <v>0.6956</v>
      </c>
      <c r="G346" s="1611">
        <v>0.62439999999999996</v>
      </c>
      <c r="H346" s="1611">
        <v>0.62439999999999996</v>
      </c>
      <c r="I346" s="1611">
        <v>0.5474</v>
      </c>
      <c r="J346" s="1611">
        <v>0.5474</v>
      </c>
      <c r="K346" s="1611">
        <v>0.5474</v>
      </c>
      <c r="L346" s="1611">
        <v>0.5474</v>
      </c>
      <c r="M346" s="1611">
        <v>0.5474</v>
      </c>
    </row>
    <row r="347" spans="1:13">
      <c r="A347" s="1625">
        <v>3.9</v>
      </c>
      <c r="B347" s="1611">
        <v>0.70799999999999996</v>
      </c>
      <c r="C347" s="1611">
        <v>0.70799999999999996</v>
      </c>
      <c r="D347" s="1611">
        <v>0.69059999999999999</v>
      </c>
      <c r="E347" s="1611">
        <v>0.69059999999999999</v>
      </c>
      <c r="F347" s="1611">
        <v>0.69059999999999999</v>
      </c>
      <c r="G347" s="1611">
        <v>0.61950000000000005</v>
      </c>
      <c r="H347" s="1611">
        <v>0.61950000000000005</v>
      </c>
      <c r="I347" s="1611">
        <v>0.54279999999999995</v>
      </c>
      <c r="J347" s="1611">
        <v>0.54279999999999995</v>
      </c>
      <c r="K347" s="1611">
        <v>0.54279999999999995</v>
      </c>
      <c r="L347" s="1611">
        <v>0.54279999999999995</v>
      </c>
      <c r="M347" s="1611">
        <v>0.54279999999999995</v>
      </c>
    </row>
    <row r="348" spans="1:13">
      <c r="A348" s="1625">
        <v>4</v>
      </c>
      <c r="B348" s="1611">
        <v>0.70409999999999995</v>
      </c>
      <c r="C348" s="1611">
        <v>0.70409999999999995</v>
      </c>
      <c r="D348" s="1611">
        <v>0.68589999999999995</v>
      </c>
      <c r="E348" s="1611">
        <v>0.68589999999999995</v>
      </c>
      <c r="F348" s="1611">
        <v>0.68589999999999995</v>
      </c>
      <c r="G348" s="1611">
        <v>0.61499999999999999</v>
      </c>
      <c r="H348" s="1611">
        <v>0.61499999999999999</v>
      </c>
      <c r="I348" s="1611">
        <v>0.53859999999999997</v>
      </c>
      <c r="J348" s="1611">
        <v>0.53859999999999997</v>
      </c>
      <c r="K348" s="1611">
        <v>0.53859999999999997</v>
      </c>
      <c r="L348" s="1611">
        <v>0.53859999999999997</v>
      </c>
      <c r="M348" s="1611">
        <v>0.53859999999999997</v>
      </c>
    </row>
    <row r="349" spans="1:13">
      <c r="A349" s="1625">
        <v>4.0999999999999996</v>
      </c>
      <c r="B349" s="1611">
        <v>0.7006</v>
      </c>
      <c r="C349" s="1611">
        <v>0.7006</v>
      </c>
      <c r="D349" s="1611">
        <v>0.68159999999999998</v>
      </c>
      <c r="E349" s="1611">
        <v>0.68159999999999998</v>
      </c>
      <c r="F349" s="1611">
        <v>0.68159999999999998</v>
      </c>
      <c r="G349" s="1611">
        <v>0.61080000000000001</v>
      </c>
      <c r="H349" s="1611">
        <v>0.61080000000000001</v>
      </c>
      <c r="I349" s="1611">
        <v>0.53459999999999996</v>
      </c>
      <c r="J349" s="1611">
        <v>0.53459999999999996</v>
      </c>
      <c r="K349" s="1611">
        <v>0.53459999999999996</v>
      </c>
      <c r="L349" s="1611">
        <v>0.53459999999999996</v>
      </c>
      <c r="M349" s="1611">
        <v>0.53459999999999996</v>
      </c>
    </row>
    <row r="350" spans="1:13">
      <c r="A350" s="1625">
        <v>4.2</v>
      </c>
      <c r="B350" s="1611">
        <v>0.69740000000000002</v>
      </c>
      <c r="C350" s="1611">
        <v>0.69740000000000002</v>
      </c>
      <c r="D350" s="1611">
        <v>0.67759999999999998</v>
      </c>
      <c r="E350" s="1611">
        <v>0.67759999999999998</v>
      </c>
      <c r="F350" s="1611">
        <v>0.67759999999999998</v>
      </c>
      <c r="G350" s="1611">
        <v>0.60699999999999998</v>
      </c>
      <c r="H350" s="1611">
        <v>0.60699999999999998</v>
      </c>
      <c r="I350" s="1611">
        <v>0.53090000000000004</v>
      </c>
      <c r="J350" s="1611">
        <v>0.53090000000000004</v>
      </c>
      <c r="K350" s="1611">
        <v>0.53090000000000004</v>
      </c>
      <c r="L350" s="1611">
        <v>0.53090000000000004</v>
      </c>
      <c r="M350" s="1611">
        <v>0.53090000000000004</v>
      </c>
    </row>
    <row r="351" spans="1:13">
      <c r="A351" s="1625">
        <v>4.3</v>
      </c>
      <c r="B351" s="1611">
        <v>0.69450000000000001</v>
      </c>
      <c r="C351" s="1611">
        <v>0.69450000000000001</v>
      </c>
      <c r="D351" s="1611">
        <v>0.67390000000000005</v>
      </c>
      <c r="E351" s="1611">
        <v>0.67390000000000005</v>
      </c>
      <c r="F351" s="1611">
        <v>0.67390000000000005</v>
      </c>
      <c r="G351" s="1611">
        <v>0.60329999999999995</v>
      </c>
      <c r="H351" s="1611">
        <v>0.60329999999999995</v>
      </c>
      <c r="I351" s="1611">
        <v>0.52739999999999998</v>
      </c>
      <c r="J351" s="1611">
        <v>0.52739999999999998</v>
      </c>
      <c r="K351" s="1611">
        <v>0.52739999999999998</v>
      </c>
      <c r="L351" s="1611">
        <v>0.52739999999999998</v>
      </c>
      <c r="M351" s="1611">
        <v>0.52739999999999998</v>
      </c>
    </row>
    <row r="352" spans="1:13">
      <c r="A352" s="1625">
        <v>4.4000000000000004</v>
      </c>
      <c r="B352" s="1611">
        <v>0.69179999999999997</v>
      </c>
      <c r="C352" s="1611">
        <v>0.69179999999999997</v>
      </c>
      <c r="D352" s="1611">
        <v>0.67049999999999998</v>
      </c>
      <c r="E352" s="1611">
        <v>0.67049999999999998</v>
      </c>
      <c r="F352" s="1611">
        <v>0.67049999999999998</v>
      </c>
      <c r="G352" s="1611">
        <v>0.59989999999999999</v>
      </c>
      <c r="H352" s="1611">
        <v>0.59989999999999999</v>
      </c>
      <c r="I352" s="1611">
        <v>0.5242</v>
      </c>
      <c r="J352" s="1611">
        <v>0.5242</v>
      </c>
      <c r="K352" s="1611">
        <v>0.5242</v>
      </c>
      <c r="L352" s="1611">
        <v>0.5242</v>
      </c>
      <c r="M352" s="1611">
        <v>0.5242</v>
      </c>
    </row>
    <row r="353" spans="1:13">
      <c r="A353" s="1625">
        <v>4.5</v>
      </c>
      <c r="B353" s="1611">
        <v>0.68940000000000001</v>
      </c>
      <c r="C353" s="1611">
        <v>0.68940000000000001</v>
      </c>
      <c r="D353" s="1611">
        <v>0.6673</v>
      </c>
      <c r="E353" s="1611">
        <v>0.6673</v>
      </c>
      <c r="F353" s="1611">
        <v>0.6673</v>
      </c>
      <c r="G353" s="1611">
        <v>0.59670000000000001</v>
      </c>
      <c r="H353" s="1611">
        <v>0.59670000000000001</v>
      </c>
      <c r="I353" s="1611">
        <v>0.52110000000000001</v>
      </c>
      <c r="J353" s="1611">
        <v>0.52110000000000001</v>
      </c>
      <c r="K353" s="1611">
        <v>0.52110000000000001</v>
      </c>
      <c r="L353" s="1611">
        <v>0.52110000000000001</v>
      </c>
      <c r="M353" s="1611">
        <v>0.52110000000000001</v>
      </c>
    </row>
    <row r="354" spans="1:13">
      <c r="A354" s="1625">
        <v>4.5999999999999996</v>
      </c>
      <c r="B354" s="1611">
        <v>0.68720000000000003</v>
      </c>
      <c r="C354" s="1611">
        <v>0.68720000000000003</v>
      </c>
      <c r="D354" s="1611">
        <v>0.6643</v>
      </c>
      <c r="E354" s="1611">
        <v>0.6643</v>
      </c>
      <c r="F354" s="1611">
        <v>0.6643</v>
      </c>
      <c r="G354" s="1611">
        <v>0.59379999999999999</v>
      </c>
      <c r="H354" s="1611">
        <v>0.59379999999999999</v>
      </c>
      <c r="I354" s="1611">
        <v>0.51819999999999999</v>
      </c>
      <c r="J354" s="1611">
        <v>0.51819999999999999</v>
      </c>
      <c r="K354" s="1611">
        <v>0.51819999999999999</v>
      </c>
      <c r="L354" s="1611">
        <v>0.51819999999999999</v>
      </c>
      <c r="M354" s="1611">
        <v>0.51819999999999999</v>
      </c>
    </row>
    <row r="355" spans="1:13">
      <c r="A355" s="1625">
        <v>4.7</v>
      </c>
      <c r="B355" s="1611">
        <v>0.68520000000000003</v>
      </c>
      <c r="C355" s="1611">
        <v>0.68520000000000003</v>
      </c>
      <c r="D355" s="1611">
        <v>0.66149999999999998</v>
      </c>
      <c r="E355" s="1611">
        <v>0.66149999999999998</v>
      </c>
      <c r="F355" s="1611">
        <v>0.66149999999999998</v>
      </c>
      <c r="G355" s="1611">
        <v>0.59109999999999996</v>
      </c>
      <c r="H355" s="1611">
        <v>0.59109999999999996</v>
      </c>
      <c r="I355" s="1611">
        <v>0.51559999999999995</v>
      </c>
      <c r="J355" s="1611">
        <v>0.51559999999999995</v>
      </c>
      <c r="K355" s="1611">
        <v>0.51559999999999995</v>
      </c>
      <c r="L355" s="1611">
        <v>0.51559999999999995</v>
      </c>
      <c r="M355" s="1611">
        <v>0.51559999999999995</v>
      </c>
    </row>
    <row r="356" spans="1:13">
      <c r="A356" s="1625">
        <v>4.8</v>
      </c>
      <c r="B356" s="1611">
        <v>0.68340000000000001</v>
      </c>
      <c r="C356" s="1611">
        <v>0.68340000000000001</v>
      </c>
      <c r="D356" s="1611">
        <v>0.65900000000000003</v>
      </c>
      <c r="E356" s="1611">
        <v>0.65900000000000003</v>
      </c>
      <c r="F356" s="1611">
        <v>0.65900000000000003</v>
      </c>
      <c r="G356" s="1611">
        <v>0.58850000000000002</v>
      </c>
      <c r="H356" s="1611">
        <v>0.58850000000000002</v>
      </c>
      <c r="I356" s="1611">
        <v>0.51300000000000001</v>
      </c>
      <c r="J356" s="1611">
        <v>0.51300000000000001</v>
      </c>
      <c r="K356" s="1611">
        <v>0.51300000000000001</v>
      </c>
      <c r="L356" s="1611">
        <v>0.51300000000000001</v>
      </c>
      <c r="M356" s="1611">
        <v>0.51300000000000001</v>
      </c>
    </row>
    <row r="357" spans="1:13">
      <c r="A357" s="1625">
        <v>4.9000000000000004</v>
      </c>
      <c r="B357" s="1611">
        <v>0.68179999999999996</v>
      </c>
      <c r="C357" s="1611">
        <v>0.68179999999999996</v>
      </c>
      <c r="D357" s="1611">
        <v>0.65659999999999996</v>
      </c>
      <c r="E357" s="1611">
        <v>0.65659999999999996</v>
      </c>
      <c r="F357" s="1611">
        <v>0.65659999999999996</v>
      </c>
      <c r="G357" s="1611">
        <v>0.58599999999999997</v>
      </c>
      <c r="H357" s="1611">
        <v>0.58599999999999997</v>
      </c>
      <c r="I357" s="1611">
        <v>0.51060000000000005</v>
      </c>
      <c r="J357" s="1611">
        <v>0.51060000000000005</v>
      </c>
      <c r="K357" s="1611">
        <v>0.51060000000000005</v>
      </c>
      <c r="L357" s="1611">
        <v>0.51060000000000005</v>
      </c>
      <c r="M357" s="1611">
        <v>0.51060000000000005</v>
      </c>
    </row>
    <row r="358" spans="1:13">
      <c r="A358" s="1625">
        <v>5</v>
      </c>
      <c r="B358" s="1611">
        <v>0.68030000000000002</v>
      </c>
      <c r="C358" s="1611">
        <v>0.68030000000000002</v>
      </c>
      <c r="D358" s="1611">
        <v>0.65439999999999998</v>
      </c>
      <c r="E358" s="1611">
        <v>0.65439999999999998</v>
      </c>
      <c r="F358" s="1611">
        <v>0.65439999999999998</v>
      </c>
      <c r="G358" s="1611">
        <v>0.58379999999999999</v>
      </c>
      <c r="H358" s="1611">
        <v>0.58379999999999999</v>
      </c>
      <c r="I358" s="1611">
        <v>0.50839999999999996</v>
      </c>
      <c r="J358" s="1611">
        <v>0.50839999999999996</v>
      </c>
      <c r="K358" s="1611">
        <v>0.50839999999999996</v>
      </c>
      <c r="L358" s="1611">
        <v>0.50839999999999996</v>
      </c>
      <c r="M358" s="1611">
        <v>0.50839999999999996</v>
      </c>
    </row>
    <row r="359" spans="1:13">
      <c r="A359" s="1602">
        <v>5.0999999999999996</v>
      </c>
      <c r="B359" s="1611">
        <v>0.67889999999999995</v>
      </c>
      <c r="C359" s="1611">
        <v>0.67889999999999995</v>
      </c>
      <c r="D359" s="1611">
        <v>0.65229999999999999</v>
      </c>
      <c r="E359" s="1611">
        <v>0.65229999999999999</v>
      </c>
      <c r="F359" s="1611">
        <v>0.65229999999999999</v>
      </c>
      <c r="G359" s="1611">
        <v>0.58160000000000001</v>
      </c>
      <c r="H359" s="1611">
        <v>0.58160000000000001</v>
      </c>
      <c r="I359" s="1611">
        <v>0.50629999999999997</v>
      </c>
      <c r="J359" s="1611">
        <v>0.50629999999999997</v>
      </c>
      <c r="K359" s="1611">
        <v>0.50629999999999997</v>
      </c>
      <c r="L359" s="1611">
        <v>0.50629999999999997</v>
      </c>
      <c r="M359" s="1611">
        <v>0.50629999999999997</v>
      </c>
    </row>
    <row r="360" spans="1:13">
      <c r="A360" s="1602">
        <v>5.2</v>
      </c>
      <c r="B360" s="1611">
        <v>0.67749999999999999</v>
      </c>
      <c r="C360" s="1611">
        <v>0.67749999999999999</v>
      </c>
      <c r="D360" s="1611">
        <v>0.65029999999999999</v>
      </c>
      <c r="E360" s="1611">
        <v>0.65029999999999999</v>
      </c>
      <c r="F360" s="1611">
        <v>0.65029999999999999</v>
      </c>
      <c r="G360" s="1611">
        <v>0.57950000000000002</v>
      </c>
      <c r="H360" s="1611">
        <v>0.57950000000000002</v>
      </c>
      <c r="I360" s="1611">
        <v>0.50419999999999998</v>
      </c>
      <c r="J360" s="1611">
        <v>0.50419999999999998</v>
      </c>
      <c r="K360" s="1611">
        <v>0.50419999999999998</v>
      </c>
      <c r="L360" s="1611">
        <v>0.50419999999999998</v>
      </c>
      <c r="M360" s="1611">
        <v>0.50419999999999998</v>
      </c>
    </row>
    <row r="361" spans="1:13">
      <c r="A361" s="1602">
        <v>5.3</v>
      </c>
      <c r="B361" s="1611">
        <v>0.67620000000000002</v>
      </c>
      <c r="C361" s="1611">
        <v>0.67620000000000002</v>
      </c>
      <c r="D361" s="1611">
        <v>0.64839999999999998</v>
      </c>
      <c r="E361" s="1611">
        <v>0.64839999999999998</v>
      </c>
      <c r="F361" s="1611">
        <v>0.64839999999999998</v>
      </c>
      <c r="G361" s="1611">
        <v>0.5776</v>
      </c>
      <c r="H361" s="1611">
        <v>0.5776</v>
      </c>
      <c r="I361" s="1611">
        <v>0.50229999999999997</v>
      </c>
      <c r="J361" s="1611">
        <v>0.50229999999999997</v>
      </c>
      <c r="K361" s="1611">
        <v>0.50229999999999997</v>
      </c>
      <c r="L361" s="1611">
        <v>0.50229999999999997</v>
      </c>
      <c r="M361" s="1611">
        <v>0.50229999999999997</v>
      </c>
    </row>
    <row r="362" spans="1:13">
      <c r="A362" s="1602">
        <v>5.4</v>
      </c>
      <c r="B362" s="1611">
        <v>0.67500000000000004</v>
      </c>
      <c r="C362" s="1611">
        <v>0.67500000000000004</v>
      </c>
      <c r="D362" s="1611">
        <v>0.64670000000000005</v>
      </c>
      <c r="E362" s="1611">
        <v>0.64670000000000005</v>
      </c>
      <c r="F362" s="1611">
        <v>0.64670000000000005</v>
      </c>
      <c r="G362" s="1611">
        <v>0.57579999999999998</v>
      </c>
      <c r="H362" s="1611">
        <v>0.57579999999999998</v>
      </c>
      <c r="I362" s="1611">
        <v>0.50039999999999996</v>
      </c>
      <c r="J362" s="1611">
        <v>0.50039999999999996</v>
      </c>
      <c r="K362" s="1611">
        <v>0.50039999999999996</v>
      </c>
      <c r="L362" s="1611">
        <v>0.50039999999999996</v>
      </c>
      <c r="M362" s="1611">
        <v>0.50039999999999996</v>
      </c>
    </row>
    <row r="363" spans="1:13">
      <c r="A363" s="1602">
        <v>5.5</v>
      </c>
      <c r="B363" s="1611">
        <v>0.67379999999999995</v>
      </c>
      <c r="C363" s="1611">
        <v>0.67379999999999995</v>
      </c>
      <c r="D363" s="1611">
        <v>0.64500000000000002</v>
      </c>
      <c r="E363" s="1611">
        <v>0.64500000000000002</v>
      </c>
      <c r="F363" s="1611">
        <v>0.64500000000000002</v>
      </c>
      <c r="G363" s="1611">
        <v>0.57399999999999995</v>
      </c>
      <c r="H363" s="1611">
        <v>0.57399999999999995</v>
      </c>
      <c r="I363" s="1611">
        <v>0.49869999999999998</v>
      </c>
      <c r="J363" s="1611">
        <v>0.49869999999999998</v>
      </c>
      <c r="K363" s="1611">
        <v>0.49869999999999998</v>
      </c>
      <c r="L363" s="1611">
        <v>0.49869999999999998</v>
      </c>
      <c r="M363" s="1611">
        <v>0.49869999999999998</v>
      </c>
    </row>
    <row r="364" spans="1:13">
      <c r="A364" s="1602">
        <v>5.6</v>
      </c>
      <c r="B364" s="1611">
        <v>0.67259999999999998</v>
      </c>
      <c r="C364" s="1611">
        <v>0.67259999999999998</v>
      </c>
      <c r="D364" s="1611">
        <v>0.64339999999999997</v>
      </c>
      <c r="E364" s="1611">
        <v>0.64339999999999997</v>
      </c>
      <c r="F364" s="1611">
        <v>0.64339999999999997</v>
      </c>
      <c r="G364" s="1611">
        <v>0.57240000000000002</v>
      </c>
      <c r="H364" s="1611">
        <v>0.57240000000000002</v>
      </c>
      <c r="I364" s="1611">
        <v>0.49690000000000001</v>
      </c>
      <c r="J364" s="1611">
        <v>0.49690000000000001</v>
      </c>
      <c r="K364" s="1611">
        <v>0.49690000000000001</v>
      </c>
      <c r="L364" s="1611">
        <v>0.49690000000000001</v>
      </c>
      <c r="M364" s="1611">
        <v>0.49690000000000001</v>
      </c>
    </row>
    <row r="365" spans="1:13">
      <c r="A365" s="1625">
        <v>5.7</v>
      </c>
      <c r="B365" s="1611">
        <v>0.6714</v>
      </c>
      <c r="C365" s="1611">
        <v>0.6714</v>
      </c>
      <c r="D365" s="1611">
        <v>0.64190000000000003</v>
      </c>
      <c r="E365" s="1611">
        <v>0.64190000000000003</v>
      </c>
      <c r="F365" s="1611">
        <v>0.64190000000000003</v>
      </c>
      <c r="G365" s="1611">
        <v>0.57069999999999999</v>
      </c>
      <c r="H365" s="1611">
        <v>0.57069999999999999</v>
      </c>
      <c r="I365" s="1611">
        <v>0.49519999999999997</v>
      </c>
      <c r="J365" s="1611">
        <v>0.49519999999999997</v>
      </c>
      <c r="K365" s="1611">
        <v>0.49519999999999997</v>
      </c>
      <c r="L365" s="1611">
        <v>0.49519999999999997</v>
      </c>
      <c r="M365" s="1611">
        <v>0.49519999999999997</v>
      </c>
    </row>
    <row r="366" spans="1:13">
      <c r="A366" s="1602">
        <v>5.8</v>
      </c>
      <c r="B366" s="1611">
        <v>0.67020000000000002</v>
      </c>
      <c r="C366" s="1611">
        <v>0.67020000000000002</v>
      </c>
      <c r="D366" s="1611">
        <v>0.64039999999999997</v>
      </c>
      <c r="E366" s="1611">
        <v>0.64039999999999997</v>
      </c>
      <c r="F366" s="1611">
        <v>0.64039999999999997</v>
      </c>
      <c r="G366" s="1611">
        <v>0.56910000000000005</v>
      </c>
      <c r="H366" s="1611">
        <v>0.56910000000000005</v>
      </c>
      <c r="I366" s="1611">
        <v>0.49359999999999998</v>
      </c>
      <c r="J366" s="1611">
        <v>0.49359999999999998</v>
      </c>
      <c r="K366" s="1611">
        <v>0.49359999999999998</v>
      </c>
      <c r="L366" s="1611">
        <v>0.49359999999999998</v>
      </c>
      <c r="M366" s="1611">
        <v>0.49359999999999998</v>
      </c>
    </row>
    <row r="367" spans="1:13">
      <c r="A367" s="1602">
        <v>5.9</v>
      </c>
      <c r="B367" s="1611">
        <v>0.66910000000000003</v>
      </c>
      <c r="C367" s="1611">
        <v>0.66910000000000003</v>
      </c>
      <c r="D367" s="1611">
        <v>0.63890000000000002</v>
      </c>
      <c r="E367" s="1611">
        <v>0.63890000000000002</v>
      </c>
      <c r="F367" s="1611">
        <v>0.63890000000000002</v>
      </c>
      <c r="G367" s="1611">
        <v>0.5675</v>
      </c>
      <c r="H367" s="1611">
        <v>0.5675</v>
      </c>
      <c r="I367" s="1611">
        <v>0.4919</v>
      </c>
      <c r="J367" s="1611">
        <v>0.4919</v>
      </c>
      <c r="K367" s="1611">
        <v>0.4919</v>
      </c>
      <c r="L367" s="1611">
        <v>0.4919</v>
      </c>
      <c r="M367" s="1611">
        <v>0.4919</v>
      </c>
    </row>
    <row r="368" spans="1:13">
      <c r="A368" s="1602">
        <v>6</v>
      </c>
      <c r="B368" s="1611">
        <v>0.66800000000000004</v>
      </c>
      <c r="C368" s="1611">
        <v>0.66800000000000004</v>
      </c>
      <c r="D368" s="1611">
        <v>0.63739999999999997</v>
      </c>
      <c r="E368" s="1611">
        <v>0.63739999999999997</v>
      </c>
      <c r="F368" s="1611">
        <v>0.63739999999999997</v>
      </c>
      <c r="G368" s="1611">
        <v>0.56589999999999996</v>
      </c>
      <c r="H368" s="1611">
        <v>0.56589999999999996</v>
      </c>
      <c r="I368" s="1611">
        <v>0.49020000000000002</v>
      </c>
      <c r="J368" s="1611">
        <v>0.49020000000000002</v>
      </c>
      <c r="K368" s="1611">
        <v>0.49020000000000002</v>
      </c>
      <c r="L368" s="1611">
        <v>0.49020000000000002</v>
      </c>
      <c r="M368" s="1611">
        <v>0.49020000000000002</v>
      </c>
    </row>
    <row r="369" spans="1:13">
      <c r="A369" s="1602">
        <v>6.1</v>
      </c>
      <c r="B369" s="1611">
        <v>0.66690000000000005</v>
      </c>
      <c r="C369" s="1611">
        <v>0.66690000000000005</v>
      </c>
      <c r="D369" s="1611">
        <v>0.63590000000000002</v>
      </c>
      <c r="E369" s="1611">
        <v>0.63590000000000002</v>
      </c>
      <c r="F369" s="1611">
        <v>0.63590000000000002</v>
      </c>
      <c r="G369" s="1611">
        <v>0.56440000000000001</v>
      </c>
      <c r="H369" s="1611">
        <v>0.56440000000000001</v>
      </c>
      <c r="I369" s="1611">
        <v>0.48849999999999999</v>
      </c>
      <c r="J369" s="1611">
        <v>0.48849999999999999</v>
      </c>
      <c r="K369" s="1611">
        <v>0.48849999999999999</v>
      </c>
      <c r="L369" s="1611">
        <v>0.48849999999999999</v>
      </c>
      <c r="M369" s="1611">
        <v>0.48849999999999999</v>
      </c>
    </row>
    <row r="370" spans="1:13">
      <c r="A370" s="1602">
        <v>6.2</v>
      </c>
      <c r="B370" s="1611">
        <v>0.66579999999999995</v>
      </c>
      <c r="C370" s="1611">
        <v>0.66579999999999995</v>
      </c>
      <c r="D370" s="1611">
        <v>0.63439999999999996</v>
      </c>
      <c r="E370" s="1611">
        <v>0.63439999999999996</v>
      </c>
      <c r="F370" s="1611">
        <v>0.63439999999999996</v>
      </c>
      <c r="G370" s="1611">
        <v>0.56289999999999996</v>
      </c>
      <c r="H370" s="1611">
        <v>0.56289999999999996</v>
      </c>
      <c r="I370" s="1611">
        <v>0.48680000000000001</v>
      </c>
      <c r="J370" s="1611">
        <v>0.48680000000000001</v>
      </c>
      <c r="K370" s="1611">
        <v>0.48680000000000001</v>
      </c>
      <c r="L370" s="1611">
        <v>0.48680000000000001</v>
      </c>
      <c r="M370" s="1611">
        <v>0.48680000000000001</v>
      </c>
    </row>
    <row r="371" spans="1:13">
      <c r="A371" s="1602">
        <v>6.3</v>
      </c>
      <c r="B371" s="1611">
        <v>0.66469999999999996</v>
      </c>
      <c r="C371" s="1611">
        <v>0.66469999999999996</v>
      </c>
      <c r="D371" s="1611">
        <v>0.63290000000000002</v>
      </c>
      <c r="E371" s="1611">
        <v>0.63290000000000002</v>
      </c>
      <c r="F371" s="1611">
        <v>0.63290000000000002</v>
      </c>
      <c r="G371" s="1611">
        <v>0.56130000000000002</v>
      </c>
      <c r="H371" s="1611">
        <v>0.56130000000000002</v>
      </c>
      <c r="I371" s="1611">
        <v>0.48509999999999998</v>
      </c>
      <c r="J371" s="1611">
        <v>0.48509999999999998</v>
      </c>
      <c r="K371" s="1611">
        <v>0.48509999999999998</v>
      </c>
      <c r="L371" s="1611">
        <v>0.48509999999999998</v>
      </c>
      <c r="M371" s="1611">
        <v>0.48509999999999998</v>
      </c>
    </row>
    <row r="372" spans="1:13">
      <c r="A372" s="1602">
        <v>6.4</v>
      </c>
      <c r="B372" s="1611">
        <v>0.66359999999999997</v>
      </c>
      <c r="C372" s="1611">
        <v>0.66359999999999997</v>
      </c>
      <c r="D372" s="1611">
        <v>0.63139999999999996</v>
      </c>
      <c r="E372" s="1611">
        <v>0.63139999999999996</v>
      </c>
      <c r="F372" s="1611">
        <v>0.63139999999999996</v>
      </c>
      <c r="G372" s="1611">
        <v>0.55979999999999996</v>
      </c>
      <c r="H372" s="1611">
        <v>0.55979999999999996</v>
      </c>
      <c r="I372" s="1611">
        <v>0.48349999999999999</v>
      </c>
      <c r="J372" s="1611">
        <v>0.48349999999999999</v>
      </c>
      <c r="K372" s="1611">
        <v>0.48349999999999999</v>
      </c>
      <c r="L372" s="1611">
        <v>0.48349999999999999</v>
      </c>
      <c r="M372" s="1611">
        <v>0.48349999999999999</v>
      </c>
    </row>
    <row r="373" spans="1:13">
      <c r="A373" s="1602">
        <v>6.5</v>
      </c>
      <c r="B373" s="1611">
        <v>0.66249999999999998</v>
      </c>
      <c r="C373" s="1611">
        <v>0.66249999999999998</v>
      </c>
      <c r="D373" s="1611">
        <v>0.63</v>
      </c>
      <c r="E373" s="1611">
        <v>0.63</v>
      </c>
      <c r="F373" s="1611">
        <v>0.63</v>
      </c>
      <c r="G373" s="1611">
        <v>0.55820000000000003</v>
      </c>
      <c r="H373" s="1611">
        <v>0.55820000000000003</v>
      </c>
      <c r="I373" s="1611">
        <v>0.4819</v>
      </c>
      <c r="J373" s="1611">
        <v>0.4819</v>
      </c>
      <c r="K373" s="1611">
        <v>0.4819</v>
      </c>
      <c r="L373" s="1611">
        <v>0.4819</v>
      </c>
      <c r="M373" s="1611">
        <v>0.4819</v>
      </c>
    </row>
    <row r="374" spans="1:13">
      <c r="A374" s="1602">
        <v>6.6</v>
      </c>
      <c r="B374" s="1611">
        <v>0.66149999999999998</v>
      </c>
      <c r="C374" s="1611">
        <v>0.66149999999999998</v>
      </c>
      <c r="D374" s="1611">
        <v>0.62860000000000005</v>
      </c>
      <c r="E374" s="1611">
        <v>0.62860000000000005</v>
      </c>
      <c r="F374" s="1611">
        <v>0.62860000000000005</v>
      </c>
      <c r="G374" s="1611">
        <v>0.55669999999999997</v>
      </c>
      <c r="H374" s="1611">
        <v>0.55669999999999997</v>
      </c>
      <c r="I374" s="1611">
        <v>0.4803</v>
      </c>
      <c r="J374" s="1611">
        <v>0.4803</v>
      </c>
      <c r="K374" s="1611">
        <v>0.4803</v>
      </c>
      <c r="L374" s="1611">
        <v>0.4803</v>
      </c>
      <c r="M374" s="1611">
        <v>0.4803</v>
      </c>
    </row>
    <row r="375" spans="1:13">
      <c r="A375" s="1602">
        <v>6.7</v>
      </c>
      <c r="B375" s="1611">
        <v>0.66049999999999998</v>
      </c>
      <c r="C375" s="1611">
        <v>0.66049999999999998</v>
      </c>
      <c r="D375" s="1611">
        <v>0.62719999999999998</v>
      </c>
      <c r="E375" s="1611">
        <v>0.62719999999999998</v>
      </c>
      <c r="F375" s="1611">
        <v>0.62719999999999998</v>
      </c>
      <c r="G375" s="1611">
        <v>0.55520000000000003</v>
      </c>
      <c r="H375" s="1611">
        <v>0.55520000000000003</v>
      </c>
      <c r="I375" s="1611">
        <v>0.47870000000000001</v>
      </c>
      <c r="J375" s="1611">
        <v>0.47870000000000001</v>
      </c>
      <c r="K375" s="1611">
        <v>0.47870000000000001</v>
      </c>
      <c r="L375" s="1611">
        <v>0.47870000000000001</v>
      </c>
      <c r="M375" s="1611">
        <v>0.47870000000000001</v>
      </c>
    </row>
    <row r="376" spans="1:13">
      <c r="A376" s="1602">
        <v>6.8</v>
      </c>
      <c r="B376" s="1611">
        <v>0.65949999999999998</v>
      </c>
      <c r="C376" s="1611">
        <v>0.65949999999999998</v>
      </c>
      <c r="D376" s="1611">
        <v>0.62580000000000002</v>
      </c>
      <c r="E376" s="1611">
        <v>0.62580000000000002</v>
      </c>
      <c r="F376" s="1611">
        <v>0.62580000000000002</v>
      </c>
      <c r="G376" s="1611">
        <v>0.55359999999999998</v>
      </c>
      <c r="H376" s="1611">
        <v>0.55359999999999998</v>
      </c>
      <c r="I376" s="1611">
        <v>0.47710000000000002</v>
      </c>
      <c r="J376" s="1611">
        <v>0.47710000000000002</v>
      </c>
      <c r="K376" s="1611">
        <v>0.47710000000000002</v>
      </c>
      <c r="L376" s="1611">
        <v>0.47710000000000002</v>
      </c>
      <c r="M376" s="1611">
        <v>0.47710000000000002</v>
      </c>
    </row>
    <row r="377" spans="1:13">
      <c r="A377" s="1602">
        <v>6.9</v>
      </c>
      <c r="B377" s="1611">
        <v>0.65849999999999997</v>
      </c>
      <c r="C377" s="1611">
        <v>0.65849999999999997</v>
      </c>
      <c r="D377" s="1611">
        <v>0.62439999999999996</v>
      </c>
      <c r="E377" s="1611">
        <v>0.62439999999999996</v>
      </c>
      <c r="F377" s="1611">
        <v>0.62439999999999996</v>
      </c>
      <c r="G377" s="1611">
        <v>0.55220000000000002</v>
      </c>
      <c r="H377" s="1611">
        <v>0.55220000000000002</v>
      </c>
      <c r="I377" s="1611">
        <v>0.47549999999999998</v>
      </c>
      <c r="J377" s="1611">
        <v>0.47549999999999998</v>
      </c>
      <c r="K377" s="1611">
        <v>0.47549999999999998</v>
      </c>
      <c r="L377" s="1611">
        <v>0.47549999999999998</v>
      </c>
      <c r="M377" s="1611">
        <v>0.47549999999999998</v>
      </c>
    </row>
    <row r="378" spans="1:13">
      <c r="A378" s="1602">
        <v>7</v>
      </c>
      <c r="B378" s="1611">
        <v>0.65749999999999997</v>
      </c>
      <c r="C378" s="1611">
        <v>0.65749999999999997</v>
      </c>
      <c r="D378" s="1611">
        <v>0.623</v>
      </c>
      <c r="E378" s="1611">
        <v>0.623</v>
      </c>
      <c r="F378" s="1611">
        <v>0.623</v>
      </c>
      <c r="G378" s="1611">
        <v>0.55069999999999997</v>
      </c>
      <c r="H378" s="1611">
        <v>0.55069999999999997</v>
      </c>
      <c r="I378" s="1611">
        <v>0.47389999999999999</v>
      </c>
      <c r="J378" s="1611">
        <v>0.47389999999999999</v>
      </c>
      <c r="K378" s="1611">
        <v>0.47389999999999999</v>
      </c>
      <c r="L378" s="1611">
        <v>0.47389999999999999</v>
      </c>
      <c r="M378" s="1611">
        <v>0.47389999999999999</v>
      </c>
    </row>
    <row r="379" spans="1:13">
      <c r="A379" s="1602">
        <v>7.1</v>
      </c>
      <c r="B379" s="1611">
        <v>0.65649999999999997</v>
      </c>
      <c r="C379" s="1611">
        <v>0.65649999999999997</v>
      </c>
      <c r="D379" s="1611">
        <v>0.62160000000000004</v>
      </c>
      <c r="E379" s="1611">
        <v>0.62160000000000004</v>
      </c>
      <c r="F379" s="1611">
        <v>0.62160000000000004</v>
      </c>
      <c r="G379" s="1611">
        <v>0.54930000000000001</v>
      </c>
      <c r="H379" s="1611">
        <v>0.54930000000000001</v>
      </c>
      <c r="I379" s="1611">
        <v>0.47239999999999999</v>
      </c>
      <c r="J379" s="1611">
        <v>0.47239999999999999</v>
      </c>
      <c r="K379" s="1611">
        <v>0.47239999999999999</v>
      </c>
      <c r="L379" s="1611">
        <v>0.47239999999999999</v>
      </c>
      <c r="M379" s="1611">
        <v>0.47239999999999999</v>
      </c>
    </row>
    <row r="380" spans="1:13">
      <c r="A380" s="1602">
        <v>7.2</v>
      </c>
      <c r="B380" s="1611">
        <v>0.65549999999999997</v>
      </c>
      <c r="C380" s="1611">
        <v>0.65549999999999997</v>
      </c>
      <c r="D380" s="1611">
        <v>0.62019999999999997</v>
      </c>
      <c r="E380" s="1611">
        <v>0.62019999999999997</v>
      </c>
      <c r="F380" s="1611">
        <v>0.62019999999999997</v>
      </c>
      <c r="G380" s="1611">
        <v>0.54779999999999995</v>
      </c>
      <c r="H380" s="1611">
        <v>0.54779999999999995</v>
      </c>
      <c r="I380" s="1611">
        <v>0.47089999999999999</v>
      </c>
      <c r="J380" s="1611">
        <v>0.47089999999999999</v>
      </c>
      <c r="K380" s="1611">
        <v>0.47089999999999999</v>
      </c>
      <c r="L380" s="1611">
        <v>0.47089999999999999</v>
      </c>
      <c r="M380" s="1611">
        <v>0.47089999999999999</v>
      </c>
    </row>
    <row r="381" spans="1:13">
      <c r="A381" s="1602">
        <v>7.3</v>
      </c>
      <c r="B381" s="1611">
        <v>0.65449999999999997</v>
      </c>
      <c r="C381" s="1611">
        <v>0.65449999999999997</v>
      </c>
      <c r="D381" s="1611">
        <v>0.61880000000000002</v>
      </c>
      <c r="E381" s="1611">
        <v>0.61880000000000002</v>
      </c>
      <c r="F381" s="1611">
        <v>0.61880000000000002</v>
      </c>
      <c r="G381" s="1611">
        <v>0.5464</v>
      </c>
      <c r="H381" s="1611">
        <v>0.5464</v>
      </c>
      <c r="I381" s="1611">
        <v>0.46939999999999998</v>
      </c>
      <c r="J381" s="1611">
        <v>0.46939999999999998</v>
      </c>
      <c r="K381" s="1611">
        <v>0.46939999999999998</v>
      </c>
      <c r="L381" s="1611">
        <v>0.46939999999999998</v>
      </c>
      <c r="M381" s="1611">
        <v>0.46939999999999998</v>
      </c>
    </row>
    <row r="382" spans="1:13">
      <c r="A382" s="1602">
        <v>7.4</v>
      </c>
      <c r="B382" s="1611">
        <v>0.65349999999999997</v>
      </c>
      <c r="C382" s="1611">
        <v>0.65349999999999997</v>
      </c>
      <c r="D382" s="1611">
        <v>0.61750000000000005</v>
      </c>
      <c r="E382" s="1611">
        <v>0.61750000000000005</v>
      </c>
      <c r="F382" s="1611">
        <v>0.61750000000000005</v>
      </c>
      <c r="G382" s="1611">
        <v>0.54490000000000005</v>
      </c>
      <c r="H382" s="1611">
        <v>0.54490000000000005</v>
      </c>
      <c r="I382" s="1611">
        <v>0.46779999999999999</v>
      </c>
      <c r="J382" s="1611">
        <v>0.46779999999999999</v>
      </c>
      <c r="K382" s="1611">
        <v>0.46779999999999999</v>
      </c>
      <c r="L382" s="1611">
        <v>0.46779999999999999</v>
      </c>
      <c r="M382" s="1611">
        <v>0.46779999999999999</v>
      </c>
    </row>
    <row r="383" spans="1:13">
      <c r="A383" s="1602">
        <v>7.5</v>
      </c>
      <c r="B383" s="1611">
        <v>0.65249999999999997</v>
      </c>
      <c r="C383" s="1611">
        <v>0.65249999999999997</v>
      </c>
      <c r="D383" s="1611">
        <v>0.61619999999999997</v>
      </c>
      <c r="E383" s="1611">
        <v>0.61619999999999997</v>
      </c>
      <c r="F383" s="1611">
        <v>0.61619999999999997</v>
      </c>
      <c r="G383" s="1611">
        <v>0.54349999999999998</v>
      </c>
      <c r="H383" s="1611">
        <v>0.54349999999999998</v>
      </c>
      <c r="I383" s="1611">
        <v>0.46629999999999999</v>
      </c>
      <c r="J383" s="1611">
        <v>0.46629999999999999</v>
      </c>
      <c r="K383" s="1611">
        <v>0.46629999999999999</v>
      </c>
      <c r="L383" s="1611">
        <v>0.46629999999999999</v>
      </c>
      <c r="M383" s="1611">
        <v>0.46629999999999999</v>
      </c>
    </row>
    <row r="384" spans="1:13">
      <c r="A384" s="1602">
        <v>7.6</v>
      </c>
      <c r="B384" s="1611">
        <v>0.65149999999999997</v>
      </c>
      <c r="C384" s="1611">
        <v>0.65149999999999997</v>
      </c>
      <c r="D384" s="1611">
        <v>0.6149</v>
      </c>
      <c r="E384" s="1611">
        <v>0.6149</v>
      </c>
      <c r="F384" s="1611">
        <v>0.6149</v>
      </c>
      <c r="G384" s="1611">
        <v>0.54200000000000004</v>
      </c>
      <c r="H384" s="1611">
        <v>0.54200000000000004</v>
      </c>
      <c r="I384" s="1611">
        <v>0.46479999999999999</v>
      </c>
      <c r="J384" s="1611">
        <v>0.46479999999999999</v>
      </c>
      <c r="K384" s="1611">
        <v>0.46479999999999999</v>
      </c>
      <c r="L384" s="1611">
        <v>0.46479999999999999</v>
      </c>
      <c r="M384" s="1611">
        <v>0.46479999999999999</v>
      </c>
    </row>
    <row r="385" spans="1:13">
      <c r="A385" s="1602">
        <v>7.7</v>
      </c>
      <c r="B385" s="1611">
        <v>0.65049999999999997</v>
      </c>
      <c r="C385" s="1611">
        <v>0.65049999999999997</v>
      </c>
      <c r="D385" s="1611">
        <v>0.61360000000000003</v>
      </c>
      <c r="E385" s="1611">
        <v>0.61360000000000003</v>
      </c>
      <c r="F385" s="1611">
        <v>0.61360000000000003</v>
      </c>
      <c r="G385" s="1611">
        <v>0.54059999999999997</v>
      </c>
      <c r="H385" s="1611">
        <v>0.54059999999999997</v>
      </c>
      <c r="I385" s="1611">
        <v>0.46329999999999999</v>
      </c>
      <c r="J385" s="1611">
        <v>0.46329999999999999</v>
      </c>
      <c r="K385" s="1611">
        <v>0.46329999999999999</v>
      </c>
      <c r="L385" s="1611">
        <v>0.46329999999999999</v>
      </c>
      <c r="M385" s="1611">
        <v>0.46329999999999999</v>
      </c>
    </row>
    <row r="386" spans="1:13">
      <c r="A386" s="1602">
        <v>7.8</v>
      </c>
      <c r="B386" s="1611">
        <v>0.64949999999999997</v>
      </c>
      <c r="C386" s="1611">
        <v>0.64949999999999997</v>
      </c>
      <c r="D386" s="1611">
        <v>0.61229999999999996</v>
      </c>
      <c r="E386" s="1611">
        <v>0.61229999999999996</v>
      </c>
      <c r="F386" s="1611">
        <v>0.61229999999999996</v>
      </c>
      <c r="G386" s="1611">
        <v>0.53910000000000002</v>
      </c>
      <c r="H386" s="1611">
        <v>0.53910000000000002</v>
      </c>
      <c r="I386" s="1611">
        <v>0.4617</v>
      </c>
      <c r="J386" s="1611">
        <v>0.4617</v>
      </c>
      <c r="K386" s="1611">
        <v>0.4617</v>
      </c>
      <c r="L386" s="1611">
        <v>0.4617</v>
      </c>
      <c r="M386" s="1611">
        <v>0.4617</v>
      </c>
    </row>
    <row r="387" spans="1:13">
      <c r="A387" s="1602">
        <v>7.9</v>
      </c>
      <c r="B387" s="1611">
        <v>0.64849999999999997</v>
      </c>
      <c r="C387" s="1611">
        <v>0.64849999999999997</v>
      </c>
      <c r="D387" s="1611">
        <v>0.61099999999999999</v>
      </c>
      <c r="E387" s="1611">
        <v>0.61099999999999999</v>
      </c>
      <c r="F387" s="1611">
        <v>0.61099999999999999</v>
      </c>
      <c r="G387" s="1611">
        <v>0.53769999999999996</v>
      </c>
      <c r="H387" s="1611">
        <v>0.53769999999999996</v>
      </c>
      <c r="I387" s="1611">
        <v>0.4602</v>
      </c>
      <c r="J387" s="1611">
        <v>0.4602</v>
      </c>
      <c r="K387" s="1611">
        <v>0.4602</v>
      </c>
      <c r="L387" s="1611">
        <v>0.4602</v>
      </c>
      <c r="M387" s="1611">
        <v>0.4602</v>
      </c>
    </row>
    <row r="388" spans="1:13">
      <c r="A388" s="1602">
        <v>8</v>
      </c>
      <c r="B388" s="1611">
        <v>0.64749999999999996</v>
      </c>
      <c r="C388" s="1611">
        <v>0.64749999999999996</v>
      </c>
      <c r="D388" s="1611">
        <v>0.60970000000000002</v>
      </c>
      <c r="E388" s="1611">
        <v>0.60970000000000002</v>
      </c>
      <c r="F388" s="1611">
        <v>0.60970000000000002</v>
      </c>
      <c r="G388" s="1611">
        <v>0.53620000000000001</v>
      </c>
      <c r="H388" s="1611">
        <v>0.53620000000000001</v>
      </c>
      <c r="I388" s="1611">
        <v>0.4587</v>
      </c>
      <c r="J388" s="1611">
        <v>0.4587</v>
      </c>
      <c r="K388" s="1611">
        <v>0.4587</v>
      </c>
      <c r="L388" s="1611">
        <v>0.4587</v>
      </c>
      <c r="M388" s="1611">
        <v>0.4587</v>
      </c>
    </row>
    <row r="389" spans="1:13">
      <c r="A389" s="1602">
        <v>8.1</v>
      </c>
      <c r="B389" s="1611">
        <v>0.64649999999999996</v>
      </c>
      <c r="C389" s="1611">
        <v>0.64649999999999996</v>
      </c>
      <c r="D389" s="1611">
        <v>0.60840000000000005</v>
      </c>
      <c r="E389" s="1611">
        <v>0.60840000000000005</v>
      </c>
      <c r="F389" s="1611">
        <v>0.60840000000000005</v>
      </c>
      <c r="G389" s="1611">
        <v>0.53480000000000005</v>
      </c>
      <c r="H389" s="1611">
        <v>0.53480000000000005</v>
      </c>
      <c r="I389" s="1611">
        <v>0.4572</v>
      </c>
      <c r="J389" s="1611">
        <v>0.4572</v>
      </c>
      <c r="K389" s="1611">
        <v>0.4572</v>
      </c>
      <c r="L389" s="1611">
        <v>0.4572</v>
      </c>
      <c r="M389" s="1611">
        <v>0.4572</v>
      </c>
    </row>
    <row r="390" spans="1:13">
      <c r="A390" s="1602">
        <v>8.1999999999999993</v>
      </c>
      <c r="B390" s="1611">
        <v>0.64549999999999996</v>
      </c>
      <c r="C390" s="1611">
        <v>0.64549999999999996</v>
      </c>
      <c r="D390" s="1611">
        <v>0.60709999999999997</v>
      </c>
      <c r="E390" s="1611">
        <v>0.60709999999999997</v>
      </c>
      <c r="F390" s="1611">
        <v>0.60709999999999997</v>
      </c>
      <c r="G390" s="1611">
        <v>0.5333</v>
      </c>
      <c r="H390" s="1611">
        <v>0.5333</v>
      </c>
      <c r="I390" s="1611">
        <v>0.45569999999999999</v>
      </c>
      <c r="J390" s="1611">
        <v>0.45569999999999999</v>
      </c>
      <c r="K390" s="1611">
        <v>0.45569999999999999</v>
      </c>
      <c r="L390" s="1611">
        <v>0.45569999999999999</v>
      </c>
      <c r="M390" s="1611">
        <v>0.45569999999999999</v>
      </c>
    </row>
    <row r="391" spans="1:13">
      <c r="A391" s="1602">
        <v>8.3000000000000007</v>
      </c>
      <c r="B391" s="1611">
        <v>0.64449999999999996</v>
      </c>
      <c r="C391" s="1611">
        <v>0.64449999999999996</v>
      </c>
      <c r="D391" s="1611">
        <v>0.60580000000000001</v>
      </c>
      <c r="E391" s="1611">
        <v>0.60580000000000001</v>
      </c>
      <c r="F391" s="1611">
        <v>0.60580000000000001</v>
      </c>
      <c r="G391" s="1611">
        <v>0.53190000000000004</v>
      </c>
      <c r="H391" s="1611">
        <v>0.53190000000000004</v>
      </c>
      <c r="I391" s="1611">
        <v>0.45429999999999998</v>
      </c>
      <c r="J391" s="1611">
        <v>0.45429999999999998</v>
      </c>
      <c r="K391" s="1611">
        <v>0.45429999999999998</v>
      </c>
      <c r="L391" s="1611">
        <v>0.45429999999999998</v>
      </c>
      <c r="M391" s="1611">
        <v>0.45429999999999998</v>
      </c>
    </row>
    <row r="392" spans="1:13">
      <c r="A392" s="1602">
        <v>8.4</v>
      </c>
      <c r="B392" s="1611">
        <v>0.64349999999999996</v>
      </c>
      <c r="C392" s="1611">
        <v>0.64349999999999996</v>
      </c>
      <c r="D392" s="1611">
        <v>0.60450000000000004</v>
      </c>
      <c r="E392" s="1611">
        <v>0.60450000000000004</v>
      </c>
      <c r="F392" s="1611">
        <v>0.60450000000000004</v>
      </c>
      <c r="G392" s="1611">
        <v>0.53039999999999998</v>
      </c>
      <c r="H392" s="1611">
        <v>0.53039999999999998</v>
      </c>
      <c r="I392" s="1611">
        <v>0.45290000000000002</v>
      </c>
      <c r="J392" s="1611">
        <v>0.45290000000000002</v>
      </c>
      <c r="K392" s="1611">
        <v>0.45290000000000002</v>
      </c>
      <c r="L392" s="1611">
        <v>0.45290000000000002</v>
      </c>
      <c r="M392" s="1611">
        <v>0.45290000000000002</v>
      </c>
    </row>
    <row r="393" spans="1:13">
      <c r="A393" s="1602">
        <v>8.5</v>
      </c>
      <c r="B393" s="1611">
        <v>0.64249999999999996</v>
      </c>
      <c r="C393" s="1611">
        <v>0.64249999999999996</v>
      </c>
      <c r="D393" s="1611">
        <v>0.60319999999999996</v>
      </c>
      <c r="E393" s="1611">
        <v>0.60319999999999996</v>
      </c>
      <c r="F393" s="1611">
        <v>0.60319999999999996</v>
      </c>
      <c r="G393" s="1611">
        <v>0.52900000000000003</v>
      </c>
      <c r="H393" s="1611">
        <v>0.52900000000000003</v>
      </c>
      <c r="I393" s="1611">
        <v>0.45140000000000002</v>
      </c>
      <c r="J393" s="1611">
        <v>0.45140000000000002</v>
      </c>
      <c r="K393" s="1611">
        <v>0.45140000000000002</v>
      </c>
      <c r="L393" s="1611">
        <v>0.45140000000000002</v>
      </c>
      <c r="M393" s="1611">
        <v>0.45140000000000002</v>
      </c>
    </row>
    <row r="394" spans="1:13">
      <c r="A394" s="1602">
        <v>8.6</v>
      </c>
      <c r="B394" s="1611">
        <v>0.64149999999999996</v>
      </c>
      <c r="C394" s="1611">
        <v>0.64149999999999996</v>
      </c>
      <c r="D394" s="1611">
        <v>0.60189999999999999</v>
      </c>
      <c r="E394" s="1611">
        <v>0.60189999999999999</v>
      </c>
      <c r="F394" s="1611">
        <v>0.60189999999999999</v>
      </c>
      <c r="G394" s="1611">
        <v>0.52749999999999997</v>
      </c>
      <c r="H394" s="1611">
        <v>0.52749999999999997</v>
      </c>
      <c r="I394" s="1611">
        <v>0.45</v>
      </c>
      <c r="J394" s="1611">
        <v>0.45</v>
      </c>
      <c r="K394" s="1611">
        <v>0.45</v>
      </c>
      <c r="L394" s="1611">
        <v>0.45</v>
      </c>
      <c r="M394" s="1611">
        <v>0.45</v>
      </c>
    </row>
    <row r="395" spans="1:13">
      <c r="A395" s="1602">
        <v>8.6999999999999993</v>
      </c>
      <c r="B395" s="1611">
        <v>0.64049999999999996</v>
      </c>
      <c r="C395" s="1611">
        <v>0.64049999999999996</v>
      </c>
      <c r="D395" s="1611">
        <v>0.60060000000000002</v>
      </c>
      <c r="E395" s="1611">
        <v>0.60060000000000002</v>
      </c>
      <c r="F395" s="1611">
        <v>0.60060000000000002</v>
      </c>
      <c r="G395" s="1611">
        <v>0.52610000000000001</v>
      </c>
      <c r="H395" s="1611">
        <v>0.52610000000000001</v>
      </c>
      <c r="I395" s="1611">
        <v>0.44850000000000001</v>
      </c>
      <c r="J395" s="1611">
        <v>0.44850000000000001</v>
      </c>
      <c r="K395" s="1611">
        <v>0.44850000000000001</v>
      </c>
      <c r="L395" s="1611">
        <v>0.44850000000000001</v>
      </c>
      <c r="M395" s="1611">
        <v>0.44850000000000001</v>
      </c>
    </row>
    <row r="396" spans="1:13">
      <c r="A396" s="1602">
        <v>8.8000000000000007</v>
      </c>
      <c r="B396" s="1611">
        <v>0.63949999999999996</v>
      </c>
      <c r="C396" s="1611">
        <v>0.63949999999999996</v>
      </c>
      <c r="D396" s="1611">
        <v>0.59930000000000005</v>
      </c>
      <c r="E396" s="1611">
        <v>0.59930000000000005</v>
      </c>
      <c r="F396" s="1611">
        <v>0.59930000000000005</v>
      </c>
      <c r="G396" s="1611">
        <v>0.52459999999999996</v>
      </c>
      <c r="H396" s="1611">
        <v>0.52459999999999996</v>
      </c>
      <c r="I396" s="1611">
        <v>0.4471</v>
      </c>
      <c r="J396" s="1611">
        <v>0.4471</v>
      </c>
      <c r="K396" s="1611">
        <v>0.4471</v>
      </c>
      <c r="L396" s="1611">
        <v>0.4471</v>
      </c>
      <c r="M396" s="1611">
        <v>0.4471</v>
      </c>
    </row>
    <row r="397" spans="1:13">
      <c r="A397" s="1602">
        <v>8.9</v>
      </c>
      <c r="B397" s="1611">
        <v>0.63849999999999996</v>
      </c>
      <c r="C397" s="1611">
        <v>0.63849999999999996</v>
      </c>
      <c r="D397" s="1611">
        <v>0.59799999999999998</v>
      </c>
      <c r="E397" s="1611">
        <v>0.59799999999999998</v>
      </c>
      <c r="F397" s="1611">
        <v>0.59799999999999998</v>
      </c>
      <c r="G397" s="1611">
        <v>0.5232</v>
      </c>
      <c r="H397" s="1611">
        <v>0.5232</v>
      </c>
      <c r="I397" s="1611">
        <v>0.4456</v>
      </c>
      <c r="J397" s="1611">
        <v>0.4456</v>
      </c>
      <c r="K397" s="1611">
        <v>0.4456</v>
      </c>
      <c r="L397" s="1611">
        <v>0.4456</v>
      </c>
      <c r="M397" s="1611">
        <v>0.4456</v>
      </c>
    </row>
    <row r="398" spans="1:13">
      <c r="A398" s="1625">
        <v>9</v>
      </c>
      <c r="B398" s="1611">
        <v>0.63749999999999996</v>
      </c>
      <c r="C398" s="1611">
        <v>0.63749999999999996</v>
      </c>
      <c r="D398" s="1611">
        <v>0.59670000000000001</v>
      </c>
      <c r="E398" s="1611">
        <v>0.59670000000000001</v>
      </c>
      <c r="F398" s="1611">
        <v>0.59670000000000001</v>
      </c>
      <c r="G398" s="1611">
        <v>0.52170000000000005</v>
      </c>
      <c r="H398" s="1611">
        <v>0.52170000000000005</v>
      </c>
      <c r="I398" s="1611">
        <v>0.44429999999999997</v>
      </c>
      <c r="J398" s="1611">
        <v>0.44429999999999997</v>
      </c>
      <c r="K398" s="1611">
        <v>0.44429999999999997</v>
      </c>
      <c r="L398" s="1611">
        <v>0.44429999999999997</v>
      </c>
      <c r="M398" s="1611">
        <v>0.44429999999999997</v>
      </c>
    </row>
    <row r="399" spans="1:13">
      <c r="A399" s="1625">
        <v>9.1</v>
      </c>
      <c r="B399" s="1611">
        <v>0.63649999999999995</v>
      </c>
      <c r="C399" s="1611">
        <v>0.63649999999999995</v>
      </c>
      <c r="D399" s="1611">
        <v>0.59540000000000004</v>
      </c>
      <c r="E399" s="1611">
        <v>0.59540000000000004</v>
      </c>
      <c r="F399" s="1611">
        <v>0.59540000000000004</v>
      </c>
      <c r="G399" s="1611">
        <v>0.52029999999999998</v>
      </c>
      <c r="H399" s="1611">
        <v>0.52029999999999998</v>
      </c>
      <c r="I399" s="1611">
        <v>0.44290000000000002</v>
      </c>
      <c r="J399" s="1611">
        <v>0.44290000000000002</v>
      </c>
      <c r="K399" s="1611">
        <v>0.44290000000000002</v>
      </c>
      <c r="L399" s="1611">
        <v>0.44290000000000002</v>
      </c>
      <c r="M399" s="1611">
        <v>0.44290000000000002</v>
      </c>
    </row>
    <row r="400" spans="1:13">
      <c r="A400" s="1625">
        <v>9.1999999999999993</v>
      </c>
      <c r="B400" s="1611">
        <v>0.63549999999999995</v>
      </c>
      <c r="C400" s="1611">
        <v>0.63549999999999995</v>
      </c>
      <c r="D400" s="1611">
        <v>0.59409999999999996</v>
      </c>
      <c r="E400" s="1611">
        <v>0.59409999999999996</v>
      </c>
      <c r="F400" s="1611">
        <v>0.59409999999999996</v>
      </c>
      <c r="G400" s="1611">
        <v>0.51880000000000004</v>
      </c>
      <c r="H400" s="1611">
        <v>0.51880000000000004</v>
      </c>
      <c r="I400" s="1611">
        <v>0.44159999999999999</v>
      </c>
      <c r="J400" s="1611">
        <v>0.44159999999999999</v>
      </c>
      <c r="K400" s="1611">
        <v>0.44159999999999999</v>
      </c>
      <c r="L400" s="1611">
        <v>0.44159999999999999</v>
      </c>
      <c r="M400" s="1611">
        <v>0.44159999999999999</v>
      </c>
    </row>
    <row r="401" spans="1:13">
      <c r="A401" s="1625">
        <v>9.3000000000000007</v>
      </c>
      <c r="B401" s="1611">
        <v>0.63449999999999995</v>
      </c>
      <c r="C401" s="1611">
        <v>0.63449999999999995</v>
      </c>
      <c r="D401" s="1611">
        <v>0.59279999999999999</v>
      </c>
      <c r="E401" s="1611">
        <v>0.59279999999999999</v>
      </c>
      <c r="F401" s="1611">
        <v>0.59279999999999999</v>
      </c>
      <c r="G401" s="1611">
        <v>0.51739999999999997</v>
      </c>
      <c r="H401" s="1611">
        <v>0.51739999999999997</v>
      </c>
      <c r="I401" s="1611">
        <v>0.44019999999999998</v>
      </c>
      <c r="J401" s="1611">
        <v>0.44019999999999998</v>
      </c>
      <c r="K401" s="1611">
        <v>0.44019999999999998</v>
      </c>
      <c r="L401" s="1611">
        <v>0.44019999999999998</v>
      </c>
      <c r="M401" s="1611">
        <v>0.44019999999999998</v>
      </c>
    </row>
    <row r="402" spans="1:13">
      <c r="A402" s="1625">
        <v>9.4</v>
      </c>
      <c r="B402" s="1611">
        <v>0.63349999999999995</v>
      </c>
      <c r="C402" s="1611">
        <v>0.63349999999999995</v>
      </c>
      <c r="D402" s="1611">
        <v>0.59150000000000003</v>
      </c>
      <c r="E402" s="1611">
        <v>0.59150000000000003</v>
      </c>
      <c r="F402" s="1611">
        <v>0.59150000000000003</v>
      </c>
      <c r="G402" s="1611">
        <v>0.51600000000000001</v>
      </c>
      <c r="H402" s="1611">
        <v>0.51600000000000001</v>
      </c>
      <c r="I402" s="1611">
        <v>0.43880000000000002</v>
      </c>
      <c r="J402" s="1611">
        <v>0.43880000000000002</v>
      </c>
      <c r="K402" s="1611">
        <v>0.43880000000000002</v>
      </c>
      <c r="L402" s="1611">
        <v>0.43880000000000002</v>
      </c>
      <c r="M402" s="1611">
        <v>0.43880000000000002</v>
      </c>
    </row>
    <row r="403" spans="1:13">
      <c r="A403" s="1625">
        <v>9.5</v>
      </c>
      <c r="B403" s="1611">
        <v>0.63249999999999995</v>
      </c>
      <c r="C403" s="1611">
        <v>0.63249999999999995</v>
      </c>
      <c r="D403" s="1611">
        <v>0.59030000000000005</v>
      </c>
      <c r="E403" s="1611">
        <v>0.59030000000000005</v>
      </c>
      <c r="F403" s="1611">
        <v>0.59030000000000005</v>
      </c>
      <c r="G403" s="1611">
        <v>0.51470000000000005</v>
      </c>
      <c r="H403" s="1611">
        <v>0.51470000000000005</v>
      </c>
      <c r="I403" s="1611">
        <v>0.4375</v>
      </c>
      <c r="J403" s="1611">
        <v>0.4375</v>
      </c>
      <c r="K403" s="1611">
        <v>0.4375</v>
      </c>
      <c r="L403" s="1611">
        <v>0.4375</v>
      </c>
      <c r="M403" s="1611">
        <v>0.4375</v>
      </c>
    </row>
    <row r="404" spans="1:13">
      <c r="A404" s="1625">
        <v>9.6</v>
      </c>
      <c r="B404" s="1611">
        <v>0.63149999999999995</v>
      </c>
      <c r="C404" s="1611">
        <v>0.63149999999999995</v>
      </c>
      <c r="D404" s="1611">
        <v>0.58909999999999996</v>
      </c>
      <c r="E404" s="1611">
        <v>0.58909999999999996</v>
      </c>
      <c r="F404" s="1611">
        <v>0.58909999999999996</v>
      </c>
      <c r="G404" s="1611">
        <v>0.51329999999999998</v>
      </c>
      <c r="H404" s="1611">
        <v>0.51329999999999998</v>
      </c>
      <c r="I404" s="1611">
        <v>0.43609999999999999</v>
      </c>
      <c r="J404" s="1611">
        <v>0.43609999999999999</v>
      </c>
      <c r="K404" s="1611">
        <v>0.43609999999999999</v>
      </c>
      <c r="L404" s="1611">
        <v>0.43609999999999999</v>
      </c>
      <c r="M404" s="1611">
        <v>0.43609999999999999</v>
      </c>
    </row>
    <row r="405" spans="1:13">
      <c r="A405" s="1625">
        <v>9.6999999999999993</v>
      </c>
      <c r="B405" s="1611">
        <v>0.63049999999999995</v>
      </c>
      <c r="C405" s="1611">
        <v>0.63049999999999995</v>
      </c>
      <c r="D405" s="1611">
        <v>0.58789999999999998</v>
      </c>
      <c r="E405" s="1611">
        <v>0.58789999999999998</v>
      </c>
      <c r="F405" s="1611">
        <v>0.58789999999999998</v>
      </c>
      <c r="G405" s="1611">
        <v>0.51200000000000001</v>
      </c>
      <c r="H405" s="1611">
        <v>0.51200000000000001</v>
      </c>
      <c r="I405" s="1611">
        <v>0.43480000000000002</v>
      </c>
      <c r="J405" s="1611">
        <v>0.43480000000000002</v>
      </c>
      <c r="K405" s="1611">
        <v>0.43480000000000002</v>
      </c>
      <c r="L405" s="1611">
        <v>0.43480000000000002</v>
      </c>
      <c r="M405" s="1611">
        <v>0.43480000000000002</v>
      </c>
    </row>
    <row r="406" spans="1:13">
      <c r="A406" s="1625">
        <v>9.8000000000000007</v>
      </c>
      <c r="B406" s="1611">
        <v>0.62949999999999995</v>
      </c>
      <c r="C406" s="1611">
        <v>0.62949999999999995</v>
      </c>
      <c r="D406" s="1611">
        <v>0.5867</v>
      </c>
      <c r="E406" s="1611">
        <v>0.5867</v>
      </c>
      <c r="F406" s="1611">
        <v>0.5867</v>
      </c>
      <c r="G406" s="1611">
        <v>0.51060000000000005</v>
      </c>
      <c r="H406" s="1611">
        <v>0.51060000000000005</v>
      </c>
      <c r="I406" s="1611">
        <v>0.43340000000000001</v>
      </c>
      <c r="J406" s="1611">
        <v>0.43340000000000001</v>
      </c>
      <c r="K406" s="1611">
        <v>0.43340000000000001</v>
      </c>
      <c r="L406" s="1611">
        <v>0.43340000000000001</v>
      </c>
      <c r="M406" s="1611">
        <v>0.43340000000000001</v>
      </c>
    </row>
    <row r="407" spans="1:13">
      <c r="A407" s="1625">
        <v>9.9</v>
      </c>
      <c r="B407" s="1611">
        <v>0.62849999999999995</v>
      </c>
      <c r="C407" s="1611">
        <v>0.62849999999999995</v>
      </c>
      <c r="D407" s="1611">
        <v>0.58550000000000002</v>
      </c>
      <c r="E407" s="1611">
        <v>0.58550000000000002</v>
      </c>
      <c r="F407" s="1611">
        <v>0.58550000000000002</v>
      </c>
      <c r="G407" s="1611">
        <v>0.50919999999999999</v>
      </c>
      <c r="H407" s="1611">
        <v>0.50919999999999999</v>
      </c>
      <c r="I407" s="1611">
        <v>0.432</v>
      </c>
      <c r="J407" s="1611">
        <v>0.432</v>
      </c>
      <c r="K407" s="1611">
        <v>0.432</v>
      </c>
      <c r="L407" s="1611">
        <v>0.432</v>
      </c>
      <c r="M407" s="1611">
        <v>0.432</v>
      </c>
    </row>
    <row r="408" spans="1:13">
      <c r="A408" s="1625">
        <v>10</v>
      </c>
      <c r="B408" s="1611">
        <v>0.62749999999999995</v>
      </c>
      <c r="C408" s="1611">
        <v>0.62749999999999995</v>
      </c>
      <c r="D408" s="1611">
        <v>0.58430000000000004</v>
      </c>
      <c r="E408" s="1611">
        <v>0.58430000000000004</v>
      </c>
      <c r="F408" s="1611">
        <v>0.58430000000000004</v>
      </c>
      <c r="G408" s="1611">
        <v>0.50790000000000002</v>
      </c>
      <c r="H408" s="1611">
        <v>0.50790000000000002</v>
      </c>
      <c r="I408" s="1611">
        <v>0.43070000000000003</v>
      </c>
      <c r="J408" s="1611">
        <v>0.43070000000000003</v>
      </c>
      <c r="K408" s="1611">
        <v>0.43070000000000003</v>
      </c>
      <c r="L408" s="1611">
        <v>0.43070000000000003</v>
      </c>
      <c r="M408" s="1611">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908" t="s">
        <v>3119</v>
      </c>
      <c r="C1" s="3908"/>
      <c r="D1" s="3908"/>
      <c r="E1" s="3908"/>
      <c r="F1" s="3908"/>
      <c r="G1" s="3904" t="s">
        <v>3120</v>
      </c>
      <c r="H1" s="3904"/>
      <c r="I1" s="3904"/>
      <c r="J1" s="3904"/>
      <c r="K1" s="3904"/>
      <c r="L1" s="3904"/>
      <c r="N1" s="3904" t="s">
        <v>3121</v>
      </c>
      <c r="O1" s="3904"/>
      <c r="P1" s="3904"/>
      <c r="Q1" s="3904"/>
      <c r="R1" s="2920"/>
      <c r="S1" s="3904" t="s">
        <v>3122</v>
      </c>
      <c r="T1" s="3904"/>
      <c r="U1" s="3904"/>
      <c r="V1" s="3904"/>
      <c r="X1" s="3903" t="s">
        <v>3123</v>
      </c>
      <c r="Y1" s="3904"/>
      <c r="Z1" s="3904"/>
      <c r="AA1" s="3904"/>
      <c r="AB1" s="3904"/>
      <c r="AD1" s="3903" t="s">
        <v>3124</v>
      </c>
      <c r="AE1" s="3904"/>
      <c r="AF1" s="3904"/>
      <c r="AG1" s="3904"/>
      <c r="AH1" s="3904"/>
    </row>
    <row r="2" spans="1:34" s="2921" customFormat="1" ht="14.25" thickBot="1">
      <c r="B2" s="2922" t="s">
        <v>3125</v>
      </c>
      <c r="C2" s="2922" t="s">
        <v>3126</v>
      </c>
      <c r="D2" s="2923" t="s">
        <v>3127</v>
      </c>
      <c r="E2" s="2923" t="s">
        <v>3128</v>
      </c>
      <c r="F2" s="2922" t="s">
        <v>3129</v>
      </c>
      <c r="G2" s="2924"/>
      <c r="H2" s="2925"/>
      <c r="I2" s="2925"/>
      <c r="J2" s="2925"/>
      <c r="K2" s="2925"/>
      <c r="L2" s="2925"/>
      <c r="N2" s="2924"/>
      <c r="O2" s="2925"/>
      <c r="P2" s="2925"/>
      <c r="Q2" s="2925"/>
      <c r="R2" s="2926"/>
      <c r="S2" s="2924"/>
      <c r="T2" s="2925"/>
      <c r="U2" s="2925"/>
      <c r="V2" s="2925"/>
      <c r="X2" s="2922" t="s">
        <v>3125</v>
      </c>
      <c r="Y2" s="2922" t="s">
        <v>3126</v>
      </c>
      <c r="Z2" s="2923" t="s">
        <v>3127</v>
      </c>
      <c r="AA2" s="2923" t="s">
        <v>3128</v>
      </c>
      <c r="AB2" s="2922" t="s">
        <v>3129</v>
      </c>
      <c r="AD2" s="2922" t="s">
        <v>3125</v>
      </c>
      <c r="AE2" s="2922" t="s">
        <v>3126</v>
      </c>
      <c r="AF2" s="2923" t="s">
        <v>3127</v>
      </c>
      <c r="AG2" s="2923" t="s">
        <v>3128</v>
      </c>
      <c r="AH2" s="2922" t="s">
        <v>3129</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3130</v>
      </c>
      <c r="B4" s="2936"/>
      <c r="C4" s="2936"/>
      <c r="D4" s="2936"/>
      <c r="E4" s="2936"/>
      <c r="F4" s="2936"/>
      <c r="G4" s="3909">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3131</v>
      </c>
      <c r="B5" s="2936"/>
      <c r="C5" s="2936"/>
      <c r="D5" s="2936"/>
      <c r="E5" s="2936"/>
      <c r="F5" s="2936"/>
      <c r="G5" s="3906"/>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3132</v>
      </c>
      <c r="B6" s="2942">
        <f>B7*(1+N6)</f>
        <v>415.21602360000003</v>
      </c>
      <c r="C6" s="2942">
        <f>C7*(1+O6)</f>
        <v>312.63083488000001</v>
      </c>
      <c r="D6" s="2942">
        <f>C6</f>
        <v>312.63083488000001</v>
      </c>
      <c r="E6" s="3254">
        <f>E7*(1+P6)</f>
        <v>589.96402416000001</v>
      </c>
      <c r="F6" s="3254">
        <f>F7*(1+Q6)</f>
        <v>273.82351752000005</v>
      </c>
      <c r="G6" s="3906"/>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3134</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3133</v>
      </c>
      <c r="B7" s="2956">
        <f>B8*(1+N7)</f>
        <v>405.524</v>
      </c>
      <c r="C7" s="2956">
        <f>C8*(1+O7)</f>
        <v>307.79840000000002</v>
      </c>
      <c r="D7" s="2956">
        <f>C7</f>
        <v>307.79840000000002</v>
      </c>
      <c r="E7" s="2956">
        <f>E8*(1+P7)</f>
        <v>574.67759999999998</v>
      </c>
      <c r="F7" s="2956">
        <f>F8*(1+Q7)</f>
        <v>270.20280000000002</v>
      </c>
      <c r="G7" s="3907"/>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1511</v>
      </c>
      <c r="B8" s="2948">
        <v>392</v>
      </c>
      <c r="C8" s="2948">
        <v>302</v>
      </c>
      <c r="D8" s="2948">
        <f>C8</f>
        <v>302</v>
      </c>
      <c r="E8" s="2948">
        <v>553</v>
      </c>
      <c r="F8" s="2949">
        <v>266</v>
      </c>
      <c r="G8" s="3909">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1510</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906"/>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1500</v>
      </c>
      <c r="B10" s="2956">
        <f t="shared" si="8"/>
        <v>360.06949782209392</v>
      </c>
      <c r="C10" s="2956">
        <f t="shared" si="8"/>
        <v>289.84672674747821</v>
      </c>
      <c r="D10" s="2956">
        <f t="shared" si="9"/>
        <v>289.84672674747821</v>
      </c>
      <c r="E10" s="2956">
        <f t="shared" si="10"/>
        <v>501.06543001181495</v>
      </c>
      <c r="F10" s="2956">
        <f t="shared" si="10"/>
        <v>256.82882500744967</v>
      </c>
      <c r="G10" s="3906"/>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1509</v>
      </c>
      <c r="B11" s="2956">
        <f t="shared" si="8"/>
        <v>346.720748986128</v>
      </c>
      <c r="C11" s="2956">
        <f t="shared" si="8"/>
        <v>284.30282172386285</v>
      </c>
      <c r="D11" s="2956">
        <f t="shared" si="9"/>
        <v>284.30282172386285</v>
      </c>
      <c r="E11" s="2956">
        <f t="shared" si="10"/>
        <v>479.58023546306947</v>
      </c>
      <c r="F11" s="2956">
        <f t="shared" si="10"/>
        <v>253.25788877571213</v>
      </c>
      <c r="G11" s="3907"/>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1508</v>
      </c>
      <c r="B12" s="2948">
        <v>333</v>
      </c>
      <c r="C12" s="2948">
        <v>277</v>
      </c>
      <c r="D12" s="2948">
        <f t="shared" si="9"/>
        <v>277</v>
      </c>
      <c r="E12" s="2948">
        <v>459</v>
      </c>
      <c r="F12" s="2949">
        <v>249</v>
      </c>
      <c r="G12" s="3905">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1507</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906"/>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1506</v>
      </c>
      <c r="B14" s="2956">
        <f t="shared" si="12"/>
        <v>322.34053690220776</v>
      </c>
      <c r="C14" s="2956">
        <f t="shared" si="12"/>
        <v>271.46160770422546</v>
      </c>
      <c r="D14" s="2956">
        <f t="shared" si="9"/>
        <v>271.46160770422546</v>
      </c>
      <c r="E14" s="2956">
        <f t="shared" si="13"/>
        <v>442.69434542172456</v>
      </c>
      <c r="F14" s="2956">
        <f t="shared" si="13"/>
        <v>241.34030753190925</v>
      </c>
      <c r="G14" s="3906"/>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1505</v>
      </c>
      <c r="B15" s="2956">
        <f t="shared" si="12"/>
        <v>319.87748030386797</v>
      </c>
      <c r="C15" s="2956">
        <f t="shared" si="12"/>
        <v>269.60135833173649</v>
      </c>
      <c r="D15" s="2956">
        <f t="shared" si="9"/>
        <v>269.60135833173649</v>
      </c>
      <c r="E15" s="2956">
        <f t="shared" si="13"/>
        <v>439.18089823583784</v>
      </c>
      <c r="F15" s="2956">
        <f t="shared" si="13"/>
        <v>239.23503918706311</v>
      </c>
      <c r="G15" s="3907"/>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1504</v>
      </c>
      <c r="B16" s="2969">
        <v>318</v>
      </c>
      <c r="C16" s="2969">
        <v>268</v>
      </c>
      <c r="D16" s="2969">
        <f t="shared" si="9"/>
        <v>268</v>
      </c>
      <c r="E16" s="2969">
        <v>437</v>
      </c>
      <c r="F16" s="2970">
        <v>237</v>
      </c>
      <c r="G16" s="3905">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1503</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906"/>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1502</v>
      </c>
      <c r="B18" s="2956">
        <f t="shared" si="14"/>
        <v>314.72141172386546</v>
      </c>
      <c r="C18" s="2956">
        <f t="shared" si="14"/>
        <v>263.03901319069001</v>
      </c>
      <c r="D18" s="2956">
        <f t="shared" si="9"/>
        <v>263.03901319069001</v>
      </c>
      <c r="E18" s="2956">
        <f t="shared" si="15"/>
        <v>433.65745506782821</v>
      </c>
      <c r="F18" s="2956">
        <f t="shared" si="15"/>
        <v>233.23005080045735</v>
      </c>
      <c r="G18" s="3906"/>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1501</v>
      </c>
      <c r="B19" s="2974">
        <f t="shared" si="14"/>
        <v>307.34512863658733</v>
      </c>
      <c r="C19" s="2974">
        <f t="shared" si="14"/>
        <v>257.80556031626975</v>
      </c>
      <c r="D19" s="2974">
        <f t="shared" si="9"/>
        <v>257.80556031626975</v>
      </c>
      <c r="E19" s="2974">
        <f t="shared" si="15"/>
        <v>422.70928459677179</v>
      </c>
      <c r="F19" s="2974">
        <f t="shared" si="15"/>
        <v>229.73803270336617</v>
      </c>
      <c r="G19" s="3907"/>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3135</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3136</v>
      </c>
      <c r="B20" s="2948">
        <v>299</v>
      </c>
      <c r="C20" s="2948">
        <v>252</v>
      </c>
      <c r="D20" s="2948">
        <f t="shared" si="9"/>
        <v>252</v>
      </c>
      <c r="E20" s="2948">
        <v>409</v>
      </c>
      <c r="F20" s="2949">
        <v>227</v>
      </c>
      <c r="G20" s="3910">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3137</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911"/>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3138</v>
      </c>
      <c r="B22" s="2956">
        <f t="shared" si="18"/>
        <v>288.2649053828776</v>
      </c>
      <c r="C22" s="2956">
        <f t="shared" si="18"/>
        <v>243.64564425013293</v>
      </c>
      <c r="D22" s="2956">
        <f t="shared" si="9"/>
        <v>243.64564425013293</v>
      </c>
      <c r="E22" s="2956">
        <f t="shared" si="19"/>
        <v>393.31080825986544</v>
      </c>
      <c r="F22" s="2956">
        <f t="shared" si="19"/>
        <v>223.07903790551154</v>
      </c>
      <c r="G22" s="3911"/>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3139</v>
      </c>
      <c r="B23" s="2956">
        <f t="shared" si="18"/>
        <v>282.50186729015837</v>
      </c>
      <c r="C23" s="2956">
        <f t="shared" si="18"/>
        <v>238.09796174155468</v>
      </c>
      <c r="D23" s="2956">
        <f t="shared" si="9"/>
        <v>238.09796174155468</v>
      </c>
      <c r="E23" s="2956">
        <f t="shared" si="19"/>
        <v>385.33438646014054</v>
      </c>
      <c r="F23" s="2956">
        <f t="shared" si="19"/>
        <v>221.55034055567739</v>
      </c>
      <c r="G23" s="3912"/>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3140</v>
      </c>
      <c r="B24" s="2990">
        <v>278</v>
      </c>
      <c r="C24" s="2990">
        <v>234</v>
      </c>
      <c r="D24" s="2990">
        <f t="shared" si="9"/>
        <v>234</v>
      </c>
      <c r="E24" s="2990">
        <v>379</v>
      </c>
      <c r="F24" s="2991">
        <v>220</v>
      </c>
      <c r="G24" s="3905">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3141</v>
      </c>
      <c r="B25" s="2956">
        <f>B24/(1+N24)</f>
        <v>275.49301357645425</v>
      </c>
      <c r="C25" s="2956">
        <f>C24/(1+O24)</f>
        <v>232.41954707985698</v>
      </c>
      <c r="D25" s="2956">
        <f t="shared" si="9"/>
        <v>232.41954707985698</v>
      </c>
      <c r="E25" s="2956">
        <f t="shared" ref="E25:F27" si="20">E24/(1+P24)</f>
        <v>375.32184591008121</v>
      </c>
      <c r="F25" s="2956">
        <f t="shared" si="20"/>
        <v>218.03766105054513</v>
      </c>
      <c r="G25" s="3906"/>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3142</v>
      </c>
      <c r="B26" s="2956">
        <f>B25/(1+N25)</f>
        <v>275.24529281292263</v>
      </c>
      <c r="C26" s="2956">
        <f>C25/(1+O25)</f>
        <v>231.74747938962707</v>
      </c>
      <c r="D26" s="2956">
        <f t="shared" si="9"/>
        <v>231.74747938962707</v>
      </c>
      <c r="E26" s="2956">
        <f t="shared" si="20"/>
        <v>375.35938184826603</v>
      </c>
      <c r="F26" s="2956">
        <f t="shared" si="20"/>
        <v>216.78033510692495</v>
      </c>
      <c r="G26" s="3906"/>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3143</v>
      </c>
      <c r="B27" s="2956">
        <f>B26/(1+N26)</f>
        <v>275.19025476197027</v>
      </c>
      <c r="C27" s="2992">
        <v>232</v>
      </c>
      <c r="D27" s="2992">
        <f t="shared" si="9"/>
        <v>232</v>
      </c>
      <c r="E27" s="2956">
        <f t="shared" si="20"/>
        <v>375.65990977608692</v>
      </c>
      <c r="F27" s="2956">
        <f t="shared" si="20"/>
        <v>214.12518283971252</v>
      </c>
      <c r="G27" s="3907"/>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3144</v>
      </c>
      <c r="B28" s="2948">
        <v>275</v>
      </c>
      <c r="C28" s="2948">
        <v>232</v>
      </c>
      <c r="D28" s="2948">
        <f t="shared" si="9"/>
        <v>232</v>
      </c>
      <c r="E28" s="2948">
        <v>376</v>
      </c>
      <c r="F28" s="2949">
        <v>213</v>
      </c>
      <c r="G28" s="3905">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3145</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906">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3146</v>
      </c>
      <c r="B30" s="2956">
        <f t="shared" si="21"/>
        <v>275.19335084830601</v>
      </c>
      <c r="C30" s="2956">
        <f t="shared" si="21"/>
        <v>230.18088050139744</v>
      </c>
      <c r="D30" s="2956">
        <f t="shared" si="9"/>
        <v>230.18088050139744</v>
      </c>
      <c r="E30" s="2956">
        <f t="shared" si="22"/>
        <v>377.58482925212331</v>
      </c>
      <c r="F30" s="2956">
        <f t="shared" si="22"/>
        <v>210.90687997847917</v>
      </c>
      <c r="G30" s="3906">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3147</v>
      </c>
      <c r="B31" s="2956">
        <f t="shared" si="21"/>
        <v>276.29854502841971</v>
      </c>
      <c r="C31" s="2956">
        <f t="shared" si="21"/>
        <v>229.79023709833027</v>
      </c>
      <c r="D31" s="2956">
        <f t="shared" si="9"/>
        <v>229.79023709833027</v>
      </c>
      <c r="E31" s="2956">
        <f t="shared" si="22"/>
        <v>379.78759731655936</v>
      </c>
      <c r="F31" s="2956">
        <f t="shared" si="22"/>
        <v>211.32953905659235</v>
      </c>
      <c r="G31" s="3907">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3148</v>
      </c>
      <c r="B32" s="2948">
        <v>269</v>
      </c>
      <c r="C32" s="2948">
        <v>221</v>
      </c>
      <c r="D32" s="2948">
        <f t="shared" si="9"/>
        <v>221</v>
      </c>
      <c r="E32" s="2948">
        <v>373</v>
      </c>
      <c r="F32" s="2949">
        <v>196</v>
      </c>
      <c r="G32" s="3905">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3149</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906">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3150</v>
      </c>
      <c r="B34" s="2956">
        <f t="shared" si="23"/>
        <v>242.95398227588385</v>
      </c>
      <c r="C34" s="2956">
        <f t="shared" si="23"/>
        <v>199.59137053614126</v>
      </c>
      <c r="D34" s="2956">
        <f t="shared" si="9"/>
        <v>199.59137053614126</v>
      </c>
      <c r="E34" s="2956">
        <f t="shared" si="24"/>
        <v>335.92189522342125</v>
      </c>
      <c r="F34" s="2956">
        <f t="shared" si="24"/>
        <v>183.10139991109489</v>
      </c>
      <c r="G34" s="3906">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3151</v>
      </c>
      <c r="B35" s="2956">
        <f t="shared" si="23"/>
        <v>232.06990378821649</v>
      </c>
      <c r="C35" s="2956">
        <f t="shared" si="23"/>
        <v>192.74878854286936</v>
      </c>
      <c r="D35" s="2956">
        <f t="shared" si="9"/>
        <v>192.74878854286936</v>
      </c>
      <c r="E35" s="2956">
        <f t="shared" si="24"/>
        <v>319.71247284992984</v>
      </c>
      <c r="F35" s="2956">
        <f t="shared" si="24"/>
        <v>175.67053622862409</v>
      </c>
      <c r="G35" s="3907">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3152</v>
      </c>
      <c r="B36" s="2948">
        <v>220</v>
      </c>
      <c r="C36" s="2948">
        <v>187</v>
      </c>
      <c r="D36" s="2948">
        <f t="shared" si="9"/>
        <v>187</v>
      </c>
      <c r="E36" s="2948">
        <v>301</v>
      </c>
      <c r="F36" s="2949">
        <v>168</v>
      </c>
      <c r="G36" s="3905">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3153</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906">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3154</v>
      </c>
      <c r="B38" s="2956">
        <f t="shared" si="25"/>
        <v>210.630522469011</v>
      </c>
      <c r="C38" s="2956">
        <f t="shared" si="25"/>
        <v>181.69567812247232</v>
      </c>
      <c r="D38" s="2956">
        <f t="shared" si="9"/>
        <v>181.69567812247232</v>
      </c>
      <c r="E38" s="2956">
        <f t="shared" si="26"/>
        <v>286.13517466736738</v>
      </c>
      <c r="F38" s="2956">
        <f t="shared" si="26"/>
        <v>165.47535084591149</v>
      </c>
      <c r="G38" s="3906">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3155</v>
      </c>
      <c r="B39" s="2956">
        <f t="shared" si="25"/>
        <v>208.83454537875372</v>
      </c>
      <c r="C39" s="2956">
        <f t="shared" si="25"/>
        <v>183.77230517090351</v>
      </c>
      <c r="D39" s="2956">
        <f t="shared" si="9"/>
        <v>183.77230517090351</v>
      </c>
      <c r="E39" s="2956">
        <f t="shared" si="26"/>
        <v>281.10342338870947</v>
      </c>
      <c r="F39" s="2956">
        <f t="shared" si="26"/>
        <v>168.97309388942256</v>
      </c>
      <c r="G39" s="3907">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3156</v>
      </c>
      <c r="B40" s="2990">
        <v>214</v>
      </c>
      <c r="C40" s="2990">
        <v>188</v>
      </c>
      <c r="D40" s="2990">
        <f t="shared" si="9"/>
        <v>188</v>
      </c>
      <c r="E40" s="2990">
        <v>289</v>
      </c>
      <c r="F40" s="2991">
        <v>166</v>
      </c>
      <c r="G40" s="3905">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3157</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906">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3158</v>
      </c>
      <c r="B42" s="2956">
        <f t="shared" si="27"/>
        <v>206.31694671589116</v>
      </c>
      <c r="C42" s="2956">
        <f t="shared" si="27"/>
        <v>183.61041121036101</v>
      </c>
      <c r="D42" s="2956">
        <f t="shared" si="9"/>
        <v>183.61041121036101</v>
      </c>
      <c r="E42" s="2956">
        <f t="shared" si="28"/>
        <v>276.66850301795557</v>
      </c>
      <c r="F42" s="2956">
        <f t="shared" si="28"/>
        <v>165.1360938278614</v>
      </c>
      <c r="G42" s="3906">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3159</v>
      </c>
      <c r="B43" s="2993">
        <f t="shared" si="27"/>
        <v>196.62341248059772</v>
      </c>
      <c r="C43" s="2993">
        <f t="shared" si="27"/>
        <v>170.99125648199012</v>
      </c>
      <c r="D43" s="2993">
        <f t="shared" si="9"/>
        <v>170.99125648199012</v>
      </c>
      <c r="E43" s="2993">
        <f t="shared" si="28"/>
        <v>266.07857570490052</v>
      </c>
      <c r="F43" s="2993">
        <f t="shared" si="28"/>
        <v>154.53499328828505</v>
      </c>
      <c r="G43" s="3907">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3160</v>
      </c>
      <c r="B44" s="2948">
        <v>188</v>
      </c>
      <c r="C44" s="2948">
        <v>165</v>
      </c>
      <c r="D44" s="2948">
        <f t="shared" si="9"/>
        <v>165</v>
      </c>
      <c r="E44" s="2948">
        <v>254</v>
      </c>
      <c r="F44" s="2949">
        <v>148</v>
      </c>
      <c r="G44" s="3905">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3161</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906">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3162</v>
      </c>
      <c r="B46" s="2956">
        <f t="shared" si="31"/>
        <v>168.82017748715555</v>
      </c>
      <c r="C46" s="2956">
        <f t="shared" si="31"/>
        <v>148.06267029972753</v>
      </c>
      <c r="D46" s="2956">
        <f t="shared" si="9"/>
        <v>148.06267029972753</v>
      </c>
      <c r="E46" s="2956">
        <f t="shared" si="32"/>
        <v>216.46288379323747</v>
      </c>
      <c r="F46" s="2956">
        <f t="shared" si="32"/>
        <v>134.23529411764704</v>
      </c>
      <c r="G46" s="3906">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3163</v>
      </c>
      <c r="B47" s="2956">
        <f t="shared" si="31"/>
        <v>163.84913591779542</v>
      </c>
      <c r="C47" s="2956">
        <f t="shared" si="31"/>
        <v>145.0283378746594</v>
      </c>
      <c r="D47" s="2956">
        <f t="shared" si="9"/>
        <v>145.0283378746594</v>
      </c>
      <c r="E47" s="2956">
        <f t="shared" si="32"/>
        <v>204.95180722891567</v>
      </c>
      <c r="F47" s="2956">
        <f t="shared" si="32"/>
        <v>125.95920303605313</v>
      </c>
      <c r="G47" s="3907">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3164</v>
      </c>
      <c r="B48" s="2969">
        <v>159</v>
      </c>
      <c r="C48" s="2969">
        <v>141</v>
      </c>
      <c r="D48" s="2969">
        <f t="shared" si="9"/>
        <v>141</v>
      </c>
      <c r="E48" s="2969">
        <v>195</v>
      </c>
      <c r="F48" s="2970">
        <v>122</v>
      </c>
      <c r="G48" s="3905">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3165</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906">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3166</v>
      </c>
      <c r="B50" s="2956">
        <f t="shared" si="35"/>
        <v>146.57412060301507</v>
      </c>
      <c r="C50" s="2956">
        <f t="shared" si="35"/>
        <v>136.46831955922866</v>
      </c>
      <c r="D50" s="2956">
        <f t="shared" si="9"/>
        <v>136.46831955922866</v>
      </c>
      <c r="E50" s="2956">
        <f t="shared" si="36"/>
        <v>166.73864894795128</v>
      </c>
      <c r="F50" s="2956">
        <f t="shared" si="36"/>
        <v>115.05882352941177</v>
      </c>
      <c r="G50" s="3906">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3167</v>
      </c>
      <c r="B51" s="2956">
        <f t="shared" si="35"/>
        <v>144.04145728643215</v>
      </c>
      <c r="C51" s="2956">
        <f t="shared" si="35"/>
        <v>136.12396694214877</v>
      </c>
      <c r="D51" s="2956">
        <f t="shared" si="9"/>
        <v>136.12396694214877</v>
      </c>
      <c r="E51" s="2956">
        <f t="shared" si="36"/>
        <v>158.32225913621264</v>
      </c>
      <c r="F51" s="2956">
        <f t="shared" si="36"/>
        <v>114.04278074866311</v>
      </c>
      <c r="G51" s="3907">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3168</v>
      </c>
      <c r="B52" s="2969">
        <v>138</v>
      </c>
      <c r="C52" s="2969">
        <v>131</v>
      </c>
      <c r="D52" s="2969">
        <f t="shared" si="9"/>
        <v>131</v>
      </c>
      <c r="E52" s="2969">
        <v>155</v>
      </c>
      <c r="F52" s="2970">
        <v>114</v>
      </c>
      <c r="G52" s="3905">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3169</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906">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3170</v>
      </c>
      <c r="B54" s="2956">
        <f t="shared" si="39"/>
        <v>124.29032258064517</v>
      </c>
      <c r="C54" s="2956">
        <f t="shared" si="39"/>
        <v>123.8968609865471</v>
      </c>
      <c r="D54" s="2956">
        <f t="shared" si="9"/>
        <v>123.8968609865471</v>
      </c>
      <c r="E54" s="2956">
        <f t="shared" si="40"/>
        <v>138.00507614213197</v>
      </c>
      <c r="F54" s="2956">
        <f t="shared" si="40"/>
        <v>107.96106557377048</v>
      </c>
      <c r="G54" s="3906">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3171</v>
      </c>
      <c r="B55" s="2956">
        <f t="shared" si="39"/>
        <v>122.57204301075269</v>
      </c>
      <c r="C55" s="2956">
        <f t="shared" si="39"/>
        <v>123.4932735426009</v>
      </c>
      <c r="D55" s="2956">
        <f t="shared" si="9"/>
        <v>123.4932735426009</v>
      </c>
      <c r="E55" s="2956">
        <f t="shared" si="40"/>
        <v>129.82233502538071</v>
      </c>
      <c r="F55" s="2956">
        <f t="shared" si="40"/>
        <v>107.39446721311475</v>
      </c>
      <c r="G55" s="3907">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3172</v>
      </c>
      <c r="B56" s="2990">
        <v>121</v>
      </c>
      <c r="C56" s="2990">
        <v>122</v>
      </c>
      <c r="D56" s="2990">
        <f t="shared" si="9"/>
        <v>122</v>
      </c>
      <c r="E56" s="2990">
        <v>124</v>
      </c>
      <c r="F56" s="2991">
        <v>107</v>
      </c>
      <c r="G56" s="3905">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3173</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906">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3174</v>
      </c>
      <c r="B58" s="2956">
        <f t="shared" si="43"/>
        <v>116.99099099099099</v>
      </c>
      <c r="C58" s="2956">
        <f t="shared" si="43"/>
        <v>118.84848484848486</v>
      </c>
      <c r="D58" s="2956">
        <f t="shared" si="9"/>
        <v>118.84848484848486</v>
      </c>
      <c r="E58" s="2956">
        <f t="shared" si="44"/>
        <v>117.60960960960961</v>
      </c>
      <c r="F58" s="2956">
        <f t="shared" si="44"/>
        <v>104</v>
      </c>
      <c r="G58" s="3906">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3175</v>
      </c>
      <c r="B59" s="2993">
        <f t="shared" si="43"/>
        <v>112.48648648648648</v>
      </c>
      <c r="C59" s="2993">
        <f t="shared" si="43"/>
        <v>115.21212121212122</v>
      </c>
      <c r="D59" s="2993">
        <f t="shared" si="9"/>
        <v>115.21212121212122</v>
      </c>
      <c r="E59" s="2993">
        <f t="shared" si="44"/>
        <v>110.4024024024024</v>
      </c>
      <c r="F59" s="2993">
        <f t="shared" si="44"/>
        <v>104</v>
      </c>
      <c r="G59" s="3907">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3176</v>
      </c>
      <c r="B60" s="3011">
        <v>111</v>
      </c>
      <c r="C60" s="3011">
        <v>114</v>
      </c>
      <c r="D60" s="3011">
        <f t="shared" si="9"/>
        <v>114</v>
      </c>
      <c r="E60" s="3011">
        <v>108</v>
      </c>
      <c r="F60" s="3012">
        <v>104</v>
      </c>
      <c r="G60" s="3905">
        <v>2003</v>
      </c>
      <c r="H60" s="3001">
        <v>4</v>
      </c>
      <c r="I60" s="3013"/>
      <c r="J60" s="3013"/>
      <c r="K60" s="3013"/>
      <c r="L60" s="3013"/>
      <c r="N60" s="3014"/>
      <c r="O60" s="3013"/>
      <c r="P60" s="3013"/>
      <c r="Q60" s="3013"/>
      <c r="S60" s="3014"/>
      <c r="T60" s="3013"/>
      <c r="U60" s="3013"/>
      <c r="V60" s="3013"/>
      <c r="X60" s="3005"/>
      <c r="Y60" s="3005"/>
      <c r="Z60" s="3005"/>
    </row>
    <row r="61" spans="1:26">
      <c r="A61" s="2935" t="s">
        <v>3177</v>
      </c>
      <c r="B61" s="3015">
        <f t="shared" ref="B61:C63" si="45">B62+(B$60-B$64)/4</f>
        <v>109.75</v>
      </c>
      <c r="C61" s="3015">
        <f t="shared" si="45"/>
        <v>112.25</v>
      </c>
      <c r="D61" s="3015">
        <f t="shared" si="9"/>
        <v>112.25</v>
      </c>
      <c r="E61" s="3015">
        <f t="shared" ref="E61:F63" si="46">E62+(E$60-E$64)/4</f>
        <v>107.25</v>
      </c>
      <c r="F61" s="3015">
        <f t="shared" si="46"/>
        <v>103.5</v>
      </c>
      <c r="G61" s="3906">
        <v>2003</v>
      </c>
      <c r="H61" s="2966">
        <v>3</v>
      </c>
      <c r="I61" s="3013"/>
      <c r="J61" s="3013"/>
      <c r="K61" s="3013"/>
      <c r="L61" s="3013"/>
      <c r="X61" s="3005"/>
      <c r="Y61" s="3005"/>
      <c r="Z61" s="3005"/>
    </row>
    <row r="62" spans="1:26">
      <c r="A62" s="2935" t="s">
        <v>3178</v>
      </c>
      <c r="B62" s="3015">
        <f t="shared" si="45"/>
        <v>108.5</v>
      </c>
      <c r="C62" s="3015">
        <f t="shared" si="45"/>
        <v>110.5</v>
      </c>
      <c r="D62" s="3015">
        <f t="shared" si="9"/>
        <v>110.5</v>
      </c>
      <c r="E62" s="3015">
        <f t="shared" si="46"/>
        <v>106.5</v>
      </c>
      <c r="F62" s="3015">
        <f t="shared" si="46"/>
        <v>103</v>
      </c>
      <c r="G62" s="3906">
        <v>2003</v>
      </c>
      <c r="H62" s="2941">
        <v>2</v>
      </c>
      <c r="I62" s="3013"/>
      <c r="J62" s="3013"/>
      <c r="K62" s="3013"/>
      <c r="L62" s="3013"/>
      <c r="X62" s="3005"/>
      <c r="Y62" s="3005"/>
      <c r="Z62" s="3005"/>
    </row>
    <row r="63" spans="1:26" ht="13.5" thickBot="1">
      <c r="A63" s="2935" t="s">
        <v>3179</v>
      </c>
      <c r="B63" s="3015">
        <f t="shared" si="45"/>
        <v>107.25</v>
      </c>
      <c r="C63" s="3015">
        <f t="shared" si="45"/>
        <v>108.75</v>
      </c>
      <c r="D63" s="3015">
        <f t="shared" si="9"/>
        <v>108.75</v>
      </c>
      <c r="E63" s="3015">
        <f t="shared" si="46"/>
        <v>105.75</v>
      </c>
      <c r="F63" s="3015">
        <f t="shared" si="46"/>
        <v>102.5</v>
      </c>
      <c r="G63" s="3907">
        <v>2003</v>
      </c>
      <c r="H63" s="3016">
        <v>1</v>
      </c>
      <c r="I63" s="3013"/>
      <c r="J63" s="3013"/>
      <c r="K63" s="3013"/>
      <c r="L63" s="3013"/>
      <c r="S63" s="2951"/>
      <c r="T63" s="2952"/>
      <c r="U63" s="2952"/>
      <c r="X63" s="3005"/>
      <c r="Y63" s="3005"/>
      <c r="Z63" s="3005"/>
    </row>
    <row r="64" spans="1:26" ht="13.5" thickBot="1">
      <c r="A64" s="2935" t="s">
        <v>3180</v>
      </c>
      <c r="B64" s="3017">
        <v>106</v>
      </c>
      <c r="C64" s="3017">
        <v>107</v>
      </c>
      <c r="D64" s="3017">
        <f t="shared" si="9"/>
        <v>107</v>
      </c>
      <c r="E64" s="3017">
        <v>105</v>
      </c>
      <c r="F64" s="3018">
        <v>102</v>
      </c>
      <c r="G64" s="3905">
        <v>2002</v>
      </c>
      <c r="H64" s="2961">
        <v>4</v>
      </c>
      <c r="I64" s="3013"/>
      <c r="J64" s="3013"/>
      <c r="K64" s="3013"/>
      <c r="L64" s="3013"/>
      <c r="N64" s="3014"/>
      <c r="O64" s="3013"/>
      <c r="P64" s="3013"/>
      <c r="Q64" s="3013"/>
      <c r="S64" s="3014"/>
      <c r="T64" s="3013"/>
      <c r="U64" s="3013"/>
      <c r="V64" s="3013"/>
      <c r="X64" s="3005"/>
      <c r="Y64" s="3005"/>
      <c r="Z64" s="3005"/>
    </row>
    <row r="65" spans="1:26">
      <c r="A65" s="2935" t="s">
        <v>3181</v>
      </c>
      <c r="B65" s="3015">
        <f t="shared" ref="B65:C67" si="47">B66+(B$64-B$68)/4</f>
        <v>105</v>
      </c>
      <c r="C65" s="3015">
        <f t="shared" si="47"/>
        <v>106</v>
      </c>
      <c r="D65" s="3015">
        <f t="shared" si="9"/>
        <v>106</v>
      </c>
      <c r="E65" s="3015">
        <f t="shared" ref="E65:F67" si="48">E66+(E$64-E$68)/4</f>
        <v>104.5</v>
      </c>
      <c r="F65" s="3015">
        <f t="shared" si="48"/>
        <v>101.5</v>
      </c>
      <c r="G65" s="3906">
        <v>2002</v>
      </c>
      <c r="H65" s="2966">
        <v>3</v>
      </c>
      <c r="I65" s="3013"/>
      <c r="J65" s="3013"/>
      <c r="K65" s="3013"/>
      <c r="L65" s="3013"/>
      <c r="X65" s="3005"/>
      <c r="Y65" s="3005"/>
      <c r="Z65" s="3005"/>
    </row>
    <row r="66" spans="1:26">
      <c r="A66" s="2935" t="s">
        <v>3182</v>
      </c>
      <c r="B66" s="3015">
        <f t="shared" si="47"/>
        <v>104</v>
      </c>
      <c r="C66" s="3015">
        <f t="shared" si="47"/>
        <v>105</v>
      </c>
      <c r="D66" s="3015">
        <f t="shared" si="9"/>
        <v>105</v>
      </c>
      <c r="E66" s="3015">
        <f t="shared" si="48"/>
        <v>104</v>
      </c>
      <c r="F66" s="3015">
        <f t="shared" si="48"/>
        <v>101</v>
      </c>
      <c r="G66" s="3906">
        <v>2002</v>
      </c>
      <c r="H66" s="2941">
        <v>2</v>
      </c>
      <c r="I66" s="3013"/>
      <c r="J66" s="3013"/>
      <c r="K66" s="3013"/>
      <c r="L66" s="3013"/>
      <c r="X66" s="3005"/>
      <c r="Y66" s="3005"/>
      <c r="Z66" s="3005"/>
    </row>
    <row r="67" spans="1:26" s="2977" customFormat="1" ht="13.5" thickBot="1">
      <c r="A67" s="2973" t="s">
        <v>3183</v>
      </c>
      <c r="B67" s="3019">
        <f t="shared" si="47"/>
        <v>103</v>
      </c>
      <c r="C67" s="3019">
        <f t="shared" si="47"/>
        <v>104</v>
      </c>
      <c r="D67" s="3019">
        <f t="shared" si="9"/>
        <v>104</v>
      </c>
      <c r="E67" s="3019">
        <f t="shared" si="48"/>
        <v>103.5</v>
      </c>
      <c r="F67" s="3019">
        <f t="shared" si="48"/>
        <v>100.5</v>
      </c>
      <c r="G67" s="3907">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3184</v>
      </c>
      <c r="G70" s="3029"/>
      <c r="N70" s="3029"/>
      <c r="S70" s="3029"/>
    </row>
    <row r="71" spans="1:26" s="3028" customFormat="1">
      <c r="A71" s="3028" t="s">
        <v>3185</v>
      </c>
      <c r="G71" s="3029"/>
      <c r="N71" s="3029"/>
      <c r="S71" s="3029"/>
    </row>
    <row r="72" spans="1:26" s="3028" customFormat="1">
      <c r="A72" s="3028" t="s">
        <v>3186</v>
      </c>
      <c r="G72" s="3029"/>
      <c r="I72" s="3030"/>
      <c r="J72" s="3030"/>
      <c r="K72" s="3030"/>
      <c r="L72" s="3030"/>
      <c r="N72" s="3031"/>
      <c r="O72" s="3030"/>
      <c r="P72" s="3030"/>
      <c r="Q72" s="3030"/>
      <c r="S72" s="3031"/>
      <c r="T72" s="3030"/>
      <c r="U72" s="3030"/>
      <c r="V72" s="3030"/>
    </row>
    <row r="73" spans="1:26" s="3028" customFormat="1">
      <c r="A73" s="3028" t="s">
        <v>3187</v>
      </c>
      <c r="G73" s="3029"/>
      <c r="N73" s="3029"/>
      <c r="S73" s="3029"/>
    </row>
    <row r="80" spans="1:26" ht="13.5" thickBot="1"/>
    <row r="81" spans="14:22" s="2950" customFormat="1">
      <c r="N81" s="2965"/>
      <c r="S81" s="3032" t="s">
        <v>3188</v>
      </c>
      <c r="T81" s="3033" t="s">
        <v>3189</v>
      </c>
      <c r="U81" s="3033" t="s">
        <v>3190</v>
      </c>
      <c r="V81" s="3033" t="s">
        <v>3191</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3"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5"/>
    <col min="19" max="19" width="9" style="473"/>
    <col min="20" max="45" width="9" style="1466"/>
    <col min="46" max="16384" width="9" style="473"/>
  </cols>
  <sheetData>
    <row r="1" spans="1:45" ht="14.25" customHeight="1" thickBot="1">
      <c r="A1" s="490"/>
      <c r="B1" s="2448" t="s">
        <v>2753</v>
      </c>
      <c r="C1" s="3916" t="s">
        <v>2754</v>
      </c>
      <c r="D1" s="3917"/>
      <c r="E1" s="3917"/>
      <c r="F1" s="3917"/>
      <c r="G1" s="3917"/>
      <c r="H1" s="3917"/>
      <c r="I1" s="3917"/>
      <c r="J1" s="3917"/>
      <c r="K1" s="3917"/>
      <c r="L1" s="3917"/>
      <c r="M1" s="3917"/>
      <c r="N1" s="3917"/>
      <c r="O1" s="3917"/>
      <c r="P1" s="3917"/>
      <c r="Q1" s="3917"/>
      <c r="R1" s="3917"/>
      <c r="S1" s="3918"/>
      <c r="T1" s="2448" t="s">
        <v>2755</v>
      </c>
    </row>
    <row r="2" spans="1:45" s="1120" customFormat="1" ht="25.5">
      <c r="A2" s="2449"/>
      <c r="B2" s="1116" t="s">
        <v>2756</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50" t="str">
        <f>S3&amp;"(含)"&amp;"-"</f>
        <v>(含)-</v>
      </c>
      <c r="T2" s="1119"/>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row>
    <row r="3" spans="1:45" s="1125" customFormat="1">
      <c r="A3" s="2451"/>
      <c r="B3" s="1121"/>
      <c r="C3" s="1122">
        <v>0</v>
      </c>
      <c r="D3" s="1123">
        <v>50</v>
      </c>
      <c r="E3" s="1123">
        <v>100</v>
      </c>
      <c r="F3" s="3230"/>
      <c r="G3" s="3230"/>
      <c r="H3" s="3230"/>
      <c r="I3" s="3230"/>
      <c r="J3" s="3230"/>
      <c r="K3" s="3230"/>
      <c r="L3" s="3231"/>
      <c r="M3" s="3232"/>
      <c r="N3" s="3232"/>
      <c r="O3" s="3230"/>
      <c r="P3" s="3230"/>
      <c r="Q3" s="3230"/>
      <c r="R3" s="3230"/>
      <c r="S3" s="3233"/>
      <c r="T3" s="1124"/>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pans="1:45" s="1125"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pans="1:45" s="413" customFormat="1">
      <c r="A5" s="2459"/>
      <c r="B5" s="2460" t="s">
        <v>2757</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pans="1:45" s="413"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pans="1:45" s="413" customFormat="1">
      <c r="A7" s="2459"/>
      <c r="B7" s="2208" t="s">
        <v>2758</v>
      </c>
      <c r="C7" s="2215"/>
      <c r="D7" s="2209"/>
      <c r="E7" s="2209"/>
      <c r="F7" s="3242"/>
      <c r="G7" s="3242"/>
      <c r="H7" s="3242"/>
      <c r="I7" s="3242"/>
      <c r="J7" s="3242"/>
      <c r="K7" s="3242"/>
      <c r="L7" s="3242"/>
      <c r="M7" s="3243"/>
      <c r="N7" s="3244"/>
      <c r="O7" s="3245"/>
      <c r="P7" s="3246"/>
      <c r="Q7" s="3247"/>
      <c r="R7" s="3248"/>
      <c r="S7" s="3249"/>
      <c r="T7" s="1126">
        <v>0.5</v>
      </c>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pans="1:45" s="413"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pans="1:45" s="413" customFormat="1">
      <c r="A9" s="2459"/>
      <c r="B9" s="2208" t="s">
        <v>2759</v>
      </c>
      <c r="C9" s="2215">
        <v>311</v>
      </c>
      <c r="D9" s="2209">
        <v>312</v>
      </c>
      <c r="E9" s="2209">
        <v>313</v>
      </c>
      <c r="F9" s="3242">
        <v>314</v>
      </c>
      <c r="G9" s="3242">
        <v>315</v>
      </c>
      <c r="H9" s="3242"/>
      <c r="I9" s="3242"/>
      <c r="J9" s="3242"/>
      <c r="K9" s="3242"/>
      <c r="L9" s="3250"/>
      <c r="M9" s="3243"/>
      <c r="N9" s="3244"/>
      <c r="O9" s="3245"/>
      <c r="P9" s="3246"/>
      <c r="Q9" s="3247"/>
      <c r="R9" s="3248"/>
      <c r="S9" s="3249"/>
      <c r="T9" s="1126">
        <v>1.5</v>
      </c>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pans="1:45" s="413"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pans="1:45" s="413" customFormat="1">
      <c r="A11" s="2459"/>
      <c r="B11" s="2460" t="s">
        <v>2760</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pans="1:45" s="413"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pans="1:45" s="413" customFormat="1">
      <c r="A13" s="2459"/>
      <c r="B13" s="2460" t="s">
        <v>2761</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pans="1:45" s="413"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pans="1:45" s="413" customFormat="1">
      <c r="A15" s="2459"/>
      <c r="B15" s="2460" t="s">
        <v>2762</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pans="1:45" s="413"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pans="1:45" s="1120" customFormat="1">
      <c r="A17" s="2492" t="s">
        <v>2763</v>
      </c>
      <c r="B17" s="2493" t="s">
        <v>2764</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67"/>
      <c r="AS17" s="1467"/>
    </row>
    <row r="18" spans="1:45" s="1120"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67"/>
      <c r="AS18" s="1467"/>
    </row>
    <row r="19" spans="1:45">
      <c r="A19" s="472"/>
      <c r="B19" s="503"/>
      <c r="C19" s="503"/>
      <c r="D19" s="503"/>
      <c r="E19" s="503"/>
      <c r="F19" s="503"/>
      <c r="G19" s="503"/>
      <c r="H19" s="503"/>
      <c r="I19" s="503"/>
      <c r="J19" s="503"/>
      <c r="K19" s="503"/>
      <c r="L19" s="503"/>
      <c r="M19" s="503"/>
      <c r="N19" s="503"/>
      <c r="O19" s="503"/>
      <c r="P19" s="503"/>
      <c r="Q19" s="503"/>
      <c r="R19" s="1419"/>
      <c r="S19" s="472"/>
    </row>
    <row r="20" spans="1:45" ht="15.75">
      <c r="A20" s="1128" t="s">
        <v>742</v>
      </c>
      <c r="B20" s="676">
        <f>S22</f>
        <v>100</v>
      </c>
      <c r="C20" s="503"/>
      <c r="D20" s="503"/>
      <c r="E20" s="503"/>
      <c r="F20" s="503"/>
      <c r="G20" s="503"/>
      <c r="H20" s="503"/>
      <c r="I20" s="503"/>
      <c r="J20" s="503"/>
      <c r="K20" s="503"/>
      <c r="L20" s="503"/>
      <c r="M20" s="503"/>
      <c r="N20" s="503"/>
      <c r="O20" s="503"/>
      <c r="P20" s="503"/>
      <c r="Q20" s="503"/>
      <c r="R20" s="1419"/>
      <c r="S20" s="472"/>
    </row>
    <row r="21" spans="1:45" ht="15.75">
      <c r="A21" s="1128" t="s">
        <v>743</v>
      </c>
      <c r="B21" s="676">
        <f>R22</f>
        <v>10000</v>
      </c>
      <c r="C21" s="503"/>
      <c r="D21" s="503"/>
      <c r="E21" s="503"/>
      <c r="F21" s="503"/>
      <c r="G21" s="503"/>
      <c r="H21" s="503"/>
      <c r="I21" s="503"/>
      <c r="J21" s="503"/>
      <c r="K21" s="503"/>
      <c r="L21" s="503"/>
      <c r="M21" s="503"/>
      <c r="N21" s="503"/>
      <c r="O21" s="503"/>
      <c r="P21" s="503"/>
      <c r="Q21" s="503"/>
      <c r="R21" s="1419"/>
      <c r="S21" s="472"/>
    </row>
    <row r="22" spans="1:45">
      <c r="A22" s="701" t="s">
        <v>744</v>
      </c>
      <c r="B22" s="319">
        <f>SUM(B24:B10000)</f>
        <v>100</v>
      </c>
      <c r="C22" s="3913" t="s">
        <v>332</v>
      </c>
      <c r="D22" s="3914"/>
      <c r="E22" s="3914"/>
      <c r="F22" s="3914"/>
      <c r="G22" s="3914"/>
      <c r="H22" s="3914"/>
      <c r="I22" s="3914"/>
      <c r="J22" s="3914"/>
      <c r="K22" s="3914"/>
      <c r="L22" s="3914"/>
      <c r="M22" s="3914"/>
      <c r="N22" s="3914"/>
      <c r="O22" s="3914"/>
      <c r="P22" s="3914"/>
      <c r="Q22" s="3915"/>
      <c r="R22" s="1129">
        <f>ROUND(S22*10000/B22,0)</f>
        <v>10000</v>
      </c>
      <c r="S22" s="319">
        <f>SUM(S24:S10000)</f>
        <v>100</v>
      </c>
    </row>
    <row r="23" spans="1:45" s="306" customFormat="1" ht="24">
      <c r="A23" s="305" t="s">
        <v>745</v>
      </c>
      <c r="B23" s="305" t="s">
        <v>746</v>
      </c>
      <c r="C23" s="305" t="s">
        <v>747</v>
      </c>
      <c r="D23" s="305" t="str">
        <f>B5</f>
        <v>修正项2</v>
      </c>
      <c r="E23" s="305" t="s">
        <v>747</v>
      </c>
      <c r="F23" s="305" t="str">
        <f>B7</f>
        <v>修正项3</v>
      </c>
      <c r="G23" s="305" t="s">
        <v>747</v>
      </c>
      <c r="H23" s="305" t="str">
        <f>B9</f>
        <v>修正项4</v>
      </c>
      <c r="I23" s="305" t="s">
        <v>747</v>
      </c>
      <c r="J23" s="305" t="str">
        <f>B11</f>
        <v>修正项5</v>
      </c>
      <c r="K23" s="305" t="s">
        <v>747</v>
      </c>
      <c r="L23" s="305" t="str">
        <f>B13</f>
        <v>修正项6</v>
      </c>
      <c r="M23" s="305" t="s">
        <v>747</v>
      </c>
      <c r="N23" s="305" t="str">
        <f>B15</f>
        <v>修正项7</v>
      </c>
      <c r="O23" s="305" t="s">
        <v>747</v>
      </c>
      <c r="P23" s="305" t="str">
        <f>B17</f>
        <v>楼层</v>
      </c>
      <c r="Q23" s="305" t="s">
        <v>747</v>
      </c>
      <c r="R23" s="1130" t="s">
        <v>748</v>
      </c>
      <c r="S23" s="305" t="s">
        <v>749</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135" customFormat="1">
      <c r="A24" s="1131" t="s">
        <v>750</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71"/>
      <c r="U24" s="1471"/>
      <c r="V24" s="1471"/>
      <c r="W24" s="1471"/>
      <c r="X24" s="1471"/>
      <c r="Y24" s="1471"/>
      <c r="Z24" s="1471"/>
      <c r="AA24" s="1471"/>
      <c r="AB24" s="1471"/>
      <c r="AC24" s="1471"/>
      <c r="AD24" s="1471"/>
      <c r="AE24" s="1471"/>
      <c r="AF24" s="1471"/>
      <c r="AG24" s="1471"/>
      <c r="AH24" s="1471"/>
      <c r="AI24" s="1471"/>
      <c r="AJ24" s="1471"/>
      <c r="AK24" s="1471"/>
      <c r="AL24" s="1471"/>
      <c r="AM24" s="1471"/>
      <c r="AN24" s="1471"/>
      <c r="AO24" s="1471"/>
      <c r="AP24" s="1471"/>
      <c r="AQ24" s="1471"/>
      <c r="AR24" s="1471"/>
      <c r="AS24" s="1471"/>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
  <sheetViews>
    <sheetView topLeftCell="A10" workbookViewId="0">
      <selection activeCell="Z2" sqref="Z2"/>
    </sheetView>
  </sheetViews>
  <sheetFormatPr defaultRowHeight="13.5"/>
  <cols>
    <col min="1" max="16384" width="9" style="3343"/>
  </cols>
  <sheetData>
    <row r="1" spans="1:30" s="3329" customFormat="1">
      <c r="A1" s="3329" t="s">
        <v>3528</v>
      </c>
      <c r="B1" s="3329" t="s">
        <v>3529</v>
      </c>
      <c r="C1" s="3329" t="s">
        <v>3530</v>
      </c>
      <c r="D1" s="3329" t="s">
        <v>3531</v>
      </c>
      <c r="E1" s="3329" t="s">
        <v>3532</v>
      </c>
      <c r="F1" s="3329" t="s">
        <v>3533</v>
      </c>
      <c r="G1" s="3329" t="s">
        <v>3534</v>
      </c>
      <c r="H1" s="3329" t="s">
        <v>3535</v>
      </c>
      <c r="I1" s="3329" t="s">
        <v>3536</v>
      </c>
      <c r="J1" s="3329" t="s">
        <v>3537</v>
      </c>
      <c r="K1" s="3329" t="s">
        <v>3538</v>
      </c>
      <c r="L1" s="3329" t="s">
        <v>3539</v>
      </c>
      <c r="M1" s="3329" t="s">
        <v>3540</v>
      </c>
      <c r="N1" s="3329" t="s">
        <v>3541</v>
      </c>
      <c r="O1" s="3329" t="s">
        <v>3542</v>
      </c>
      <c r="P1" s="3329" t="s">
        <v>3543</v>
      </c>
      <c r="Q1" s="3329" t="s">
        <v>3544</v>
      </c>
      <c r="R1" s="3329" t="s">
        <v>3545</v>
      </c>
      <c r="S1" s="3329" t="s">
        <v>3546</v>
      </c>
      <c r="T1" s="3329" t="s">
        <v>3547</v>
      </c>
      <c r="U1" s="3329" t="s">
        <v>3548</v>
      </c>
      <c r="V1" s="3329" t="s">
        <v>3549</v>
      </c>
      <c r="W1" s="3329" t="s">
        <v>3550</v>
      </c>
      <c r="X1" s="3329" t="s">
        <v>3551</v>
      </c>
      <c r="Y1" s="3329" t="s">
        <v>3552</v>
      </c>
      <c r="Z1" s="3329" t="s">
        <v>3553</v>
      </c>
      <c r="AA1" s="3329" t="s">
        <v>3554</v>
      </c>
      <c r="AB1" s="3329" t="s">
        <v>3555</v>
      </c>
      <c r="AC1" s="3329" t="s">
        <v>3556</v>
      </c>
      <c r="AD1" s="3329" t="s">
        <v>3557</v>
      </c>
    </row>
    <row r="2" spans="1:30" s="3330" customFormat="1">
      <c r="A2" s="3330" t="s">
        <v>3558</v>
      </c>
      <c r="B2" s="3330" t="s">
        <v>3559</v>
      </c>
      <c r="C2" s="3330" t="s">
        <v>3560</v>
      </c>
      <c r="D2" s="3330" t="s">
        <v>3561</v>
      </c>
      <c r="E2" s="3330" t="s">
        <v>3347</v>
      </c>
      <c r="F2" s="3330" t="s">
        <v>3558</v>
      </c>
      <c r="G2" s="3330" t="s">
        <v>3558</v>
      </c>
      <c r="H2" s="3330" t="s">
        <v>3562</v>
      </c>
      <c r="I2" s="3330" t="s">
        <v>3347</v>
      </c>
      <c r="J2" s="3330" t="s">
        <v>3563</v>
      </c>
      <c r="K2" s="3330">
        <v>3191.28</v>
      </c>
      <c r="L2" s="3330">
        <v>3191.28</v>
      </c>
      <c r="M2" s="3330" t="s">
        <v>3564</v>
      </c>
      <c r="N2" s="3330" t="s">
        <v>3347</v>
      </c>
      <c r="O2" s="3330" t="s">
        <v>3347</v>
      </c>
      <c r="P2" s="3330" t="s">
        <v>3347</v>
      </c>
      <c r="Q2" s="3330" t="s">
        <v>3347</v>
      </c>
      <c r="R2" s="3330" t="s">
        <v>3347</v>
      </c>
      <c r="S2" s="3330" t="s">
        <v>3565</v>
      </c>
      <c r="T2" s="3330" t="s">
        <v>3565</v>
      </c>
      <c r="U2" s="3330" t="s">
        <v>3566</v>
      </c>
      <c r="V2" s="3330" t="s">
        <v>3567</v>
      </c>
      <c r="W2" s="3330" t="s">
        <v>3568</v>
      </c>
      <c r="X2" s="3330">
        <v>738.13</v>
      </c>
      <c r="Y2" s="3330">
        <v>1008</v>
      </c>
      <c r="Z2" s="3330">
        <v>3158.6</v>
      </c>
      <c r="AA2" s="3330">
        <v>210.57</v>
      </c>
      <c r="AB2" s="3330">
        <v>3158.61</v>
      </c>
      <c r="AC2" s="3330">
        <v>36.56</v>
      </c>
      <c r="AD2" s="3330" t="s">
        <v>3569</v>
      </c>
    </row>
    <row r="3" spans="1:30" s="3330" customFormat="1">
      <c r="A3" s="3330" t="s">
        <v>3570</v>
      </c>
      <c r="B3" s="3330" t="s">
        <v>3559</v>
      </c>
      <c r="C3" s="3330" t="s">
        <v>3560</v>
      </c>
      <c r="D3" s="3330" t="s">
        <v>3561</v>
      </c>
      <c r="E3" s="3330" t="s">
        <v>3347</v>
      </c>
      <c r="F3" s="3330" t="s">
        <v>3570</v>
      </c>
      <c r="G3" s="3330" t="s">
        <v>3570</v>
      </c>
      <c r="H3" s="3330" t="s">
        <v>3562</v>
      </c>
      <c r="I3" s="3330" t="s">
        <v>3347</v>
      </c>
      <c r="J3" s="3330" t="s">
        <v>3571</v>
      </c>
      <c r="K3" s="3330">
        <v>2621.23</v>
      </c>
      <c r="L3" s="3330">
        <v>2621.23</v>
      </c>
      <c r="M3" s="3330" t="s">
        <v>3564</v>
      </c>
      <c r="N3" s="3330" t="s">
        <v>3347</v>
      </c>
      <c r="O3" s="3330" t="s">
        <v>3347</v>
      </c>
      <c r="P3" s="3330" t="s">
        <v>3347</v>
      </c>
      <c r="Q3" s="3330" t="s">
        <v>3347</v>
      </c>
      <c r="R3" s="3330" t="s">
        <v>3347</v>
      </c>
      <c r="S3" s="3330" t="s">
        <v>3565</v>
      </c>
      <c r="T3" s="3330" t="s">
        <v>3565</v>
      </c>
      <c r="U3" s="3330" t="s">
        <v>3572</v>
      </c>
      <c r="V3" s="3330" t="s">
        <v>3567</v>
      </c>
      <c r="W3" s="3330" t="s">
        <v>3573</v>
      </c>
      <c r="X3" s="3330">
        <v>805.64</v>
      </c>
      <c r="Y3" s="3330">
        <v>1030</v>
      </c>
      <c r="Z3" s="3330">
        <v>3929.45</v>
      </c>
      <c r="AA3" s="3330">
        <v>261.95999999999998</v>
      </c>
      <c r="AB3" s="3330">
        <v>3929.44</v>
      </c>
      <c r="AC3" s="3330">
        <v>27.85</v>
      </c>
      <c r="AD3" s="3330" t="s">
        <v>3569</v>
      </c>
    </row>
    <row r="4" spans="1:30" s="3330" customFormat="1">
      <c r="A4" s="3331" t="s">
        <v>3574</v>
      </c>
      <c r="B4" s="3330" t="s">
        <v>3559</v>
      </c>
      <c r="C4" s="3330" t="s">
        <v>3560</v>
      </c>
      <c r="D4" s="3330" t="s">
        <v>3561</v>
      </c>
      <c r="E4" s="3330" t="s">
        <v>3347</v>
      </c>
      <c r="F4" s="3330" t="s">
        <v>3575</v>
      </c>
      <c r="G4" s="3330" t="s">
        <v>3575</v>
      </c>
      <c r="H4" s="3330" t="s">
        <v>3562</v>
      </c>
      <c r="I4" s="3330" t="s">
        <v>3347</v>
      </c>
      <c r="J4" s="3330" t="s">
        <v>3576</v>
      </c>
      <c r="K4" s="3330">
        <v>1154.98</v>
      </c>
      <c r="L4" s="3330">
        <v>1154.98</v>
      </c>
      <c r="M4" s="3330" t="s">
        <v>3564</v>
      </c>
      <c r="N4" s="3330" t="s">
        <v>3347</v>
      </c>
      <c r="O4" s="3330" t="s">
        <v>3347</v>
      </c>
      <c r="P4" s="3330" t="s">
        <v>3347</v>
      </c>
      <c r="Q4" s="3330" t="s">
        <v>3347</v>
      </c>
      <c r="R4" s="3330" t="s">
        <v>3347</v>
      </c>
      <c r="S4" s="3330" t="s">
        <v>3577</v>
      </c>
      <c r="T4" s="3330" t="s">
        <v>3577</v>
      </c>
      <c r="U4" s="3330" t="s">
        <v>3578</v>
      </c>
      <c r="V4" s="3330" t="s">
        <v>3567</v>
      </c>
      <c r="W4" s="3330" t="s">
        <v>3579</v>
      </c>
      <c r="X4" s="3330">
        <v>367.27</v>
      </c>
      <c r="Y4" s="3330">
        <v>372</v>
      </c>
      <c r="Z4" s="3330">
        <v>3220.83</v>
      </c>
      <c r="AA4" s="3330">
        <v>214.72</v>
      </c>
      <c r="AB4" s="3330">
        <v>3220.82</v>
      </c>
      <c r="AC4" s="3330">
        <v>1.29</v>
      </c>
      <c r="AD4" s="3330" t="s">
        <v>3569</v>
      </c>
    </row>
    <row r="5" spans="1:30" s="3329" customFormat="1">
      <c r="A5" s="3329" t="s">
        <v>3558</v>
      </c>
      <c r="B5" s="3329" t="s">
        <v>3559</v>
      </c>
      <c r="C5" s="3329" t="s">
        <v>3560</v>
      </c>
      <c r="D5" s="3329" t="s">
        <v>3561</v>
      </c>
      <c r="E5" s="3329" t="s">
        <v>3347</v>
      </c>
      <c r="F5" s="3329" t="s">
        <v>3558</v>
      </c>
      <c r="G5" s="3329" t="s">
        <v>3558</v>
      </c>
      <c r="H5" s="3329" t="s">
        <v>3562</v>
      </c>
      <c r="I5" s="3329" t="s">
        <v>3347</v>
      </c>
      <c r="J5" s="3329" t="s">
        <v>3580</v>
      </c>
      <c r="K5" s="3329">
        <v>5688.21</v>
      </c>
      <c r="L5" s="3329">
        <v>5688.21</v>
      </c>
      <c r="M5" s="3329" t="s">
        <v>3564</v>
      </c>
      <c r="N5" s="3329" t="s">
        <v>3347</v>
      </c>
      <c r="O5" s="3329" t="s">
        <v>3347</v>
      </c>
      <c r="P5" s="3329" t="s">
        <v>3347</v>
      </c>
      <c r="Q5" s="3329" t="s">
        <v>3347</v>
      </c>
      <c r="R5" s="3329" t="s">
        <v>3347</v>
      </c>
      <c r="S5" s="3329" t="s">
        <v>3577</v>
      </c>
      <c r="T5" s="3329" t="s">
        <v>3577</v>
      </c>
      <c r="U5" s="3329" t="s">
        <v>3581</v>
      </c>
      <c r="V5" s="3329" t="s">
        <v>3567</v>
      </c>
      <c r="W5" s="3329" t="s">
        <v>3568</v>
      </c>
      <c r="X5" s="3329">
        <v>1314.47</v>
      </c>
      <c r="Y5" s="3329">
        <v>1323</v>
      </c>
      <c r="Z5" s="3329">
        <v>2325.86</v>
      </c>
      <c r="AA5" s="3329">
        <v>155.06</v>
      </c>
      <c r="AB5" s="3329">
        <v>2325.86</v>
      </c>
      <c r="AC5" s="3329">
        <v>0.65</v>
      </c>
      <c r="AD5" s="3329" t="s">
        <v>3569</v>
      </c>
    </row>
    <row r="6" spans="1:30" s="3329" customFormat="1">
      <c r="A6" s="3329" t="s">
        <v>3575</v>
      </c>
      <c r="B6" s="3329" t="s">
        <v>3559</v>
      </c>
      <c r="C6" s="3329" t="s">
        <v>3560</v>
      </c>
      <c r="D6" s="3329" t="s">
        <v>3561</v>
      </c>
      <c r="E6" s="3329" t="s">
        <v>3347</v>
      </c>
      <c r="F6" s="3329" t="s">
        <v>3575</v>
      </c>
      <c r="G6" s="3329" t="s">
        <v>3575</v>
      </c>
      <c r="H6" s="3329" t="s">
        <v>3562</v>
      </c>
      <c r="I6" s="3329" t="s">
        <v>3347</v>
      </c>
      <c r="J6" s="3329" t="s">
        <v>3582</v>
      </c>
      <c r="K6" s="3329">
        <v>8416.57</v>
      </c>
      <c r="L6" s="3329">
        <v>8416.57</v>
      </c>
      <c r="M6" s="3329" t="s">
        <v>3564</v>
      </c>
      <c r="N6" s="3329" t="s">
        <v>3347</v>
      </c>
      <c r="O6" s="3329" t="s">
        <v>3347</v>
      </c>
      <c r="P6" s="3329" t="s">
        <v>3347</v>
      </c>
      <c r="Q6" s="3329" t="s">
        <v>3347</v>
      </c>
      <c r="R6" s="3329" t="s">
        <v>3347</v>
      </c>
      <c r="S6" s="3329" t="s">
        <v>3577</v>
      </c>
      <c r="T6" s="3329" t="s">
        <v>3577</v>
      </c>
      <c r="U6" s="3329" t="s">
        <v>3583</v>
      </c>
      <c r="V6" s="3329" t="s">
        <v>3567</v>
      </c>
      <c r="W6" s="3329" t="s">
        <v>3579</v>
      </c>
      <c r="X6" s="3329">
        <v>2679.23</v>
      </c>
      <c r="Y6" s="3329">
        <v>2710</v>
      </c>
      <c r="Z6" s="3329">
        <v>3219.83</v>
      </c>
      <c r="AA6" s="3329">
        <v>214.66</v>
      </c>
      <c r="AB6" s="3329">
        <v>3219.84</v>
      </c>
      <c r="AC6" s="3329">
        <v>1.1499999999999999</v>
      </c>
      <c r="AD6" s="3329" t="s">
        <v>3569</v>
      </c>
    </row>
    <row r="7" spans="1:30" s="3329" customFormat="1">
      <c r="A7" s="3329" t="s">
        <v>3584</v>
      </c>
      <c r="B7" s="3329" t="s">
        <v>3559</v>
      </c>
      <c r="C7" s="3329" t="s">
        <v>3560</v>
      </c>
      <c r="D7" s="3329" t="s">
        <v>3561</v>
      </c>
      <c r="E7" s="3329" t="s">
        <v>3347</v>
      </c>
      <c r="F7" s="3329" t="s">
        <v>3584</v>
      </c>
      <c r="G7" s="3329" t="s">
        <v>3584</v>
      </c>
      <c r="H7" s="3329" t="s">
        <v>3562</v>
      </c>
      <c r="I7" s="3329" t="s">
        <v>3347</v>
      </c>
      <c r="J7" s="3329" t="s">
        <v>3585</v>
      </c>
      <c r="K7" s="3329">
        <v>6430.13</v>
      </c>
      <c r="L7" s="3329">
        <v>6430.13</v>
      </c>
      <c r="M7" s="3329" t="s">
        <v>3586</v>
      </c>
      <c r="N7" s="3329" t="s">
        <v>3347</v>
      </c>
      <c r="O7" s="3329" t="s">
        <v>3347</v>
      </c>
      <c r="P7" s="3329" t="s">
        <v>3347</v>
      </c>
      <c r="Q7" s="3329" t="s">
        <v>3347</v>
      </c>
      <c r="R7" s="3329" t="s">
        <v>3347</v>
      </c>
      <c r="S7" s="3329" t="s">
        <v>3587</v>
      </c>
      <c r="T7" s="3329" t="s">
        <v>3587</v>
      </c>
      <c r="U7" s="3329" t="s">
        <v>3588</v>
      </c>
      <c r="V7" s="3329" t="s">
        <v>3567</v>
      </c>
      <c r="W7" s="3329" t="s">
        <v>3589</v>
      </c>
      <c r="X7" s="3329">
        <v>1522.76</v>
      </c>
      <c r="Y7" s="3329">
        <v>1531</v>
      </c>
      <c r="Z7" s="3329">
        <v>2380.9699999999998</v>
      </c>
      <c r="AA7" s="3329">
        <v>158.72999999999999</v>
      </c>
      <c r="AB7" s="3329">
        <v>2380.98</v>
      </c>
      <c r="AC7" s="3329">
        <v>0.54</v>
      </c>
      <c r="AD7" s="3329" t="s">
        <v>3569</v>
      </c>
    </row>
    <row r="8" spans="1:30" s="3329" customFormat="1">
      <c r="A8" s="3329" t="s">
        <v>3584</v>
      </c>
      <c r="B8" s="3329" t="s">
        <v>3559</v>
      </c>
      <c r="C8" s="3329" t="s">
        <v>3560</v>
      </c>
      <c r="D8" s="3329" t="s">
        <v>3561</v>
      </c>
      <c r="E8" s="3329" t="s">
        <v>3347</v>
      </c>
      <c r="F8" s="3329" t="s">
        <v>3584</v>
      </c>
      <c r="G8" s="3329" t="s">
        <v>3584</v>
      </c>
      <c r="H8" s="3329" t="s">
        <v>3562</v>
      </c>
      <c r="I8" s="3329" t="s">
        <v>3347</v>
      </c>
      <c r="J8" s="3329" t="s">
        <v>3590</v>
      </c>
      <c r="K8" s="3329">
        <v>14984.38</v>
      </c>
      <c r="L8" s="3329">
        <v>14984.38</v>
      </c>
      <c r="M8" s="3329" t="s">
        <v>3586</v>
      </c>
      <c r="N8" s="3329" t="s">
        <v>3347</v>
      </c>
      <c r="O8" s="3329" t="s">
        <v>3347</v>
      </c>
      <c r="P8" s="3329" t="s">
        <v>3347</v>
      </c>
      <c r="Q8" s="3329" t="s">
        <v>3347</v>
      </c>
      <c r="R8" s="3329" t="s">
        <v>3347</v>
      </c>
      <c r="S8" s="3329" t="s">
        <v>3587</v>
      </c>
      <c r="T8" s="3329" t="s">
        <v>3587</v>
      </c>
      <c r="U8" s="3329" t="s">
        <v>3591</v>
      </c>
      <c r="V8" s="3329" t="s">
        <v>3567</v>
      </c>
      <c r="W8" s="3329" t="s">
        <v>3589</v>
      </c>
      <c r="X8" s="3329">
        <v>3547.34</v>
      </c>
      <c r="Y8" s="3329">
        <v>3567</v>
      </c>
      <c r="Z8" s="3329">
        <v>2380.4699999999998</v>
      </c>
      <c r="AA8" s="3329">
        <v>158.69999999999999</v>
      </c>
      <c r="AB8" s="3329">
        <v>2380.48</v>
      </c>
      <c r="AC8" s="3329">
        <v>0.55000000000000004</v>
      </c>
      <c r="AD8" s="3329" t="s">
        <v>3569</v>
      </c>
    </row>
    <row r="9" spans="1:30" s="3329" customFormat="1">
      <c r="A9" s="3329" t="s">
        <v>3592</v>
      </c>
      <c r="B9" s="3329" t="s">
        <v>3559</v>
      </c>
      <c r="C9" s="3329" t="s">
        <v>3560</v>
      </c>
      <c r="D9" s="3329" t="s">
        <v>3561</v>
      </c>
      <c r="E9" s="3329" t="s">
        <v>3347</v>
      </c>
      <c r="F9" s="3329" t="s">
        <v>3592</v>
      </c>
      <c r="G9" s="3329" t="s">
        <v>3592</v>
      </c>
      <c r="H9" s="3329" t="s">
        <v>3562</v>
      </c>
      <c r="I9" s="3329" t="s">
        <v>3347</v>
      </c>
      <c r="J9" s="3329" t="s">
        <v>3593</v>
      </c>
      <c r="K9" s="3329">
        <v>8893.4699999999993</v>
      </c>
      <c r="L9" s="3329">
        <v>8893.4699999999993</v>
      </c>
      <c r="M9" s="3329" t="s">
        <v>3586</v>
      </c>
      <c r="N9" s="3329" t="s">
        <v>3347</v>
      </c>
      <c r="O9" s="3329" t="s">
        <v>3347</v>
      </c>
      <c r="P9" s="3329" t="s">
        <v>3347</v>
      </c>
      <c r="Q9" s="3329" t="s">
        <v>3347</v>
      </c>
      <c r="R9" s="3329" t="s">
        <v>3347</v>
      </c>
      <c r="S9" s="3329" t="s">
        <v>3594</v>
      </c>
      <c r="T9" s="3329" t="s">
        <v>3594</v>
      </c>
      <c r="U9" s="3329" t="s">
        <v>3595</v>
      </c>
      <c r="V9" s="3329" t="s">
        <v>3567</v>
      </c>
      <c r="W9" s="3329" t="s">
        <v>3596</v>
      </c>
      <c r="X9" s="3329">
        <v>2298.48</v>
      </c>
      <c r="Y9" s="3329">
        <v>2328</v>
      </c>
      <c r="Z9" s="3329">
        <v>2617.65</v>
      </c>
      <c r="AA9" s="3329">
        <v>174.51</v>
      </c>
      <c r="AB9" s="3329">
        <v>2617.65</v>
      </c>
      <c r="AC9" s="3329">
        <v>1.28</v>
      </c>
      <c r="AD9" s="3329" t="s">
        <v>3569</v>
      </c>
    </row>
    <row r="10" spans="1:30" s="3329" customFormat="1">
      <c r="A10" s="3329" t="s">
        <v>3597</v>
      </c>
      <c r="B10" s="3329" t="s">
        <v>3559</v>
      </c>
      <c r="C10" s="3329" t="s">
        <v>3560</v>
      </c>
      <c r="D10" s="3329" t="s">
        <v>3561</v>
      </c>
      <c r="E10" s="3329" t="s">
        <v>3347</v>
      </c>
      <c r="F10" s="3329" t="s">
        <v>3597</v>
      </c>
      <c r="G10" s="3329" t="s">
        <v>3597</v>
      </c>
      <c r="H10" s="3329" t="s">
        <v>3562</v>
      </c>
      <c r="I10" s="3329" t="s">
        <v>3347</v>
      </c>
      <c r="J10" s="3329" t="s">
        <v>3598</v>
      </c>
      <c r="K10" s="3329">
        <v>8591.2900000000009</v>
      </c>
      <c r="L10" s="3329">
        <v>21478.23</v>
      </c>
      <c r="M10" s="3329" t="s">
        <v>3599</v>
      </c>
      <c r="N10" s="3329" t="s">
        <v>3347</v>
      </c>
      <c r="O10" s="3329" t="s">
        <v>3347</v>
      </c>
      <c r="P10" s="3329" t="s">
        <v>3347</v>
      </c>
      <c r="Q10" s="3329" t="s">
        <v>3347</v>
      </c>
      <c r="R10" s="3329" t="s">
        <v>3347</v>
      </c>
      <c r="S10" s="3329" t="s">
        <v>3594</v>
      </c>
      <c r="T10" s="3329" t="s">
        <v>3594</v>
      </c>
      <c r="U10" s="3329" t="s">
        <v>3600</v>
      </c>
      <c r="V10" s="3329" t="s">
        <v>3567</v>
      </c>
      <c r="W10" s="3329" t="s">
        <v>3596</v>
      </c>
      <c r="X10" s="3329">
        <v>2235.13</v>
      </c>
      <c r="Y10" s="3329">
        <v>2263</v>
      </c>
      <c r="Z10" s="3329">
        <v>2634.06</v>
      </c>
      <c r="AA10" s="3329">
        <v>175.6</v>
      </c>
      <c r="AB10" s="3329">
        <v>1053.6099999999999</v>
      </c>
      <c r="AC10" s="3329">
        <v>1.25</v>
      </c>
      <c r="AD10" s="3329" t="s">
        <v>3569</v>
      </c>
    </row>
    <row r="11" spans="1:30" s="3329" customFormat="1">
      <c r="A11" s="3329" t="s">
        <v>3601</v>
      </c>
      <c r="B11" s="3329" t="s">
        <v>3559</v>
      </c>
      <c r="C11" s="3329" t="s">
        <v>3560</v>
      </c>
      <c r="D11" s="3329" t="s">
        <v>3561</v>
      </c>
      <c r="E11" s="3329" t="s">
        <v>3347</v>
      </c>
      <c r="F11" s="3329" t="s">
        <v>3601</v>
      </c>
      <c r="G11" s="3329" t="s">
        <v>3601</v>
      </c>
      <c r="H11" s="3329" t="s">
        <v>3562</v>
      </c>
      <c r="I11" s="3329" t="s">
        <v>3347</v>
      </c>
      <c r="J11" s="3329" t="s">
        <v>3602</v>
      </c>
      <c r="K11" s="3329">
        <v>22556.46</v>
      </c>
      <c r="L11" s="3329">
        <v>22556.46</v>
      </c>
      <c r="M11" s="3329" t="s">
        <v>3586</v>
      </c>
      <c r="N11" s="3329" t="s">
        <v>3347</v>
      </c>
      <c r="O11" s="3329" t="s">
        <v>3347</v>
      </c>
      <c r="P11" s="3329" t="s">
        <v>3347</v>
      </c>
      <c r="Q11" s="3329" t="s">
        <v>3347</v>
      </c>
      <c r="R11" s="3329" t="s">
        <v>3347</v>
      </c>
      <c r="S11" s="3329" t="s">
        <v>3603</v>
      </c>
      <c r="T11" s="3329" t="s">
        <v>3603</v>
      </c>
      <c r="U11" s="3329" t="s">
        <v>3604</v>
      </c>
      <c r="V11" s="3329" t="s">
        <v>3567</v>
      </c>
      <c r="W11" s="3329" t="s">
        <v>3605</v>
      </c>
      <c r="X11" s="3329">
        <v>6349.89</v>
      </c>
      <c r="Y11" s="3329">
        <v>6365</v>
      </c>
      <c r="Z11" s="3329">
        <v>2821.8</v>
      </c>
      <c r="AA11" s="3329">
        <v>188.12</v>
      </c>
      <c r="AB11" s="3329">
        <v>2821.8</v>
      </c>
      <c r="AC11" s="3329">
        <v>0.24</v>
      </c>
      <c r="AD11" s="3329" t="s">
        <v>3569</v>
      </c>
    </row>
    <row r="12" spans="1:30" s="3329" customFormat="1">
      <c r="A12" s="3329" t="s">
        <v>3606</v>
      </c>
      <c r="B12" s="3329" t="s">
        <v>3559</v>
      </c>
      <c r="C12" s="3329" t="s">
        <v>3560</v>
      </c>
      <c r="D12" s="3329" t="s">
        <v>3561</v>
      </c>
      <c r="E12" s="3329" t="s">
        <v>3347</v>
      </c>
      <c r="F12" s="3329" t="s">
        <v>3606</v>
      </c>
      <c r="G12" s="3329" t="s">
        <v>3606</v>
      </c>
      <c r="H12" s="3329" t="s">
        <v>3562</v>
      </c>
      <c r="I12" s="3329" t="s">
        <v>3347</v>
      </c>
      <c r="J12" s="3329" t="s">
        <v>3607</v>
      </c>
      <c r="K12" s="3329">
        <v>8752.67</v>
      </c>
      <c r="L12" s="3329">
        <v>14004.27</v>
      </c>
      <c r="M12" s="3329" t="s">
        <v>3608</v>
      </c>
      <c r="N12" s="3329" t="s">
        <v>3347</v>
      </c>
      <c r="O12" s="3329" t="s">
        <v>3347</v>
      </c>
      <c r="P12" s="3329" t="s">
        <v>3347</v>
      </c>
      <c r="Q12" s="3329" t="s">
        <v>3347</v>
      </c>
      <c r="R12" s="3329" t="s">
        <v>3347</v>
      </c>
      <c r="S12" s="3329" t="s">
        <v>3609</v>
      </c>
      <c r="T12" s="3329" t="s">
        <v>3609</v>
      </c>
      <c r="U12" s="3329" t="s">
        <v>3610</v>
      </c>
      <c r="V12" s="3329" t="s">
        <v>3567</v>
      </c>
      <c r="W12" s="3329" t="s">
        <v>3611</v>
      </c>
      <c r="X12" s="3329">
        <v>2088.98</v>
      </c>
      <c r="Y12" s="3329">
        <v>2117</v>
      </c>
      <c r="Z12" s="3329">
        <v>2418.69</v>
      </c>
      <c r="AA12" s="3329">
        <v>161.25</v>
      </c>
      <c r="AB12" s="3329">
        <v>1511.68</v>
      </c>
      <c r="AC12" s="3329">
        <v>1.34</v>
      </c>
      <c r="AD12" s="3329" t="s">
        <v>3569</v>
      </c>
    </row>
    <row r="13" spans="1:30" s="3329" customFormat="1">
      <c r="A13" s="3329" t="s">
        <v>3612</v>
      </c>
      <c r="B13" s="3329" t="s">
        <v>3559</v>
      </c>
      <c r="C13" s="3329" t="s">
        <v>3560</v>
      </c>
      <c r="D13" s="3329" t="s">
        <v>3561</v>
      </c>
      <c r="E13" s="3329" t="s">
        <v>3347</v>
      </c>
      <c r="F13" s="3329" t="s">
        <v>3612</v>
      </c>
      <c r="G13" s="3329" t="s">
        <v>3612</v>
      </c>
      <c r="H13" s="3329" t="s">
        <v>3562</v>
      </c>
      <c r="I13" s="3329" t="s">
        <v>3347</v>
      </c>
      <c r="J13" s="3329" t="s">
        <v>3613</v>
      </c>
      <c r="K13" s="3329">
        <v>1360.8</v>
      </c>
      <c r="L13" s="3329">
        <v>1360.8</v>
      </c>
      <c r="M13" s="3329" t="s">
        <v>3586</v>
      </c>
      <c r="N13" s="3329" t="s">
        <v>3347</v>
      </c>
      <c r="O13" s="3329" t="s">
        <v>3347</v>
      </c>
      <c r="P13" s="3329" t="s">
        <v>3347</v>
      </c>
      <c r="Q13" s="3329" t="s">
        <v>3347</v>
      </c>
      <c r="R13" s="3329" t="s">
        <v>3347</v>
      </c>
      <c r="S13" s="3329" t="s">
        <v>3614</v>
      </c>
      <c r="T13" s="3329" t="s">
        <v>3614</v>
      </c>
      <c r="U13" s="3329" t="s">
        <v>3615</v>
      </c>
      <c r="V13" s="3329" t="s">
        <v>3567</v>
      </c>
      <c r="W13" s="3329" t="s">
        <v>3616</v>
      </c>
      <c r="X13" s="3329">
        <v>317.01</v>
      </c>
      <c r="Y13" s="3329">
        <v>321</v>
      </c>
      <c r="Z13" s="3329">
        <v>2358.9</v>
      </c>
      <c r="AA13" s="3329">
        <v>157.26</v>
      </c>
      <c r="AB13" s="3329">
        <v>2358.9</v>
      </c>
      <c r="AC13" s="3329">
        <v>1.26</v>
      </c>
      <c r="AD13" s="3329" t="s">
        <v>3569</v>
      </c>
    </row>
    <row r="14" spans="1:30" s="3329" customFormat="1">
      <c r="A14" s="3329" t="s">
        <v>3584</v>
      </c>
      <c r="B14" s="3329" t="s">
        <v>3559</v>
      </c>
      <c r="C14" s="3329" t="s">
        <v>3560</v>
      </c>
      <c r="D14" s="3329" t="s">
        <v>3561</v>
      </c>
      <c r="E14" s="3329" t="s">
        <v>3347</v>
      </c>
      <c r="F14" s="3329" t="s">
        <v>3584</v>
      </c>
      <c r="G14" s="3329" t="s">
        <v>3584</v>
      </c>
      <c r="H14" s="3329" t="s">
        <v>3562</v>
      </c>
      <c r="I14" s="3329" t="s">
        <v>3347</v>
      </c>
      <c r="J14" s="3329" t="s">
        <v>3617</v>
      </c>
      <c r="K14" s="3329">
        <v>40888.19</v>
      </c>
      <c r="L14" s="3329">
        <v>40888.19</v>
      </c>
      <c r="M14" s="3329" t="s">
        <v>3586</v>
      </c>
      <c r="N14" s="3329" t="s">
        <v>3347</v>
      </c>
      <c r="O14" s="3329" t="s">
        <v>3347</v>
      </c>
      <c r="P14" s="3329" t="s">
        <v>3347</v>
      </c>
      <c r="Q14" s="3329" t="s">
        <v>3347</v>
      </c>
      <c r="R14" s="3329" t="s">
        <v>3347</v>
      </c>
      <c r="S14" s="3329" t="s">
        <v>3618</v>
      </c>
      <c r="T14" s="3329" t="s">
        <v>3618</v>
      </c>
      <c r="U14" s="3329" t="s">
        <v>3619</v>
      </c>
      <c r="V14" s="3329" t="s">
        <v>3567</v>
      </c>
      <c r="W14" s="3329" t="s">
        <v>3589</v>
      </c>
      <c r="X14" s="3329">
        <v>9555.2000000000007</v>
      </c>
      <c r="Y14" s="3329">
        <v>9585</v>
      </c>
      <c r="Z14" s="3329">
        <v>2344.19</v>
      </c>
      <c r="AA14" s="3329">
        <v>156.28</v>
      </c>
      <c r="AB14" s="3329">
        <v>2344.19</v>
      </c>
      <c r="AC14" s="3329">
        <v>0.31</v>
      </c>
      <c r="AD14" s="3329" t="s">
        <v>3569</v>
      </c>
    </row>
    <row r="15" spans="1:30" s="3329" customFormat="1">
      <c r="A15" s="3329" t="s">
        <v>3620</v>
      </c>
      <c r="B15" s="3329" t="s">
        <v>3559</v>
      </c>
      <c r="C15" s="3329" t="s">
        <v>3560</v>
      </c>
      <c r="D15" s="3329" t="s">
        <v>3561</v>
      </c>
      <c r="E15" s="3329" t="s">
        <v>3347</v>
      </c>
      <c r="F15" s="3329" t="s">
        <v>3620</v>
      </c>
      <c r="G15" s="3329" t="s">
        <v>3620</v>
      </c>
      <c r="H15" s="3329" t="s">
        <v>3562</v>
      </c>
      <c r="I15" s="3329" t="s">
        <v>3347</v>
      </c>
      <c r="J15" s="3329" t="s">
        <v>3621</v>
      </c>
      <c r="K15" s="3329">
        <v>7091.31</v>
      </c>
      <c r="L15" s="3329">
        <v>7091.31</v>
      </c>
      <c r="M15" s="3329" t="s">
        <v>3586</v>
      </c>
      <c r="N15" s="3329" t="s">
        <v>3347</v>
      </c>
      <c r="O15" s="3329" t="s">
        <v>3347</v>
      </c>
      <c r="P15" s="3329" t="s">
        <v>3347</v>
      </c>
      <c r="Q15" s="3329" t="s">
        <v>3347</v>
      </c>
      <c r="R15" s="3329" t="s">
        <v>3347</v>
      </c>
      <c r="S15" s="3329" t="s">
        <v>3622</v>
      </c>
      <c r="T15" s="3329" t="s">
        <v>3622</v>
      </c>
      <c r="U15" s="3329" t="s">
        <v>3623</v>
      </c>
      <c r="V15" s="3329" t="s">
        <v>3567</v>
      </c>
      <c r="W15" s="3329" t="s">
        <v>3624</v>
      </c>
      <c r="X15" s="3329">
        <v>1896.04</v>
      </c>
      <c r="Y15" s="3329">
        <v>1909</v>
      </c>
      <c r="Z15" s="3329">
        <v>2692.02</v>
      </c>
      <c r="AA15" s="3329">
        <v>179.47</v>
      </c>
      <c r="AB15" s="3329">
        <v>2692.03</v>
      </c>
      <c r="AC15" s="3329">
        <v>0.68</v>
      </c>
      <c r="AD15" s="3329" t="s">
        <v>3569</v>
      </c>
    </row>
    <row r="16" spans="1:30" s="3329" customFormat="1">
      <c r="A16" s="3329" t="s">
        <v>3625</v>
      </c>
      <c r="B16" s="3329" t="s">
        <v>3559</v>
      </c>
      <c r="C16" s="3329" t="s">
        <v>3560</v>
      </c>
      <c r="D16" s="3329" t="s">
        <v>3561</v>
      </c>
      <c r="E16" s="3329" t="s">
        <v>3347</v>
      </c>
      <c r="F16" s="3329" t="s">
        <v>3625</v>
      </c>
      <c r="G16" s="3329" t="s">
        <v>3625</v>
      </c>
      <c r="H16" s="3329" t="s">
        <v>3562</v>
      </c>
      <c r="I16" s="3329" t="s">
        <v>3347</v>
      </c>
      <c r="J16" s="3329" t="s">
        <v>3626</v>
      </c>
      <c r="K16" s="3329">
        <v>847.34</v>
      </c>
      <c r="L16" s="3329">
        <v>847.34</v>
      </c>
      <c r="M16" s="3329" t="s">
        <v>3586</v>
      </c>
      <c r="N16" s="3329" t="s">
        <v>3347</v>
      </c>
      <c r="O16" s="3329" t="s">
        <v>3347</v>
      </c>
      <c r="P16" s="3329" t="s">
        <v>3347</v>
      </c>
      <c r="Q16" s="3329" t="s">
        <v>3347</v>
      </c>
      <c r="R16" s="3329" t="s">
        <v>3347</v>
      </c>
      <c r="S16" s="3329" t="s">
        <v>3622</v>
      </c>
      <c r="T16" s="3329" t="s">
        <v>3622</v>
      </c>
      <c r="U16" s="3329" t="s">
        <v>3627</v>
      </c>
      <c r="V16" s="3329" t="s">
        <v>3567</v>
      </c>
      <c r="W16" s="3329" t="s">
        <v>3628</v>
      </c>
      <c r="X16" s="3329">
        <v>212.84</v>
      </c>
      <c r="Y16" s="3329">
        <v>217</v>
      </c>
      <c r="Z16" s="3329">
        <v>2560.9499999999998</v>
      </c>
      <c r="AA16" s="3329">
        <v>170.73</v>
      </c>
      <c r="AB16" s="3329">
        <v>2560.96</v>
      </c>
      <c r="AC16" s="3329">
        <v>1.95</v>
      </c>
      <c r="AD16" s="3329" t="s">
        <v>3569</v>
      </c>
    </row>
    <row r="17" spans="1:30" s="3329" customFormat="1">
      <c r="A17" s="3329" t="s">
        <v>3584</v>
      </c>
      <c r="B17" s="3329" t="s">
        <v>3559</v>
      </c>
      <c r="C17" s="3329" t="s">
        <v>3560</v>
      </c>
      <c r="D17" s="3329" t="s">
        <v>3561</v>
      </c>
      <c r="E17" s="3329" t="s">
        <v>3347</v>
      </c>
      <c r="F17" s="3329" t="s">
        <v>3584</v>
      </c>
      <c r="G17" s="3329" t="s">
        <v>3584</v>
      </c>
      <c r="H17" s="3329" t="s">
        <v>3562</v>
      </c>
      <c r="I17" s="3329" t="s">
        <v>3347</v>
      </c>
      <c r="J17" s="3329" t="s">
        <v>3629</v>
      </c>
      <c r="K17" s="3329">
        <v>8648.91</v>
      </c>
      <c r="L17" s="3329">
        <v>8648.91</v>
      </c>
      <c r="M17" s="3329" t="s">
        <v>3586</v>
      </c>
      <c r="N17" s="3329" t="s">
        <v>3347</v>
      </c>
      <c r="O17" s="3329" t="s">
        <v>3347</v>
      </c>
      <c r="P17" s="3329" t="s">
        <v>3347</v>
      </c>
      <c r="Q17" s="3329" t="s">
        <v>3347</v>
      </c>
      <c r="R17" s="3329" t="s">
        <v>3347</v>
      </c>
      <c r="S17" s="3329" t="s">
        <v>3622</v>
      </c>
      <c r="T17" s="3329" t="s">
        <v>3622</v>
      </c>
      <c r="U17" s="3329" t="s">
        <v>3630</v>
      </c>
      <c r="V17" s="3329" t="s">
        <v>3567</v>
      </c>
      <c r="W17" s="3329" t="s">
        <v>3589</v>
      </c>
      <c r="X17" s="3329">
        <v>1981.81</v>
      </c>
      <c r="Y17" s="3329">
        <v>1988</v>
      </c>
      <c r="Z17" s="3329">
        <v>2298.5500000000002</v>
      </c>
      <c r="AA17" s="3329">
        <v>153.24</v>
      </c>
      <c r="AB17" s="3329">
        <v>2298.5500000000002</v>
      </c>
      <c r="AC17" s="3329">
        <v>0.31</v>
      </c>
      <c r="AD17" s="3329" t="s">
        <v>3569</v>
      </c>
    </row>
    <row r="18" spans="1:30" s="3329" customFormat="1">
      <c r="A18" s="3329" t="s">
        <v>3631</v>
      </c>
      <c r="B18" s="3329" t="s">
        <v>3559</v>
      </c>
      <c r="C18" s="3329" t="s">
        <v>3560</v>
      </c>
      <c r="D18" s="3329" t="s">
        <v>3561</v>
      </c>
      <c r="E18" s="3329" t="s">
        <v>3347</v>
      </c>
      <c r="F18" s="3329" t="s">
        <v>3631</v>
      </c>
      <c r="G18" s="3329" t="s">
        <v>3631</v>
      </c>
      <c r="H18" s="3329" t="s">
        <v>3562</v>
      </c>
      <c r="I18" s="3329" t="s">
        <v>3347</v>
      </c>
      <c r="J18" s="3329" t="s">
        <v>3632</v>
      </c>
      <c r="K18" s="3329">
        <v>30737.54</v>
      </c>
      <c r="L18" s="3329">
        <v>30737.54</v>
      </c>
      <c r="M18" s="3329" t="s">
        <v>3586</v>
      </c>
      <c r="N18" s="3329" t="s">
        <v>3347</v>
      </c>
      <c r="O18" s="3329" t="s">
        <v>3347</v>
      </c>
      <c r="P18" s="3329" t="s">
        <v>3347</v>
      </c>
      <c r="Q18" s="3329" t="s">
        <v>3347</v>
      </c>
      <c r="R18" s="3329" t="s">
        <v>3347</v>
      </c>
      <c r="S18" s="3329" t="s">
        <v>3633</v>
      </c>
      <c r="T18" s="3329" t="s">
        <v>3633</v>
      </c>
      <c r="U18" s="3329" t="s">
        <v>3634</v>
      </c>
      <c r="V18" s="3329" t="s">
        <v>3567</v>
      </c>
      <c r="W18" s="3329" t="s">
        <v>3579</v>
      </c>
      <c r="X18" s="3329">
        <v>7575.86</v>
      </c>
      <c r="Y18" s="3329">
        <v>7654</v>
      </c>
      <c r="Z18" s="3329">
        <v>2490.11</v>
      </c>
      <c r="AA18" s="3329">
        <v>166.01</v>
      </c>
      <c r="AB18" s="3329">
        <v>2490.11</v>
      </c>
      <c r="AC18" s="3329">
        <v>1.03</v>
      </c>
      <c r="AD18" s="3329" t="s">
        <v>3569</v>
      </c>
    </row>
    <row r="19" spans="1:30" s="3329" customFormat="1">
      <c r="A19" s="3329" t="s">
        <v>3635</v>
      </c>
      <c r="B19" s="3329" t="s">
        <v>3559</v>
      </c>
      <c r="C19" s="3329" t="s">
        <v>3560</v>
      </c>
      <c r="D19" s="3329" t="s">
        <v>3561</v>
      </c>
      <c r="E19" s="3329" t="s">
        <v>3347</v>
      </c>
      <c r="F19" s="3329" t="s">
        <v>3635</v>
      </c>
      <c r="G19" s="3329" t="s">
        <v>3635</v>
      </c>
      <c r="H19" s="3329" t="s">
        <v>3562</v>
      </c>
      <c r="I19" s="3329" t="s">
        <v>3347</v>
      </c>
      <c r="J19" s="3329" t="s">
        <v>3636</v>
      </c>
      <c r="K19" s="3329">
        <v>3847.5</v>
      </c>
      <c r="L19" s="3329">
        <v>3847.5</v>
      </c>
      <c r="M19" s="3329" t="s">
        <v>3564</v>
      </c>
      <c r="N19" s="3329" t="s">
        <v>3347</v>
      </c>
      <c r="O19" s="3329" t="s">
        <v>3347</v>
      </c>
      <c r="P19" s="3329" t="s">
        <v>3347</v>
      </c>
      <c r="Q19" s="3329" t="s">
        <v>3347</v>
      </c>
      <c r="R19" s="3329" t="s">
        <v>3347</v>
      </c>
      <c r="S19" s="3329" t="s">
        <v>3637</v>
      </c>
      <c r="T19" s="3329" t="s">
        <v>3637</v>
      </c>
      <c r="U19" s="3329" t="s">
        <v>3638</v>
      </c>
      <c r="V19" s="3329" t="s">
        <v>3567</v>
      </c>
      <c r="W19" s="3329" t="s">
        <v>3573</v>
      </c>
      <c r="X19" s="3329">
        <v>935.32</v>
      </c>
      <c r="Y19" s="3329">
        <v>953</v>
      </c>
      <c r="Z19" s="3329">
        <v>2476.9299999999998</v>
      </c>
      <c r="AA19" s="3329">
        <v>165.13</v>
      </c>
      <c r="AB19" s="3329">
        <v>2476.92</v>
      </c>
      <c r="AC19" s="3329">
        <v>1.89</v>
      </c>
      <c r="AD19" s="3329" t="s">
        <v>3569</v>
      </c>
    </row>
    <row r="20" spans="1:30" s="3329" customFormat="1">
      <c r="A20" s="3329" t="s">
        <v>3639</v>
      </c>
      <c r="B20" s="3329" t="s">
        <v>3559</v>
      </c>
      <c r="C20" s="3329" t="s">
        <v>3560</v>
      </c>
      <c r="D20" s="3329" t="s">
        <v>3561</v>
      </c>
      <c r="E20" s="3329" t="s">
        <v>3347</v>
      </c>
      <c r="F20" s="3329" t="s">
        <v>3639</v>
      </c>
      <c r="G20" s="3329" t="s">
        <v>3639</v>
      </c>
      <c r="H20" s="3329" t="s">
        <v>3562</v>
      </c>
      <c r="I20" s="3329" t="s">
        <v>3347</v>
      </c>
      <c r="J20" s="3329" t="s">
        <v>3640</v>
      </c>
      <c r="K20" s="3329">
        <v>5805.89</v>
      </c>
      <c r="L20" s="3329">
        <v>5805.89</v>
      </c>
      <c r="M20" s="3329" t="s">
        <v>3564</v>
      </c>
      <c r="N20" s="3329" t="s">
        <v>3347</v>
      </c>
      <c r="O20" s="3329" t="s">
        <v>3347</v>
      </c>
      <c r="P20" s="3329" t="s">
        <v>3347</v>
      </c>
      <c r="Q20" s="3329" t="s">
        <v>3347</v>
      </c>
      <c r="R20" s="3329" t="s">
        <v>3347</v>
      </c>
      <c r="S20" s="3329" t="s">
        <v>3637</v>
      </c>
      <c r="T20" s="3329" t="s">
        <v>3637</v>
      </c>
      <c r="U20" s="3329" t="s">
        <v>3641</v>
      </c>
      <c r="V20" s="3329" t="s">
        <v>3567</v>
      </c>
      <c r="W20" s="3329" t="s">
        <v>3642</v>
      </c>
      <c r="X20" s="3329">
        <v>1160.17</v>
      </c>
      <c r="Y20" s="3329">
        <v>1168.8800000000001</v>
      </c>
      <c r="Z20" s="3329">
        <v>2013.26</v>
      </c>
      <c r="AA20" s="3329">
        <v>134.22</v>
      </c>
      <c r="AB20" s="3329">
        <v>2013.26</v>
      </c>
      <c r="AC20" s="3329">
        <v>0.75</v>
      </c>
      <c r="AD20" s="3329" t="s">
        <v>3569</v>
      </c>
    </row>
    <row r="21" spans="1:30" s="3329" customFormat="1">
      <c r="A21" s="3329" t="s">
        <v>3635</v>
      </c>
      <c r="B21" s="3329" t="s">
        <v>3559</v>
      </c>
      <c r="C21" s="3329" t="s">
        <v>3560</v>
      </c>
      <c r="D21" s="3329" t="s">
        <v>3561</v>
      </c>
      <c r="E21" s="3329" t="s">
        <v>3347</v>
      </c>
      <c r="F21" s="3329" t="s">
        <v>3635</v>
      </c>
      <c r="G21" s="3329" t="s">
        <v>3635</v>
      </c>
      <c r="H21" s="3329" t="s">
        <v>3562</v>
      </c>
      <c r="I21" s="3329" t="s">
        <v>3347</v>
      </c>
      <c r="J21" s="3329" t="s">
        <v>3643</v>
      </c>
      <c r="K21" s="3329">
        <v>1841.4</v>
      </c>
      <c r="L21" s="3329">
        <v>1841.4</v>
      </c>
      <c r="M21" s="3329" t="s">
        <v>3564</v>
      </c>
      <c r="N21" s="3329" t="s">
        <v>3347</v>
      </c>
      <c r="O21" s="3329" t="s">
        <v>3347</v>
      </c>
      <c r="P21" s="3329" t="s">
        <v>3347</v>
      </c>
      <c r="Q21" s="3329" t="s">
        <v>3347</v>
      </c>
      <c r="R21" s="3329" t="s">
        <v>3347</v>
      </c>
      <c r="S21" s="3329" t="s">
        <v>3637</v>
      </c>
      <c r="T21" s="3329" t="s">
        <v>3637</v>
      </c>
      <c r="U21" s="3329" t="s">
        <v>3644</v>
      </c>
      <c r="V21" s="3329" t="s">
        <v>3567</v>
      </c>
      <c r="W21" s="3329" t="s">
        <v>3573</v>
      </c>
      <c r="X21" s="3329">
        <v>447.39</v>
      </c>
      <c r="Y21" s="3329">
        <v>456</v>
      </c>
      <c r="Z21" s="3329">
        <v>2476.37</v>
      </c>
      <c r="AA21" s="3329">
        <v>165.09</v>
      </c>
      <c r="AB21" s="3329">
        <v>2476.38</v>
      </c>
      <c r="AC21" s="3329">
        <v>1.92</v>
      </c>
      <c r="AD21" s="3329" t="s">
        <v>3569</v>
      </c>
    </row>
    <row r="22" spans="1:30" s="3329" customFormat="1">
      <c r="A22" s="3329" t="s">
        <v>3645</v>
      </c>
      <c r="B22" s="3329" t="s">
        <v>3559</v>
      </c>
      <c r="C22" s="3329" t="s">
        <v>3560</v>
      </c>
      <c r="D22" s="3329" t="s">
        <v>3561</v>
      </c>
      <c r="E22" s="3329" t="s">
        <v>3347</v>
      </c>
      <c r="F22" s="3329" t="s">
        <v>3645</v>
      </c>
      <c r="G22" s="3329" t="s">
        <v>3645</v>
      </c>
      <c r="H22" s="3329" t="s">
        <v>3562</v>
      </c>
      <c r="I22" s="3329" t="s">
        <v>3347</v>
      </c>
      <c r="J22" s="3329" t="s">
        <v>3646</v>
      </c>
      <c r="K22" s="3329">
        <v>217.97</v>
      </c>
      <c r="L22" s="3329">
        <v>217.97</v>
      </c>
      <c r="M22" s="3329" t="s">
        <v>3586</v>
      </c>
      <c r="N22" s="3329" t="s">
        <v>3347</v>
      </c>
      <c r="O22" s="3329" t="s">
        <v>3347</v>
      </c>
      <c r="P22" s="3329" t="s">
        <v>3347</v>
      </c>
      <c r="Q22" s="3329" t="s">
        <v>3347</v>
      </c>
      <c r="R22" s="3329" t="s">
        <v>3347</v>
      </c>
      <c r="S22" s="3329" t="s">
        <v>3647</v>
      </c>
      <c r="T22" s="3329" t="s">
        <v>3647</v>
      </c>
      <c r="U22" s="3329" t="s">
        <v>3648</v>
      </c>
      <c r="V22" s="3329" t="s">
        <v>3567</v>
      </c>
      <c r="W22" s="3329" t="s">
        <v>3579</v>
      </c>
      <c r="X22" s="3329">
        <v>53.96</v>
      </c>
      <c r="Y22" s="3329">
        <v>55</v>
      </c>
      <c r="Z22" s="3329">
        <v>2523.2800000000002</v>
      </c>
      <c r="AA22" s="3329">
        <v>168.22</v>
      </c>
      <c r="AB22" s="3329">
        <v>2523.2800000000002</v>
      </c>
      <c r="AC22" s="3329">
        <v>1.93</v>
      </c>
      <c r="AD22" s="3329" t="s">
        <v>3569</v>
      </c>
    </row>
    <row r="23" spans="1:30" s="3329" customFormat="1">
      <c r="A23" s="3329" t="s">
        <v>3645</v>
      </c>
      <c r="B23" s="3329" t="s">
        <v>3559</v>
      </c>
      <c r="C23" s="3329" t="s">
        <v>3560</v>
      </c>
      <c r="D23" s="3329" t="s">
        <v>3561</v>
      </c>
      <c r="E23" s="3329" t="s">
        <v>3347</v>
      </c>
      <c r="F23" s="3329" t="s">
        <v>3645</v>
      </c>
      <c r="G23" s="3329" t="s">
        <v>3645</v>
      </c>
      <c r="H23" s="3329" t="s">
        <v>3562</v>
      </c>
      <c r="I23" s="3329" t="s">
        <v>3347</v>
      </c>
      <c r="J23" s="3329" t="s">
        <v>3649</v>
      </c>
      <c r="K23" s="3329">
        <v>1445.19</v>
      </c>
      <c r="L23" s="3329">
        <v>1445.19</v>
      </c>
      <c r="M23" s="3329" t="s">
        <v>3586</v>
      </c>
      <c r="N23" s="3329" t="s">
        <v>3347</v>
      </c>
      <c r="O23" s="3329" t="s">
        <v>3347</v>
      </c>
      <c r="P23" s="3329" t="s">
        <v>3347</v>
      </c>
      <c r="Q23" s="3329" t="s">
        <v>3347</v>
      </c>
      <c r="R23" s="3329" t="s">
        <v>3347</v>
      </c>
      <c r="S23" s="3329" t="s">
        <v>3647</v>
      </c>
      <c r="T23" s="3329" t="s">
        <v>3647</v>
      </c>
      <c r="U23" s="3329" t="s">
        <v>3650</v>
      </c>
      <c r="V23" s="3329" t="s">
        <v>3567</v>
      </c>
      <c r="W23" s="3329" t="s">
        <v>3579</v>
      </c>
      <c r="X23" s="3329">
        <v>354.8</v>
      </c>
      <c r="Y23" s="3329">
        <v>364</v>
      </c>
      <c r="Z23" s="3329">
        <v>2518.69</v>
      </c>
      <c r="AA23" s="3329">
        <v>167.91</v>
      </c>
      <c r="AB23" s="3329">
        <v>2518.69</v>
      </c>
      <c r="AC23" s="3329">
        <v>2.59</v>
      </c>
      <c r="AD23" s="3329" t="s">
        <v>3569</v>
      </c>
    </row>
    <row r="24" spans="1:30" s="3329" customFormat="1">
      <c r="A24" s="3329" t="s">
        <v>3651</v>
      </c>
      <c r="B24" s="3329" t="s">
        <v>3559</v>
      </c>
      <c r="C24" s="3329" t="s">
        <v>3560</v>
      </c>
      <c r="D24" s="3329" t="s">
        <v>3561</v>
      </c>
      <c r="E24" s="3329" t="s">
        <v>3347</v>
      </c>
      <c r="F24" s="3329" t="s">
        <v>3651</v>
      </c>
      <c r="G24" s="3329" t="s">
        <v>3651</v>
      </c>
      <c r="H24" s="3329" t="s">
        <v>3562</v>
      </c>
      <c r="I24" s="3329" t="s">
        <v>3347</v>
      </c>
      <c r="J24" s="3329" t="s">
        <v>3652</v>
      </c>
      <c r="K24" s="3329">
        <v>3005</v>
      </c>
      <c r="L24" s="3329">
        <v>1502.5</v>
      </c>
      <c r="M24" s="3329" t="s">
        <v>3653</v>
      </c>
      <c r="N24" s="3329" t="s">
        <v>3347</v>
      </c>
      <c r="O24" s="3329" t="s">
        <v>3347</v>
      </c>
      <c r="P24" s="3329" t="s">
        <v>3347</v>
      </c>
      <c r="Q24" s="3329" t="s">
        <v>3347</v>
      </c>
      <c r="R24" s="3329" t="s">
        <v>3347</v>
      </c>
      <c r="S24" s="3329" t="s">
        <v>3654</v>
      </c>
      <c r="T24" s="3329" t="s">
        <v>3654</v>
      </c>
      <c r="U24" s="3329" t="s">
        <v>3655</v>
      </c>
      <c r="V24" s="3329" t="s">
        <v>3567</v>
      </c>
      <c r="W24" s="3329" t="s">
        <v>3656</v>
      </c>
      <c r="X24" s="3329">
        <v>561.03</v>
      </c>
      <c r="Y24" s="3329">
        <v>575</v>
      </c>
      <c r="Z24" s="3329">
        <v>1913.47</v>
      </c>
      <c r="AA24" s="3329">
        <v>127.57</v>
      </c>
      <c r="AB24" s="3329">
        <v>3826.96</v>
      </c>
      <c r="AC24" s="3329">
        <v>2.4900000000000002</v>
      </c>
      <c r="AD24" s="3329" t="s">
        <v>3569</v>
      </c>
    </row>
    <row r="25" spans="1:30" s="3329" customFormat="1">
      <c r="A25" s="3329" t="s">
        <v>3657</v>
      </c>
      <c r="B25" s="3329" t="s">
        <v>3559</v>
      </c>
      <c r="C25" s="3329" t="s">
        <v>3560</v>
      </c>
      <c r="D25" s="3329" t="s">
        <v>3561</v>
      </c>
      <c r="E25" s="3329" t="s">
        <v>3347</v>
      </c>
      <c r="F25" s="3329" t="s">
        <v>3657</v>
      </c>
      <c r="G25" s="3329" t="s">
        <v>3657</v>
      </c>
      <c r="H25" s="3329" t="s">
        <v>3562</v>
      </c>
      <c r="I25" s="3329" t="s">
        <v>3347</v>
      </c>
      <c r="J25" s="3329" t="s">
        <v>3658</v>
      </c>
      <c r="K25" s="3329">
        <v>12755.01</v>
      </c>
      <c r="L25" s="3329">
        <v>10204.01</v>
      </c>
      <c r="M25" s="3329" t="s">
        <v>3659</v>
      </c>
      <c r="N25" s="3329" t="s">
        <v>3347</v>
      </c>
      <c r="O25" s="3329" t="s">
        <v>3347</v>
      </c>
      <c r="P25" s="3329" t="s">
        <v>3347</v>
      </c>
      <c r="Q25" s="3329" t="s">
        <v>3347</v>
      </c>
      <c r="R25" s="3329" t="s">
        <v>3347</v>
      </c>
      <c r="S25" s="3329" t="s">
        <v>3660</v>
      </c>
      <c r="T25" s="3329" t="s">
        <v>3660</v>
      </c>
      <c r="U25" s="3329" t="s">
        <v>3661</v>
      </c>
      <c r="V25" s="3329" t="s">
        <v>3567</v>
      </c>
      <c r="W25" s="3329" t="s">
        <v>3611</v>
      </c>
      <c r="X25" s="3329">
        <v>2012.48</v>
      </c>
      <c r="Y25" s="3329">
        <v>2105</v>
      </c>
      <c r="Z25" s="3329">
        <v>1650.33</v>
      </c>
      <c r="AA25" s="3329">
        <v>110.02</v>
      </c>
      <c r="AB25" s="3329">
        <v>2062.9</v>
      </c>
      <c r="AC25" s="3329">
        <v>4.5999999999999996</v>
      </c>
      <c r="AD25" s="3329" t="s">
        <v>3569</v>
      </c>
    </row>
    <row r="26" spans="1:30" s="3329" customFormat="1">
      <c r="A26" s="3329" t="s">
        <v>3662</v>
      </c>
      <c r="B26" s="3329" t="s">
        <v>3559</v>
      </c>
      <c r="C26" s="3329" t="s">
        <v>3560</v>
      </c>
      <c r="D26" s="3329" t="s">
        <v>3561</v>
      </c>
      <c r="E26" s="3329" t="s">
        <v>3347</v>
      </c>
      <c r="F26" s="3329" t="s">
        <v>3662</v>
      </c>
      <c r="G26" s="3329" t="s">
        <v>3662</v>
      </c>
      <c r="H26" s="3329" t="s">
        <v>3562</v>
      </c>
      <c r="I26" s="3329" t="s">
        <v>3347</v>
      </c>
      <c r="J26" s="3329" t="s">
        <v>3663</v>
      </c>
      <c r="K26" s="3329">
        <v>15333.3</v>
      </c>
      <c r="L26" s="3329">
        <v>15333.3</v>
      </c>
      <c r="M26" s="3329" t="s">
        <v>3586</v>
      </c>
      <c r="N26" s="3329" t="s">
        <v>3347</v>
      </c>
      <c r="O26" s="3329" t="s">
        <v>3347</v>
      </c>
      <c r="P26" s="3329" t="s">
        <v>3347</v>
      </c>
      <c r="Q26" s="3329" t="s">
        <v>3347</v>
      </c>
      <c r="R26" s="3329" t="s">
        <v>3347</v>
      </c>
      <c r="S26" s="3329" t="s">
        <v>3660</v>
      </c>
      <c r="T26" s="3329" t="s">
        <v>3660</v>
      </c>
      <c r="U26" s="3329" t="s">
        <v>3664</v>
      </c>
      <c r="V26" s="3329" t="s">
        <v>3567</v>
      </c>
      <c r="W26" s="3329" t="s">
        <v>3665</v>
      </c>
      <c r="X26" s="3329">
        <v>2541.5</v>
      </c>
      <c r="Y26" s="3329">
        <v>2543</v>
      </c>
      <c r="Z26" s="3329">
        <v>1658.48</v>
      </c>
      <c r="AA26" s="3329">
        <v>110.57</v>
      </c>
      <c r="AB26" s="3329">
        <v>1658.48</v>
      </c>
      <c r="AC26" s="3329">
        <v>0.06</v>
      </c>
      <c r="AD26" s="3329" t="s">
        <v>3569</v>
      </c>
    </row>
    <row r="27" spans="1:30" s="3329" customFormat="1">
      <c r="A27" s="3329" t="s">
        <v>3666</v>
      </c>
      <c r="B27" s="3329" t="s">
        <v>3559</v>
      </c>
      <c r="C27" s="3329" t="s">
        <v>3560</v>
      </c>
      <c r="D27" s="3329" t="s">
        <v>3561</v>
      </c>
      <c r="E27" s="3329" t="s">
        <v>3347</v>
      </c>
      <c r="F27" s="3329" t="s">
        <v>3666</v>
      </c>
      <c r="G27" s="3329" t="s">
        <v>3666</v>
      </c>
      <c r="H27" s="3329" t="s">
        <v>3562</v>
      </c>
      <c r="I27" s="3329" t="s">
        <v>3347</v>
      </c>
      <c r="J27" s="3329" t="s">
        <v>3667</v>
      </c>
      <c r="K27" s="3329">
        <v>15333.33</v>
      </c>
      <c r="L27" s="3329">
        <v>15333.33</v>
      </c>
      <c r="M27" s="3329" t="s">
        <v>3586</v>
      </c>
      <c r="N27" s="3329" t="s">
        <v>3347</v>
      </c>
      <c r="O27" s="3329" t="s">
        <v>3347</v>
      </c>
      <c r="P27" s="3329" t="s">
        <v>3347</v>
      </c>
      <c r="Q27" s="3329" t="s">
        <v>3347</v>
      </c>
      <c r="R27" s="3329" t="s">
        <v>3347</v>
      </c>
      <c r="S27" s="3329" t="s">
        <v>3660</v>
      </c>
      <c r="T27" s="3329" t="s">
        <v>3660</v>
      </c>
      <c r="U27" s="3329" t="s">
        <v>3668</v>
      </c>
      <c r="V27" s="3329" t="s">
        <v>3567</v>
      </c>
      <c r="W27" s="3329" t="s">
        <v>3669</v>
      </c>
      <c r="X27" s="3329">
        <v>2539.19</v>
      </c>
      <c r="Y27" s="3329">
        <v>3550</v>
      </c>
      <c r="Z27" s="3329">
        <v>2315.21</v>
      </c>
      <c r="AA27" s="3329">
        <v>154.35</v>
      </c>
      <c r="AB27" s="3329">
        <v>2315.21</v>
      </c>
      <c r="AC27" s="3329">
        <v>39.81</v>
      </c>
      <c r="AD27" s="3329" t="s">
        <v>3569</v>
      </c>
    </row>
    <row r="28" spans="1:30" s="3329" customFormat="1"/>
    <row r="29" spans="1:30" s="3329" customFormat="1"/>
    <row r="30" spans="1:30" s="3329" customFormat="1"/>
    <row r="31" spans="1:30" s="3329" customFormat="1"/>
    <row r="32" spans="1:30" s="3329" customFormat="1"/>
    <row r="33" s="3329" customFormat="1"/>
    <row r="34" s="3329" customFormat="1"/>
    <row r="35" s="3329" customFormat="1"/>
    <row r="36" s="3329" customFormat="1"/>
    <row r="37" s="3329" customFormat="1"/>
    <row r="38" s="3329" customFormat="1"/>
    <row r="39" s="3329" customFormat="1"/>
    <row r="40" s="3329" customFormat="1"/>
    <row r="41" s="3329" customFormat="1"/>
    <row r="42" s="3329" customFormat="1"/>
    <row r="43" s="3329" customFormat="1"/>
    <row r="44" s="3329" customFormat="1"/>
    <row r="45" s="3329" customFormat="1"/>
    <row r="46" s="3329" customFormat="1"/>
    <row r="47" s="3329" customFormat="1"/>
    <row r="48" s="3329" customFormat="1"/>
    <row r="49" s="3329" customFormat="1"/>
    <row r="50" s="3329" customFormat="1"/>
    <row r="51" s="3329" customFormat="1"/>
    <row r="52" s="3329" customFormat="1"/>
    <row r="53" s="3329" customFormat="1"/>
    <row r="54" s="3329" customFormat="1"/>
    <row r="55" s="3329" customFormat="1"/>
    <row r="56" s="3329" customFormat="1"/>
    <row r="57" s="3329" customFormat="1"/>
    <row r="58" s="3329" customFormat="1"/>
    <row r="59" s="3329" customFormat="1"/>
    <row r="60" s="3329" customFormat="1"/>
    <row r="61" s="3329" customFormat="1"/>
    <row r="62" s="3329" customFormat="1"/>
    <row r="63" s="3329" customFormat="1"/>
    <row r="64" s="3329" customFormat="1"/>
    <row r="65" s="3329" customFormat="1"/>
    <row r="66" s="3329" customFormat="1"/>
    <row r="67" s="3329" customFormat="1"/>
    <row r="68" s="3329" customFormat="1"/>
    <row r="69" s="3329" customFormat="1"/>
    <row r="70" s="3329" customFormat="1"/>
    <row r="71" s="3329" customFormat="1"/>
    <row r="72" s="3329" customFormat="1"/>
    <row r="73" s="3329" customFormat="1"/>
    <row r="74" s="3329" customFormat="1"/>
    <row r="75" s="3329" customFormat="1"/>
    <row r="76" s="3329" customFormat="1"/>
    <row r="77" s="3329" customFormat="1"/>
    <row r="78" s="3329" customFormat="1"/>
    <row r="79" s="3329" customFormat="1"/>
    <row r="80" s="3329" customFormat="1"/>
    <row r="81" spans="1:8" s="3329" customFormat="1"/>
    <row r="82" spans="1:8" s="3329" customFormat="1"/>
    <row r="83" spans="1:8" s="3329" customFormat="1"/>
    <row r="84" spans="1:8" s="3329" customFormat="1"/>
    <row r="85" spans="1:8" s="3329" customFormat="1"/>
    <row r="86" spans="1:8" s="3329" customFormat="1"/>
    <row r="87" spans="1:8" s="3329" customFormat="1"/>
    <row r="88" spans="1:8" s="3329" customFormat="1"/>
    <row r="89" spans="1:8" s="3329" customFormat="1"/>
    <row r="90" spans="1:8" s="3329" customFormat="1"/>
    <row r="91" spans="1:8" s="3329" customFormat="1"/>
    <row r="92" spans="1:8" s="3329" customFormat="1"/>
    <row r="93" spans="1:8" s="3329" customFormat="1" ht="14.25" thickBot="1"/>
    <row r="94" spans="1:8" s="3329" customFormat="1">
      <c r="A94" s="3332" t="s">
        <v>3670</v>
      </c>
      <c r="B94" s="3333" t="s">
        <v>3671</v>
      </c>
      <c r="C94" s="3333" t="s">
        <v>3672</v>
      </c>
      <c r="D94" s="3333" t="s">
        <v>3673</v>
      </c>
      <c r="E94" s="3333" t="s">
        <v>42</v>
      </c>
      <c r="F94" s="3334" t="s">
        <v>40</v>
      </c>
      <c r="H94" s="3335" t="s">
        <v>3674</v>
      </c>
    </row>
    <row r="95" spans="1:8" s="3329" customFormat="1">
      <c r="A95" s="3336">
        <v>2017</v>
      </c>
      <c r="B95" s="3337">
        <v>1</v>
      </c>
      <c r="C95" s="3337">
        <v>2366</v>
      </c>
      <c r="D95" s="3337">
        <v>3933</v>
      </c>
      <c r="E95" s="3337">
        <v>3685</v>
      </c>
      <c r="F95" s="3338">
        <v>491</v>
      </c>
      <c r="H95" s="3339">
        <f t="shared" ref="H95:H97" si="0">ROUND((D95-D96)/D96,3)</f>
        <v>1E-3</v>
      </c>
    </row>
    <row r="96" spans="1:8" s="3329" customFormat="1">
      <c r="A96" s="3340">
        <v>2016</v>
      </c>
      <c r="B96" s="3341">
        <v>4</v>
      </c>
      <c r="C96" s="3341">
        <v>2286</v>
      </c>
      <c r="D96" s="3341">
        <v>3931</v>
      </c>
      <c r="E96" s="3341">
        <v>3527</v>
      </c>
      <c r="F96" s="3342">
        <v>489</v>
      </c>
      <c r="H96" s="3339">
        <f t="shared" si="0"/>
        <v>6.0000000000000001E-3</v>
      </c>
    </row>
    <row r="97" spans="1:8">
      <c r="A97" s="3336">
        <v>2016</v>
      </c>
      <c r="B97" s="3337">
        <v>3</v>
      </c>
      <c r="C97" s="3337">
        <v>2208</v>
      </c>
      <c r="D97" s="3337">
        <v>3907</v>
      </c>
      <c r="E97" s="3337">
        <v>3378</v>
      </c>
      <c r="F97" s="3338">
        <v>485</v>
      </c>
      <c r="H97" s="3339">
        <f t="shared" si="0"/>
        <v>7.0000000000000001E-3</v>
      </c>
    </row>
    <row r="98" spans="1:8">
      <c r="A98" s="3340">
        <v>2016</v>
      </c>
      <c r="B98" s="3341">
        <v>2</v>
      </c>
      <c r="C98" s="3341">
        <v>2129</v>
      </c>
      <c r="D98" s="3341">
        <v>3879</v>
      </c>
      <c r="E98" s="3341">
        <v>3230</v>
      </c>
      <c r="F98" s="3342">
        <v>480</v>
      </c>
      <c r="H98" s="3339">
        <f>ROUND((D98-D99)/D99,3)</f>
        <v>5.0000000000000001E-3</v>
      </c>
    </row>
    <row r="99" spans="1:8" ht="15" customHeight="1" thickBot="1">
      <c r="A99" s="3344">
        <v>2016</v>
      </c>
      <c r="B99" s="3345">
        <v>1</v>
      </c>
      <c r="C99" s="3345">
        <v>2104</v>
      </c>
      <c r="D99" s="3345">
        <v>3859</v>
      </c>
      <c r="E99" s="3345">
        <v>3186</v>
      </c>
      <c r="F99" s="3346">
        <v>477</v>
      </c>
    </row>
    <row r="100" spans="1:8">
      <c r="H100" s="3347">
        <f>AVERAGE(H95:H98)</f>
        <v>4.7499999999999999E-3</v>
      </c>
    </row>
  </sheetData>
  <phoneticPr fontId="20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0" customWidth="1"/>
    <col min="2" max="2" width="37.25" style="1970" customWidth="1"/>
    <col min="3" max="3" width="11.375" style="1970" customWidth="1"/>
    <col min="4" max="4" width="31.75" style="1970" customWidth="1"/>
    <col min="5" max="5" width="0.5" style="1970" customWidth="1"/>
    <col min="6" max="7" width="13" style="1970" customWidth="1"/>
    <col min="8" max="16384" width="9" style="1970"/>
  </cols>
  <sheetData>
    <row r="1" spans="1:5" ht="18.75">
      <c r="A1" s="1968" t="s">
        <v>2395</v>
      </c>
      <c r="B1" s="1969"/>
      <c r="C1" s="1969"/>
      <c r="D1" s="1969"/>
      <c r="E1" s="1969"/>
    </row>
    <row r="2" spans="1:5" ht="78" customHeight="1">
      <c r="A2" s="355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50"/>
      <c r="C2" s="3550"/>
      <c r="D2" s="3550"/>
      <c r="E2" s="3550"/>
    </row>
    <row r="3" spans="1:5" ht="18.75">
      <c r="A3" s="3551" t="s">
        <v>2396</v>
      </c>
      <c r="B3" s="3551"/>
      <c r="C3" s="3551"/>
      <c r="D3" s="3551"/>
      <c r="E3" s="3551"/>
    </row>
    <row r="4" spans="1:5" ht="19.5" thickBot="1">
      <c r="A4" s="1981"/>
      <c r="B4" s="3549" t="s">
        <v>2401</v>
      </c>
      <c r="C4" s="3549"/>
      <c r="D4" s="3549"/>
      <c r="E4" s="1981"/>
    </row>
    <row r="5" spans="1:5" ht="16.5" thickTop="1">
      <c r="A5" s="1969"/>
      <c r="B5" s="3547" t="s">
        <v>2397</v>
      </c>
      <c r="C5" s="1971" t="s">
        <v>2402</v>
      </c>
      <c r="D5" s="1972">
        <f ca="1">结果表!H101</f>
        <v>544105</v>
      </c>
      <c r="E5" s="1969"/>
    </row>
    <row r="6" spans="1:5" ht="15.75">
      <c r="A6" s="1969"/>
      <c r="B6" s="3547"/>
      <c r="C6" s="1971" t="s">
        <v>3283</v>
      </c>
      <c r="D6" s="1972" t="str">
        <f ca="1">NUMBERSTRING(INT(D5*10000),2)&amp;"元整"</f>
        <v>伍拾肆亿肆仟壹佰零伍万元整</v>
      </c>
      <c r="E6" s="1969"/>
    </row>
    <row r="7" spans="1:5" ht="15.75">
      <c r="A7" s="1969"/>
      <c r="B7" s="3552"/>
      <c r="C7" s="1973" t="s">
        <v>2403</v>
      </c>
      <c r="D7" s="1974">
        <f ca="1">结果表!H102</f>
        <v>10996</v>
      </c>
      <c r="E7" s="1969"/>
    </row>
    <row r="8" spans="1:5" ht="15.75">
      <c r="A8" s="1969"/>
      <c r="B8" s="3553" t="str">
        <f>结果表!E103</f>
        <v>2.估价师知悉的除抵押担保权以外的法定优先受偿款</v>
      </c>
      <c r="C8" s="1975" t="s">
        <v>2404</v>
      </c>
      <c r="D8" s="1974">
        <f>结果表!H103</f>
        <v>21899</v>
      </c>
      <c r="E8" s="1969"/>
    </row>
    <row r="9" spans="1:5" ht="15.75">
      <c r="A9" s="1969"/>
      <c r="B9" s="3555"/>
      <c r="C9" s="1971" t="s">
        <v>3283</v>
      </c>
      <c r="D9" s="1972" t="str">
        <f>NUMBERSTRING(INT(D8*10000),2)&amp;"元整"</f>
        <v>贰亿壹仟捌佰玖拾玖万元整</v>
      </c>
      <c r="E9" s="1969"/>
    </row>
    <row r="10" spans="1:5" ht="15">
      <c r="A10" s="1969"/>
      <c r="B10" s="1976" t="s">
        <v>2398</v>
      </c>
      <c r="C10" s="1977" t="s">
        <v>2404</v>
      </c>
      <c r="D10" s="1978">
        <f>结果表!H104</f>
        <v>0</v>
      </c>
      <c r="E10" s="1969"/>
    </row>
    <row r="11" spans="1:5" ht="15">
      <c r="A11" s="1969"/>
      <c r="B11" s="1976" t="s">
        <v>2399</v>
      </c>
      <c r="C11" s="1977" t="s">
        <v>2404</v>
      </c>
      <c r="D11" s="1978">
        <f>结果表!H105</f>
        <v>0</v>
      </c>
      <c r="E11" s="1969"/>
    </row>
    <row r="12" spans="1:5" ht="15">
      <c r="A12" s="1969"/>
      <c r="B12" s="1976" t="s">
        <v>2400</v>
      </c>
      <c r="C12" s="1977" t="s">
        <v>2404</v>
      </c>
      <c r="D12" s="1978">
        <f>结果表!H106</f>
        <v>21899</v>
      </c>
      <c r="E12" s="1969"/>
    </row>
    <row r="13" spans="1:5" ht="15.75">
      <c r="A13" s="1969"/>
      <c r="B13" s="3546" t="str">
        <f>结果表!E107</f>
        <v>3.房地产抵押价值</v>
      </c>
      <c r="C13" s="1979" t="s">
        <v>2402</v>
      </c>
      <c r="D13" s="1982">
        <f ca="1">结果表!H107</f>
        <v>522206</v>
      </c>
      <c r="E13" s="1969"/>
    </row>
    <row r="14" spans="1:5" ht="15.75">
      <c r="A14" s="1969"/>
      <c r="B14" s="3547"/>
      <c r="C14" s="1971" t="s">
        <v>3283</v>
      </c>
      <c r="D14" s="1972" t="str">
        <f ca="1">NUMBERSTRING(INT(D13*10000),2)&amp;"元整"</f>
        <v>伍拾贰亿贰仟贰佰零陆万元整</v>
      </c>
      <c r="E14" s="1969"/>
    </row>
    <row r="15" spans="1:5" ht="15">
      <c r="A15" s="1969"/>
      <c r="B15" s="3552"/>
      <c r="C15" s="1973" t="s">
        <v>2403</v>
      </c>
      <c r="D15" s="2084">
        <f ca="1">结果表!H108</f>
        <v>10553</v>
      </c>
      <c r="E15" s="1969"/>
    </row>
    <row r="16" spans="1:5" ht="14.25">
      <c r="A16" s="1969"/>
      <c r="B16" s="3553" t="str">
        <f>结果表!E109</f>
        <v>——</v>
      </c>
      <c r="C16" s="1979" t="s">
        <v>2402</v>
      </c>
      <c r="D16" s="2085" t="str">
        <f>结果表!H109</f>
        <v>——</v>
      </c>
      <c r="E16" s="1969"/>
    </row>
    <row r="17" spans="1:5" ht="15.75">
      <c r="A17" s="1969"/>
      <c r="B17" s="3554"/>
      <c r="C17" s="1971" t="s">
        <v>3283</v>
      </c>
      <c r="D17" s="1972" t="e">
        <f>NUMBERSTRING(INT(D16*10000),2)&amp;"元整"</f>
        <v>#VALUE!</v>
      </c>
      <c r="E17" s="1969"/>
    </row>
    <row r="18" spans="1:5" ht="15">
      <c r="A18" s="1969"/>
      <c r="B18" s="3555"/>
      <c r="C18" s="1973" t="s">
        <v>2403</v>
      </c>
      <c r="D18" s="2084" t="str">
        <f>结果表!H110</f>
        <v>——</v>
      </c>
      <c r="E18" s="1969"/>
    </row>
    <row r="19" spans="1:5" ht="15.75">
      <c r="A19" s="1969"/>
      <c r="B19" s="3546" t="str">
        <f>结果表!E111</f>
        <v>——</v>
      </c>
      <c r="C19" s="1979" t="s">
        <v>2402</v>
      </c>
      <c r="D19" s="1974" t="str">
        <f>结果表!H111</f>
        <v>——</v>
      </c>
      <c r="E19" s="1969"/>
    </row>
    <row r="20" spans="1:5" ht="15.75">
      <c r="A20" s="1969"/>
      <c r="B20" s="3547"/>
      <c r="C20" s="1971" t="s">
        <v>3283</v>
      </c>
      <c r="D20" s="1972" t="e">
        <f>NUMBERSTRING(INT(D19*10000),2)&amp;"元整"</f>
        <v>#VALUE!</v>
      </c>
      <c r="E20" s="1969"/>
    </row>
    <row r="21" spans="1:5" ht="15.75" thickBot="1">
      <c r="A21" s="1969"/>
      <c r="B21" s="3548"/>
      <c r="C21" s="2086" t="s">
        <v>2403</v>
      </c>
      <c r="D21" s="2087" t="str">
        <f>结果表!H112</f>
        <v>——</v>
      </c>
      <c r="E21" s="1969"/>
    </row>
    <row r="22" spans="1:5" ht="14.25" thickTop="1">
      <c r="A22" s="1969"/>
      <c r="B22" s="1980" t="s">
        <v>2429</v>
      </c>
      <c r="C22" s="1969"/>
      <c r="D22" s="1969"/>
      <c r="E22" s="1969"/>
    </row>
    <row r="23" spans="1:5">
      <c r="A23" s="1969"/>
      <c r="B23" s="1969"/>
      <c r="C23" s="1969"/>
      <c r="D23" s="1969"/>
      <c r="E23" s="1969"/>
    </row>
    <row r="24" spans="1:5" ht="18.75">
      <c r="A24" s="2000"/>
      <c r="B24" s="2001" t="s">
        <v>2411</v>
      </c>
      <c r="C24" s="2000"/>
      <c r="D24" s="2000"/>
      <c r="E24" s="2000"/>
    </row>
    <row r="25" spans="1:5">
      <c r="A25" s="2000"/>
      <c r="B25" s="2000"/>
      <c r="C25" s="2000"/>
      <c r="D25" s="2000"/>
      <c r="E25" s="2000"/>
    </row>
    <row r="26" spans="1:5">
      <c r="A26" s="2000"/>
      <c r="B26" s="2000"/>
      <c r="C26" s="2000"/>
      <c r="D26" s="2000"/>
      <c r="E26" s="2000"/>
    </row>
    <row r="27" spans="1:5">
      <c r="A27" s="2000"/>
      <c r="B27" s="2000"/>
      <c r="C27" s="2000"/>
      <c r="D27" s="2000"/>
      <c r="E27" s="2000"/>
    </row>
    <row r="28" spans="1:5">
      <c r="A28" s="2000"/>
      <c r="B28" s="2000"/>
      <c r="C28" s="2000"/>
      <c r="D28" s="2000"/>
      <c r="E28" s="2000"/>
    </row>
    <row r="29" spans="1:5">
      <c r="A29" s="2000"/>
      <c r="B29" s="2000"/>
      <c r="C29" s="2000"/>
      <c r="D29" s="2000"/>
      <c r="E29" s="2000"/>
    </row>
    <row r="30" spans="1:5">
      <c r="A30" s="2000"/>
      <c r="B30" s="2000"/>
      <c r="C30" s="2000"/>
      <c r="D30" s="2000"/>
      <c r="E30" s="2000"/>
    </row>
    <row r="31" spans="1:5">
      <c r="A31" s="2000"/>
      <c r="B31" s="2000"/>
      <c r="C31" s="2000"/>
      <c r="D31" s="2000"/>
      <c r="E31" s="2000"/>
    </row>
    <row r="32" spans="1:5">
      <c r="A32" s="2000"/>
      <c r="B32" s="2000"/>
      <c r="C32" s="2000"/>
      <c r="D32" s="2000"/>
      <c r="E32" s="2000"/>
    </row>
    <row r="33" spans="1:5">
      <c r="A33" s="2000"/>
      <c r="B33" s="2000"/>
      <c r="C33" s="2000"/>
      <c r="D33" s="2000"/>
      <c r="E33" s="2000"/>
    </row>
    <row r="34" spans="1:5">
      <c r="A34" s="2000"/>
      <c r="B34" s="2000"/>
      <c r="C34" s="2000"/>
      <c r="D34" s="2000"/>
      <c r="E34" s="2000"/>
    </row>
    <row r="35" spans="1:5">
      <c r="A35" s="2000"/>
      <c r="B35" s="2000"/>
      <c r="C35" s="2000"/>
      <c r="D35" s="2000"/>
      <c r="E35" s="2000"/>
    </row>
    <row r="36" spans="1:5">
      <c r="A36" s="2000"/>
      <c r="B36" s="2000"/>
      <c r="C36" s="2000"/>
      <c r="D36" s="2000"/>
      <c r="E36" s="2000"/>
    </row>
    <row r="37" spans="1:5">
      <c r="A37" s="2000"/>
      <c r="B37" s="2000"/>
      <c r="C37" s="2000"/>
      <c r="D37" s="2000"/>
      <c r="E37" s="2000"/>
    </row>
    <row r="38" spans="1:5">
      <c r="A38" s="2000"/>
      <c r="B38" s="2000"/>
      <c r="C38" s="2000"/>
      <c r="D38" s="2000"/>
      <c r="E38" s="2000"/>
    </row>
    <row r="39" spans="1:5">
      <c r="A39" s="2000"/>
      <c r="B39" s="2000"/>
      <c r="C39" s="2000"/>
      <c r="D39" s="2000"/>
      <c r="E39" s="2000"/>
    </row>
    <row r="40" spans="1:5">
      <c r="A40" s="2000"/>
      <c r="B40" s="2000"/>
      <c r="C40" s="2000"/>
      <c r="D40" s="2000"/>
      <c r="E40" s="2000"/>
    </row>
    <row r="41" spans="1:5">
      <c r="A41" s="2000"/>
      <c r="B41" s="2000"/>
      <c r="C41" s="2000"/>
      <c r="D41" s="2000"/>
      <c r="E41" s="2000"/>
    </row>
    <row r="42" spans="1:5">
      <c r="A42" s="2000"/>
      <c r="B42" s="2000"/>
      <c r="C42" s="2000"/>
      <c r="D42" s="2000"/>
      <c r="E42" s="20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A11" workbookViewId="0">
      <selection activeCell="H32" sqref="H32"/>
    </sheetView>
  </sheetViews>
  <sheetFormatPr defaultColWidth="9" defaultRowHeight="14.25"/>
  <cols>
    <col min="1" max="2" width="3.5" style="3361" customWidth="1"/>
    <col min="3" max="3" width="19.5" style="3361" customWidth="1"/>
    <col min="4" max="4" width="23.875" style="3361" customWidth="1"/>
    <col min="5" max="5" width="11.625" style="3361" hidden="1" customWidth="1"/>
    <col min="6" max="6" width="17.25" style="3362" bestFit="1" customWidth="1"/>
    <col min="7" max="7" width="13.875" style="3361" bestFit="1" customWidth="1"/>
    <col min="8" max="8" width="12.875" style="3361" customWidth="1"/>
    <col min="9" max="9" width="12.375" style="3349" customWidth="1"/>
    <col min="10" max="10" width="18" style="3350" customWidth="1"/>
    <col min="11" max="11" width="13.625" style="3350" customWidth="1"/>
    <col min="12" max="12" width="11.625" style="3351" customWidth="1"/>
    <col min="13" max="16384" width="9" style="3352"/>
  </cols>
  <sheetData>
    <row r="1" spans="1:13" ht="32.1" customHeight="1">
      <c r="A1" s="3921" t="s">
        <v>3695</v>
      </c>
      <c r="B1" s="3921"/>
      <c r="C1" s="3921"/>
      <c r="D1" s="3921"/>
      <c r="E1" s="3921"/>
      <c r="F1" s="3921"/>
      <c r="G1" s="3921"/>
      <c r="H1" s="3921"/>
    </row>
    <row r="2" spans="1:13">
      <c r="A2" s="3922" t="s">
        <v>382</v>
      </c>
      <c r="B2" s="3922" t="s">
        <v>3696</v>
      </c>
      <c r="C2" s="3919" t="s">
        <v>3697</v>
      </c>
      <c r="D2" s="3919" t="s">
        <v>3698</v>
      </c>
      <c r="E2" s="3919" t="s">
        <v>3692</v>
      </c>
      <c r="F2" s="3919"/>
      <c r="G2" s="3923" t="s">
        <v>3699</v>
      </c>
      <c r="H2" s="3919" t="s">
        <v>3700</v>
      </c>
      <c r="I2" s="3925" t="s">
        <v>3701</v>
      </c>
      <c r="J2" s="3926" t="s">
        <v>3702</v>
      </c>
      <c r="K2" s="3926" t="s">
        <v>3703</v>
      </c>
      <c r="L2" s="3927" t="s">
        <v>3704</v>
      </c>
      <c r="M2" s="3920"/>
    </row>
    <row r="3" spans="1:13">
      <c r="A3" s="3922"/>
      <c r="B3" s="3922"/>
      <c r="C3" s="3919"/>
      <c r="D3" s="3919"/>
      <c r="E3" s="3353" t="s">
        <v>3705</v>
      </c>
      <c r="F3" s="3353" t="s">
        <v>3706</v>
      </c>
      <c r="G3" s="3924"/>
      <c r="H3" s="3919"/>
      <c r="I3" s="3925"/>
      <c r="J3" s="3926"/>
      <c r="K3" s="3926"/>
      <c r="L3" s="3927"/>
      <c r="M3" s="3920"/>
    </row>
    <row r="4" spans="1:13" ht="22.5" customHeight="1">
      <c r="A4" s="3354">
        <v>1</v>
      </c>
      <c r="B4" s="3354">
        <v>1</v>
      </c>
      <c r="C4" s="3354" t="s">
        <v>3707</v>
      </c>
      <c r="D4" s="3354" t="s">
        <v>3708</v>
      </c>
      <c r="E4" s="3355">
        <v>73.426500000000004</v>
      </c>
      <c r="F4" s="3355">
        <v>48951</v>
      </c>
      <c r="G4" s="3354" t="s">
        <v>3709</v>
      </c>
      <c r="H4" s="3356">
        <v>48633</v>
      </c>
      <c r="I4" s="3357">
        <v>38093</v>
      </c>
      <c r="J4" s="3358" t="s">
        <v>3710</v>
      </c>
      <c r="K4" s="3359" t="s">
        <v>3711</v>
      </c>
      <c r="L4" s="3543" t="s">
        <v>3712</v>
      </c>
      <c r="M4" s="3544"/>
    </row>
    <row r="5" spans="1:13" ht="22.5" customHeight="1">
      <c r="A5" s="3354">
        <v>2</v>
      </c>
      <c r="B5" s="3354">
        <v>2</v>
      </c>
      <c r="C5" s="3354" t="s">
        <v>3713</v>
      </c>
      <c r="D5" s="3354" t="s">
        <v>3714</v>
      </c>
      <c r="E5" s="3355">
        <v>52.415999999999997</v>
      </c>
      <c r="F5" s="3355">
        <v>34944</v>
      </c>
      <c r="G5" s="3354" t="s">
        <v>3709</v>
      </c>
      <c r="H5" s="3356">
        <v>48633</v>
      </c>
      <c r="I5" s="3357">
        <v>52703</v>
      </c>
      <c r="J5" s="3358" t="s">
        <v>3710</v>
      </c>
      <c r="K5" s="3359" t="s">
        <v>3715</v>
      </c>
      <c r="L5" s="3543" t="s">
        <v>3712</v>
      </c>
      <c r="M5" s="3544"/>
    </row>
    <row r="6" spans="1:13" ht="22.5" customHeight="1">
      <c r="A6" s="3354">
        <v>3</v>
      </c>
      <c r="B6" s="3354">
        <v>3</v>
      </c>
      <c r="C6" s="3354" t="s">
        <v>3716</v>
      </c>
      <c r="D6" s="3354" t="s">
        <v>3717</v>
      </c>
      <c r="E6" s="3355">
        <v>43.060499999999998</v>
      </c>
      <c r="F6" s="3355">
        <v>28707</v>
      </c>
      <c r="G6" s="3354" t="s">
        <v>3709</v>
      </c>
      <c r="H6" s="3356">
        <v>48633</v>
      </c>
      <c r="I6" s="3357">
        <v>38055</v>
      </c>
      <c r="J6" s="3358" t="s">
        <v>3710</v>
      </c>
      <c r="K6" s="3359" t="s">
        <v>3718</v>
      </c>
      <c r="L6" s="3543" t="s">
        <v>3712</v>
      </c>
      <c r="M6" s="3544"/>
    </row>
    <row r="7" spans="1:13" ht="22.5" customHeight="1">
      <c r="A7" s="3354">
        <v>4</v>
      </c>
      <c r="B7" s="3354">
        <v>4</v>
      </c>
      <c r="C7" s="3354" t="s">
        <v>3719</v>
      </c>
      <c r="D7" s="3354" t="s">
        <v>3720</v>
      </c>
      <c r="E7" s="3355">
        <v>65.0745</v>
      </c>
      <c r="F7" s="3360">
        <v>43383</v>
      </c>
      <c r="G7" s="3354" t="s">
        <v>3709</v>
      </c>
      <c r="H7" s="3356">
        <v>48633</v>
      </c>
      <c r="I7" s="3357">
        <v>38055</v>
      </c>
      <c r="J7" s="3358" t="s">
        <v>3710</v>
      </c>
      <c r="K7" s="3359" t="s">
        <v>3721</v>
      </c>
      <c r="L7" s="3543" t="s">
        <v>3712</v>
      </c>
      <c r="M7" s="3544"/>
    </row>
    <row r="8" spans="1:13" ht="22.5" customHeight="1">
      <c r="A8" s="3354">
        <v>5</v>
      </c>
      <c r="B8" s="3354">
        <v>5</v>
      </c>
      <c r="C8" s="3354" t="s">
        <v>3722</v>
      </c>
      <c r="D8" s="3354" t="s">
        <v>3723</v>
      </c>
      <c r="E8" s="3355">
        <v>91.361999999999995</v>
      </c>
      <c r="F8" s="3355">
        <v>60908</v>
      </c>
      <c r="G8" s="3354" t="s">
        <v>3709</v>
      </c>
      <c r="H8" s="3356">
        <v>48633</v>
      </c>
      <c r="I8" s="3357">
        <v>38093</v>
      </c>
      <c r="J8" s="3358" t="s">
        <v>3710</v>
      </c>
      <c r="K8" s="3359" t="s">
        <v>3724</v>
      </c>
      <c r="L8" s="3543" t="s">
        <v>3712</v>
      </c>
      <c r="M8" s="3544"/>
    </row>
    <row r="9" spans="1:13" ht="22.5" customHeight="1">
      <c r="A9" s="3354">
        <v>6</v>
      </c>
      <c r="B9" s="3354">
        <v>6</v>
      </c>
      <c r="C9" s="3354" t="s">
        <v>3725</v>
      </c>
      <c r="D9" s="3354" t="s">
        <v>3726</v>
      </c>
      <c r="E9" s="3355">
        <v>77.867999999999995</v>
      </c>
      <c r="F9" s="3355">
        <v>51912</v>
      </c>
      <c r="G9" s="3354" t="s">
        <v>3709</v>
      </c>
      <c r="H9" s="3356">
        <v>48633</v>
      </c>
      <c r="I9" s="3357">
        <v>38093</v>
      </c>
      <c r="J9" s="3358" t="s">
        <v>3710</v>
      </c>
      <c r="K9" s="3359" t="s">
        <v>3727</v>
      </c>
      <c r="L9" s="3543" t="s">
        <v>3712</v>
      </c>
      <c r="M9" s="3544"/>
    </row>
    <row r="10" spans="1:13" ht="22.5" customHeight="1">
      <c r="A10" s="3354">
        <v>7</v>
      </c>
      <c r="B10" s="3354">
        <v>7</v>
      </c>
      <c r="C10" s="3354" t="s">
        <v>3728</v>
      </c>
      <c r="D10" s="3354" t="s">
        <v>3729</v>
      </c>
      <c r="E10" s="3355">
        <v>13.458</v>
      </c>
      <c r="F10" s="3355">
        <v>8972</v>
      </c>
      <c r="G10" s="3354" t="s">
        <v>3709</v>
      </c>
      <c r="H10" s="3356">
        <v>48633</v>
      </c>
      <c r="I10" s="3357">
        <v>38093</v>
      </c>
      <c r="J10" s="3358" t="s">
        <v>3710</v>
      </c>
      <c r="K10" s="3359" t="s">
        <v>3730</v>
      </c>
      <c r="L10" s="3543" t="s">
        <v>3712</v>
      </c>
      <c r="M10" s="3544"/>
    </row>
    <row r="11" spans="1:13" ht="22.5" customHeight="1">
      <c r="A11" s="3354">
        <v>8</v>
      </c>
      <c r="B11" s="3354">
        <v>8</v>
      </c>
      <c r="C11" s="3354" t="s">
        <v>3731</v>
      </c>
      <c r="D11" s="3354" t="s">
        <v>3732</v>
      </c>
      <c r="E11" s="3355">
        <v>50.830500000000001</v>
      </c>
      <c r="F11" s="3355">
        <v>33887</v>
      </c>
      <c r="G11" s="3354" t="s">
        <v>3709</v>
      </c>
      <c r="H11" s="3356">
        <v>48633</v>
      </c>
      <c r="I11" s="3357">
        <v>38093</v>
      </c>
      <c r="J11" s="3358" t="s">
        <v>3710</v>
      </c>
      <c r="K11" s="3359" t="s">
        <v>3733</v>
      </c>
      <c r="L11" s="3543" t="s">
        <v>3712</v>
      </c>
      <c r="M11" s="3544"/>
    </row>
    <row r="12" spans="1:13" ht="22.5" customHeight="1">
      <c r="A12" s="3354">
        <v>9</v>
      </c>
      <c r="B12" s="3354">
        <v>10</v>
      </c>
      <c r="C12" s="3354" t="s">
        <v>3734</v>
      </c>
      <c r="D12" s="3354" t="s">
        <v>3735</v>
      </c>
      <c r="E12" s="3355">
        <v>35.017499999999998</v>
      </c>
      <c r="F12" s="3355">
        <v>23345</v>
      </c>
      <c r="G12" s="3354" t="s">
        <v>40</v>
      </c>
      <c r="H12" s="3356">
        <v>52233</v>
      </c>
      <c r="I12" s="3357">
        <v>38093</v>
      </c>
      <c r="J12" s="3358" t="s">
        <v>3710</v>
      </c>
      <c r="K12" s="3359" t="s">
        <v>3736</v>
      </c>
      <c r="L12" s="3543" t="s">
        <v>3712</v>
      </c>
      <c r="M12" s="3544"/>
    </row>
    <row r="13" spans="1:13" ht="22.5" customHeight="1">
      <c r="A13" s="3354">
        <v>10</v>
      </c>
      <c r="B13" s="3354">
        <v>12</v>
      </c>
      <c r="C13" s="3354" t="s">
        <v>3737</v>
      </c>
      <c r="D13" s="3354" t="s">
        <v>3738</v>
      </c>
      <c r="E13" s="3355">
        <v>62.728499999999997</v>
      </c>
      <c r="F13" s="3355">
        <v>41819</v>
      </c>
      <c r="G13" s="3354" t="s">
        <v>3709</v>
      </c>
      <c r="H13" s="3356">
        <v>52775</v>
      </c>
      <c r="I13" s="3357">
        <v>38093</v>
      </c>
      <c r="J13" s="3358" t="s">
        <v>3710</v>
      </c>
      <c r="K13" s="3359" t="s">
        <v>3739</v>
      </c>
      <c r="L13" s="3543" t="s">
        <v>3712</v>
      </c>
      <c r="M13" s="3544"/>
    </row>
    <row r="14" spans="1:13" ht="22.5" customHeight="1">
      <c r="A14" s="3354">
        <v>11</v>
      </c>
      <c r="B14" s="3354">
        <v>13</v>
      </c>
      <c r="C14" s="3354" t="s">
        <v>3740</v>
      </c>
      <c r="D14" s="3354" t="s">
        <v>3741</v>
      </c>
      <c r="E14" s="3355">
        <v>7.8194999999999997</v>
      </c>
      <c r="F14" s="3355">
        <v>5213</v>
      </c>
      <c r="G14" s="3354" t="s">
        <v>3709</v>
      </c>
      <c r="H14" s="3356">
        <v>52775</v>
      </c>
      <c r="I14" s="3357">
        <v>38093</v>
      </c>
      <c r="J14" s="3358" t="s">
        <v>3710</v>
      </c>
      <c r="K14" s="3359" t="s">
        <v>3742</v>
      </c>
      <c r="L14" s="3543" t="s">
        <v>3712</v>
      </c>
      <c r="M14" s="3544"/>
    </row>
    <row r="15" spans="1:13" ht="22.5" customHeight="1">
      <c r="A15" s="3354">
        <v>12</v>
      </c>
      <c r="B15" s="3354">
        <v>17</v>
      </c>
      <c r="C15" s="3354" t="s">
        <v>3743</v>
      </c>
      <c r="D15" s="3354" t="s">
        <v>3744</v>
      </c>
      <c r="E15" s="3355">
        <v>59.137500000000003</v>
      </c>
      <c r="F15" s="3355">
        <v>39425</v>
      </c>
      <c r="G15" s="3354" t="s">
        <v>3709</v>
      </c>
      <c r="H15" s="3356">
        <v>48633</v>
      </c>
      <c r="I15" s="3357">
        <v>38055</v>
      </c>
      <c r="J15" s="3358" t="s">
        <v>3710</v>
      </c>
      <c r="K15" s="3359" t="s">
        <v>3745</v>
      </c>
      <c r="L15" s="3543" t="s">
        <v>3712</v>
      </c>
      <c r="M15" s="3544"/>
    </row>
    <row r="16" spans="1:13" ht="22.5" customHeight="1">
      <c r="A16" s="3354">
        <v>13</v>
      </c>
      <c r="B16" s="3354">
        <v>18</v>
      </c>
      <c r="C16" s="3354" t="s">
        <v>3746</v>
      </c>
      <c r="D16" s="3354" t="s">
        <v>3747</v>
      </c>
      <c r="E16" s="3355">
        <v>25.429500000000001</v>
      </c>
      <c r="F16" s="3355">
        <v>16953</v>
      </c>
      <c r="G16" s="3354" t="s">
        <v>3709</v>
      </c>
      <c r="H16" s="3356">
        <v>48633</v>
      </c>
      <c r="I16" s="3357">
        <v>38093</v>
      </c>
      <c r="J16" s="3358" t="s">
        <v>3710</v>
      </c>
      <c r="K16" s="3359" t="s">
        <v>3748</v>
      </c>
      <c r="L16" s="3543" t="s">
        <v>3712</v>
      </c>
      <c r="M16" s="3544"/>
    </row>
    <row r="17" spans="1:13" ht="22.5" customHeight="1">
      <c r="A17" s="3354">
        <v>14</v>
      </c>
      <c r="B17" s="3354">
        <v>19</v>
      </c>
      <c r="C17" s="3354" t="s">
        <v>3749</v>
      </c>
      <c r="D17" s="3354" t="s">
        <v>3750</v>
      </c>
      <c r="E17" s="3355">
        <v>73.645499999999998</v>
      </c>
      <c r="F17" s="3355">
        <v>49097</v>
      </c>
      <c r="G17" s="3354" t="s">
        <v>3709</v>
      </c>
      <c r="H17" s="3356">
        <v>48633</v>
      </c>
      <c r="I17" s="3357">
        <v>52703</v>
      </c>
      <c r="J17" s="3358" t="s">
        <v>3710</v>
      </c>
      <c r="K17" s="3359" t="s">
        <v>3745</v>
      </c>
      <c r="L17" s="3543" t="s">
        <v>3712</v>
      </c>
      <c r="M17" s="3544"/>
    </row>
    <row r="18" spans="1:13" ht="22.5" customHeight="1">
      <c r="A18" s="3354">
        <v>15</v>
      </c>
      <c r="B18" s="3354">
        <v>20</v>
      </c>
      <c r="C18" s="3354" t="s">
        <v>3751</v>
      </c>
      <c r="D18" s="3354" t="s">
        <v>3752</v>
      </c>
      <c r="E18" s="3355">
        <v>42.069000000000003</v>
      </c>
      <c r="F18" s="3355">
        <v>28046</v>
      </c>
      <c r="G18" s="3354" t="s">
        <v>3709</v>
      </c>
      <c r="H18" s="3356">
        <v>48633</v>
      </c>
      <c r="I18" s="3357">
        <v>38093</v>
      </c>
      <c r="J18" s="3358" t="s">
        <v>3710</v>
      </c>
      <c r="K18" s="3359" t="s">
        <v>3753</v>
      </c>
      <c r="L18" s="3543" t="s">
        <v>3712</v>
      </c>
      <c r="M18" s="3544"/>
    </row>
    <row r="19" spans="1:13" ht="22.5" customHeight="1">
      <c r="A19" s="3354">
        <v>16</v>
      </c>
      <c r="B19" s="3354">
        <v>21</v>
      </c>
      <c r="C19" s="3354" t="s">
        <v>3754</v>
      </c>
      <c r="D19" s="3354" t="s">
        <v>3755</v>
      </c>
      <c r="E19" s="3355">
        <v>45.731999999999999</v>
      </c>
      <c r="F19" s="3355">
        <v>30488</v>
      </c>
      <c r="G19" s="3354" t="s">
        <v>3709</v>
      </c>
      <c r="H19" s="3356">
        <v>48633</v>
      </c>
      <c r="I19" s="3357">
        <v>38093</v>
      </c>
      <c r="J19" s="3358" t="s">
        <v>3710</v>
      </c>
      <c r="K19" s="3359" t="s">
        <v>3756</v>
      </c>
      <c r="L19" s="3543" t="s">
        <v>3712</v>
      </c>
      <c r="M19" s="3544"/>
    </row>
    <row r="20" spans="1:13" ht="22.5" customHeight="1">
      <c r="A20" s="3354">
        <v>17</v>
      </c>
      <c r="B20" s="3354">
        <v>22</v>
      </c>
      <c r="C20" s="3354" t="s">
        <v>3757</v>
      </c>
      <c r="D20" s="3354" t="s">
        <v>3758</v>
      </c>
      <c r="E20" s="3355">
        <v>50.523000000000003</v>
      </c>
      <c r="F20" s="3355">
        <v>33682</v>
      </c>
      <c r="G20" s="3354" t="s">
        <v>3709</v>
      </c>
      <c r="H20" s="3356">
        <v>48633</v>
      </c>
      <c r="I20" s="3357">
        <v>38093</v>
      </c>
      <c r="J20" s="3358" t="s">
        <v>3710</v>
      </c>
      <c r="K20" s="3359" t="s">
        <v>3759</v>
      </c>
      <c r="L20" s="3543" t="s">
        <v>3712</v>
      </c>
      <c r="M20" s="3544"/>
    </row>
    <row r="21" spans="1:13" ht="15" customHeight="1">
      <c r="A21" s="3354">
        <v>18</v>
      </c>
      <c r="B21" s="3354">
        <v>24</v>
      </c>
      <c r="C21" s="3354" t="s">
        <v>4075</v>
      </c>
      <c r="D21" s="3354" t="s">
        <v>4076</v>
      </c>
      <c r="E21" s="3355">
        <v>17.922000000000001</v>
      </c>
      <c r="F21" s="3355">
        <v>11948</v>
      </c>
      <c r="G21" s="3354" t="s">
        <v>3709</v>
      </c>
      <c r="H21" s="3356">
        <v>48869</v>
      </c>
      <c r="I21" s="3357">
        <v>38093</v>
      </c>
      <c r="J21" s="3358" t="s">
        <v>4077</v>
      </c>
      <c r="K21" s="3359" t="s">
        <v>4078</v>
      </c>
      <c r="L21" s="3542" t="s">
        <v>4079</v>
      </c>
    </row>
    <row r="22" spans="1:13" ht="22.5" customHeight="1">
      <c r="A22" s="3354">
        <v>19</v>
      </c>
      <c r="B22" s="3363">
        <v>27</v>
      </c>
      <c r="C22" s="3363" t="s">
        <v>3760</v>
      </c>
      <c r="D22" s="3363" t="s">
        <v>3761</v>
      </c>
      <c r="E22" s="3364">
        <v>20.950500000000002</v>
      </c>
      <c r="F22" s="3364">
        <v>13967</v>
      </c>
      <c r="G22" s="3354" t="s">
        <v>3709</v>
      </c>
      <c r="H22" s="3356">
        <v>52233</v>
      </c>
      <c r="I22" s="3357">
        <v>38093</v>
      </c>
      <c r="J22" s="3358" t="s">
        <v>3710</v>
      </c>
      <c r="K22" s="3359" t="s">
        <v>3762</v>
      </c>
      <c r="L22" s="3543" t="s">
        <v>3712</v>
      </c>
      <c r="M22" s="3544"/>
    </row>
    <row r="23" spans="1:13" ht="22.5" customHeight="1">
      <c r="A23" s="3354">
        <v>20</v>
      </c>
      <c r="B23" s="3354">
        <v>28</v>
      </c>
      <c r="C23" s="3354" t="s">
        <v>3763</v>
      </c>
      <c r="D23" s="3354" t="s">
        <v>3764</v>
      </c>
      <c r="E23" s="3355">
        <v>20.980499999999999</v>
      </c>
      <c r="F23" s="3355">
        <v>13987</v>
      </c>
      <c r="G23" s="3354" t="s">
        <v>3709</v>
      </c>
      <c r="H23" s="3356">
        <v>52233</v>
      </c>
      <c r="I23" s="3357">
        <v>38093</v>
      </c>
      <c r="J23" s="3358" t="s">
        <v>3710</v>
      </c>
      <c r="K23" s="3359" t="s">
        <v>3765</v>
      </c>
      <c r="L23" s="3543" t="s">
        <v>3712</v>
      </c>
      <c r="M23" s="3544"/>
    </row>
    <row r="24" spans="1:13" s="3373" customFormat="1" ht="27" customHeight="1">
      <c r="A24" s="3365">
        <v>21</v>
      </c>
      <c r="B24" s="3365"/>
      <c r="C24" s="3366" t="s">
        <v>3766</v>
      </c>
      <c r="D24" s="3366" t="s">
        <v>3767</v>
      </c>
      <c r="E24" s="3367">
        <f>F24/666.67</f>
        <v>70.424647876760616</v>
      </c>
      <c r="F24" s="3367">
        <v>46950</v>
      </c>
      <c r="G24" s="3365" t="s">
        <v>3768</v>
      </c>
      <c r="H24" s="3368">
        <v>56730</v>
      </c>
      <c r="I24" s="3369">
        <v>38574</v>
      </c>
      <c r="J24" s="3370" t="s">
        <v>3769</v>
      </c>
      <c r="K24" s="3371" t="s">
        <v>3770</v>
      </c>
      <c r="L24" s="3372" t="s">
        <v>3771</v>
      </c>
    </row>
    <row r="25" spans="1:13" s="3373" customFormat="1" ht="27" customHeight="1">
      <c r="A25" s="3365">
        <v>22</v>
      </c>
      <c r="B25" s="3365"/>
      <c r="C25" s="3366" t="s">
        <v>3766</v>
      </c>
      <c r="D25" s="3366" t="s">
        <v>3772</v>
      </c>
      <c r="E25" s="3367">
        <f t="shared" ref="E25:E26" si="0">F25/666.67</f>
        <v>30.034349828250861</v>
      </c>
      <c r="F25" s="3374">
        <v>20023</v>
      </c>
      <c r="G25" s="3365" t="s">
        <v>3768</v>
      </c>
      <c r="H25" s="3375">
        <v>56730</v>
      </c>
      <c r="I25" s="3369">
        <v>38574</v>
      </c>
      <c r="J25" s="3370" t="s">
        <v>3769</v>
      </c>
      <c r="K25" s="3371" t="s">
        <v>3773</v>
      </c>
      <c r="L25" s="3372" t="s">
        <v>3771</v>
      </c>
    </row>
    <row r="26" spans="1:13" s="3373" customFormat="1" ht="27" customHeight="1">
      <c r="A26" s="3365">
        <v>23</v>
      </c>
      <c r="B26" s="3365"/>
      <c r="C26" s="3366" t="s">
        <v>3766</v>
      </c>
      <c r="D26" s="3376" t="s">
        <v>3774</v>
      </c>
      <c r="E26" s="3367">
        <f t="shared" si="0"/>
        <v>11.651941740291299</v>
      </c>
      <c r="F26" s="3374">
        <v>7768</v>
      </c>
      <c r="G26" s="3365" t="s">
        <v>3775</v>
      </c>
      <c r="H26" s="3377">
        <v>66147</v>
      </c>
      <c r="I26" s="3369">
        <v>40680</v>
      </c>
      <c r="J26" s="3370" t="s">
        <v>3776</v>
      </c>
      <c r="K26" s="3371" t="s">
        <v>3777</v>
      </c>
      <c r="L26" s="3372" t="s">
        <v>3778</v>
      </c>
    </row>
    <row r="27" spans="1:13" ht="30" customHeight="1">
      <c r="A27" s="3919" t="s">
        <v>347</v>
      </c>
      <c r="B27" s="3919"/>
      <c r="C27" s="3353"/>
      <c r="D27" s="3353"/>
      <c r="E27" s="3378">
        <f>SUM(E4:E26)</f>
        <v>1041.5619394453026</v>
      </c>
      <c r="F27" s="3378">
        <f>SUM(F4:F26)</f>
        <v>694375</v>
      </c>
      <c r="G27" s="3379"/>
      <c r="H27" s="3353"/>
      <c r="I27" s="3378"/>
      <c r="J27" s="3380"/>
      <c r="K27" s="3380"/>
      <c r="L27" s="3381"/>
    </row>
    <row r="28" spans="1:13" ht="22.5" customHeight="1">
      <c r="A28" s="3382"/>
      <c r="B28" s="3382"/>
      <c r="C28" s="3382"/>
      <c r="D28" s="3382"/>
      <c r="E28" s="3382"/>
      <c r="F28" s="3383">
        <f>F27/666.67</f>
        <v>1041.5572922135391</v>
      </c>
      <c r="G28" s="3384">
        <f>F27-F24-F25-F26</f>
        <v>619634</v>
      </c>
      <c r="H28" s="3382"/>
      <c r="K28" s="3350">
        <f>+K27*3</f>
        <v>0</v>
      </c>
    </row>
    <row r="29" spans="1:13">
      <c r="A29" s="3385"/>
      <c r="B29" s="3385"/>
      <c r="C29" s="3385"/>
      <c r="D29" s="3385"/>
      <c r="E29" s="3386"/>
      <c r="F29" s="3387">
        <f>F27-F26-F25-F24</f>
        <v>619634</v>
      </c>
      <c r="G29" s="3387">
        <f>G28/666.67</f>
        <v>929.44635276823624</v>
      </c>
      <c r="H29" s="3388"/>
    </row>
    <row r="30" spans="1:13">
      <c r="F30" s="3389"/>
      <c r="G30" s="3389"/>
    </row>
    <row r="31" spans="1:13">
      <c r="F31" s="3389"/>
      <c r="G31" s="3389"/>
    </row>
    <row r="32" spans="1:13">
      <c r="F32" s="3389"/>
      <c r="G32" s="3389"/>
    </row>
    <row r="33" spans="6:7">
      <c r="F33" s="3390"/>
      <c r="G33" s="3390"/>
    </row>
  </sheetData>
  <mergeCells count="14">
    <mergeCell ref="A27:B27"/>
    <mergeCell ref="M2:M3"/>
    <mergeCell ref="A1:H1"/>
    <mergeCell ref="A2:A3"/>
    <mergeCell ref="B2:B3"/>
    <mergeCell ref="C2:C3"/>
    <mergeCell ref="D2:D3"/>
    <mergeCell ref="E2:F2"/>
    <mergeCell ref="G2:G3"/>
    <mergeCell ref="H2:H3"/>
    <mergeCell ref="I2:I3"/>
    <mergeCell ref="J2:J3"/>
    <mergeCell ref="K2:K3"/>
    <mergeCell ref="L2:L3"/>
  </mergeCells>
  <phoneticPr fontId="206" type="noConversion"/>
  <printOptions horizontalCentered="1"/>
  <pageMargins left="0.35433070866141736" right="0.35433070866141736" top="0.39370078740157483" bottom="0.39370078740157483" header="0.51181102362204722" footer="0.51181102362204722"/>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67"/>
  <sheetViews>
    <sheetView topLeftCell="J1" zoomScaleNormal="100" workbookViewId="0">
      <selection activeCell="U11" sqref="U11"/>
    </sheetView>
  </sheetViews>
  <sheetFormatPr defaultColWidth="9" defaultRowHeight="14.25"/>
  <cols>
    <col min="1" max="1" width="6.25" style="3426" customWidth="1"/>
    <col min="2" max="2" width="31.75" style="3426" customWidth="1"/>
    <col min="3" max="3" width="20" style="3427" customWidth="1"/>
    <col min="4" max="4" width="20" style="3426" customWidth="1"/>
    <col min="5" max="6" width="12.875" style="3428" customWidth="1"/>
    <col min="7" max="7" width="12.875" style="3426" customWidth="1"/>
    <col min="8" max="8" width="12.875" style="3428" customWidth="1"/>
    <col min="9" max="9" width="11.25" style="3426" customWidth="1"/>
    <col min="10" max="10" width="7.875" style="3429" customWidth="1"/>
    <col min="11" max="11" width="23.875" style="3392" bestFit="1" customWidth="1"/>
    <col min="12" max="12" width="8" style="3426" customWidth="1"/>
    <col min="13" max="13" width="7.75" style="3430" customWidth="1"/>
    <col min="14" max="14" width="9" style="3426" bestFit="1" customWidth="1"/>
    <col min="15" max="17" width="9" style="3392"/>
    <col min="18" max="18" width="19.625" style="3392" customWidth="1"/>
    <col min="19" max="19" width="10.5" style="3392" bestFit="1" customWidth="1"/>
    <col min="20" max="16384" width="9" style="3392"/>
  </cols>
  <sheetData>
    <row r="1" spans="1:170" ht="35.25" customHeight="1">
      <c r="A1" s="3928" t="s">
        <v>3779</v>
      </c>
      <c r="B1" s="3928"/>
      <c r="C1" s="3928"/>
      <c r="D1" s="3928"/>
      <c r="E1" s="3928"/>
      <c r="F1" s="3928"/>
      <c r="G1" s="3928"/>
      <c r="H1" s="3928"/>
      <c r="I1" s="3928"/>
      <c r="J1" s="3928"/>
      <c r="K1" s="3928"/>
      <c r="L1" s="3928"/>
      <c r="M1" s="3928"/>
      <c r="N1" s="3391"/>
    </row>
    <row r="2" spans="1:170" ht="18" customHeight="1">
      <c r="A2" s="3393"/>
      <c r="B2" s="3393"/>
      <c r="C2" s="3393"/>
      <c r="D2" s="3393"/>
      <c r="E2" s="3393"/>
      <c r="F2" s="3393"/>
      <c r="G2" s="3393"/>
      <c r="H2" s="3393"/>
      <c r="I2" s="3393"/>
      <c r="J2" s="3394"/>
      <c r="K2" s="3393"/>
      <c r="L2" s="3929"/>
      <c r="M2" s="3929"/>
      <c r="N2" s="3393"/>
    </row>
    <row r="3" spans="1:170" ht="33.75" customHeight="1">
      <c r="A3" s="3395" t="s">
        <v>382</v>
      </c>
      <c r="B3" s="3395" t="s">
        <v>3780</v>
      </c>
      <c r="C3" s="3395" t="s">
        <v>3781</v>
      </c>
      <c r="D3" s="3395" t="s">
        <v>3782</v>
      </c>
      <c r="E3" s="3395" t="s">
        <v>3783</v>
      </c>
      <c r="F3" s="3395" t="s">
        <v>3784</v>
      </c>
      <c r="G3" s="3395" t="s">
        <v>3785</v>
      </c>
      <c r="H3" s="3395" t="s">
        <v>3786</v>
      </c>
      <c r="I3" s="3395" t="s">
        <v>3787</v>
      </c>
      <c r="J3" s="3395" t="s">
        <v>3788</v>
      </c>
      <c r="K3" s="3395" t="s">
        <v>3789</v>
      </c>
      <c r="L3" s="3395" t="s">
        <v>3790</v>
      </c>
      <c r="M3" s="3395" t="s">
        <v>3791</v>
      </c>
      <c r="N3" s="3395" t="s">
        <v>3792</v>
      </c>
      <c r="O3" s="3395" t="s">
        <v>3793</v>
      </c>
    </row>
    <row r="4" spans="1:170" s="3493" customFormat="1" ht="33" customHeight="1">
      <c r="A4" s="3489">
        <v>1</v>
      </c>
      <c r="B4" s="3490" t="s">
        <v>3425</v>
      </c>
      <c r="C4" s="3489" t="s">
        <v>3794</v>
      </c>
      <c r="D4" s="3489" t="s">
        <v>3795</v>
      </c>
      <c r="E4" s="3491" t="s">
        <v>3796</v>
      </c>
      <c r="F4" s="3489" t="s">
        <v>3797</v>
      </c>
      <c r="G4" s="3489">
        <v>3</v>
      </c>
      <c r="H4" s="3491" t="s">
        <v>3798</v>
      </c>
      <c r="I4" s="3489">
        <v>4424.97</v>
      </c>
      <c r="J4" s="3489" t="s">
        <v>3799</v>
      </c>
      <c r="K4" s="3930" t="s">
        <v>3800</v>
      </c>
      <c r="L4" s="3489">
        <v>20430102</v>
      </c>
      <c r="M4" s="3489" t="s">
        <v>3801</v>
      </c>
      <c r="N4" s="3489"/>
      <c r="O4" s="3492"/>
    </row>
    <row r="5" spans="1:170" ht="18" customHeight="1">
      <c r="A5" s="3396">
        <v>2</v>
      </c>
      <c r="B5" s="3397" t="s">
        <v>3426</v>
      </c>
      <c r="C5" s="3398" t="s">
        <v>3802</v>
      </c>
      <c r="D5" s="3398" t="s">
        <v>3795</v>
      </c>
      <c r="E5" s="3399" t="s">
        <v>3796</v>
      </c>
      <c r="F5" s="3399" t="s">
        <v>3803</v>
      </c>
      <c r="G5" s="3398">
        <v>1</v>
      </c>
      <c r="H5" s="3398">
        <v>1</v>
      </c>
      <c r="I5" s="3398">
        <v>1177.3399999999999</v>
      </c>
      <c r="J5" s="3398" t="s">
        <v>3799</v>
      </c>
      <c r="K5" s="3931"/>
      <c r="L5" s="3398">
        <v>20430102</v>
      </c>
      <c r="M5" s="3398" t="s">
        <v>3801</v>
      </c>
      <c r="N5" s="3398"/>
      <c r="O5" s="3400"/>
      <c r="U5" s="3392" t="s">
        <v>4030</v>
      </c>
    </row>
    <row r="6" spans="1:170" s="3493" customFormat="1" ht="18" customHeight="1">
      <c r="A6" s="3489">
        <v>3</v>
      </c>
      <c r="B6" s="3490" t="s">
        <v>3427</v>
      </c>
      <c r="C6" s="3489" t="s">
        <v>3804</v>
      </c>
      <c r="D6" s="3489" t="s">
        <v>3795</v>
      </c>
      <c r="E6" s="3491" t="s">
        <v>3796</v>
      </c>
      <c r="F6" s="3489" t="s">
        <v>3797</v>
      </c>
      <c r="G6" s="3489">
        <v>4</v>
      </c>
      <c r="H6" s="3491" t="s">
        <v>3805</v>
      </c>
      <c r="I6" s="3489">
        <v>1816.24</v>
      </c>
      <c r="J6" s="3489" t="s">
        <v>3799</v>
      </c>
      <c r="K6" s="3931"/>
      <c r="L6" s="3489">
        <v>20430102</v>
      </c>
      <c r="M6" s="3489" t="s">
        <v>3801</v>
      </c>
      <c r="N6" s="3489"/>
      <c r="O6" s="3492"/>
      <c r="R6" s="3493" t="s">
        <v>4027</v>
      </c>
      <c r="S6" s="3493">
        <f>I4+I6+I10+I11+I13+I14+SUM(I32:I64)+SUM(I66:I91)+I93+I94+I98+I100+I102+I104+I105+I107+SUM(I109:I127)+I96</f>
        <v>390094.60000000003</v>
      </c>
      <c r="U6" s="3510">
        <f>ROUND(1-(2017-2004)/60,2)</f>
        <v>0.78</v>
      </c>
    </row>
    <row r="7" spans="1:170" ht="18" customHeight="1">
      <c r="A7" s="3396">
        <v>4</v>
      </c>
      <c r="B7" s="3397" t="s">
        <v>3428</v>
      </c>
      <c r="C7" s="3398" t="s">
        <v>3806</v>
      </c>
      <c r="D7" s="3398" t="s">
        <v>3795</v>
      </c>
      <c r="E7" s="3399" t="s">
        <v>3796</v>
      </c>
      <c r="F7" s="3399" t="s">
        <v>3803</v>
      </c>
      <c r="G7" s="3398">
        <v>3</v>
      </c>
      <c r="H7" s="3399" t="s">
        <v>3798</v>
      </c>
      <c r="I7" s="3398">
        <v>714.36</v>
      </c>
      <c r="J7" s="3398" t="s">
        <v>3799</v>
      </c>
      <c r="K7" s="3931"/>
      <c r="L7" s="3398">
        <v>20430102</v>
      </c>
      <c r="M7" s="3398" t="s">
        <v>3801</v>
      </c>
      <c r="N7" s="3398"/>
      <c r="O7" s="3400"/>
      <c r="R7" s="3392" t="s">
        <v>4028</v>
      </c>
      <c r="S7" s="3392">
        <f>I92+I95+I97+I99+I101+I103+I106+I108</f>
        <v>91465.39</v>
      </c>
      <c r="U7" s="3510">
        <f>ROUND(1-(2017-2004)/80,2)</f>
        <v>0.84</v>
      </c>
    </row>
    <row r="8" spans="1:170" ht="18" customHeight="1">
      <c r="A8" s="3396">
        <v>5</v>
      </c>
      <c r="B8" s="3397" t="s">
        <v>3429</v>
      </c>
      <c r="C8" s="3398" t="s">
        <v>3807</v>
      </c>
      <c r="D8" s="3398" t="s">
        <v>3795</v>
      </c>
      <c r="E8" s="3399" t="s">
        <v>3796</v>
      </c>
      <c r="F8" s="3399" t="s">
        <v>3803</v>
      </c>
      <c r="G8" s="3398">
        <v>6</v>
      </c>
      <c r="H8" s="3399" t="s">
        <v>3808</v>
      </c>
      <c r="I8" s="3398">
        <v>4919.55</v>
      </c>
      <c r="J8" s="3398" t="s">
        <v>3799</v>
      </c>
      <c r="K8" s="3931"/>
      <c r="L8" s="3398">
        <v>20430102</v>
      </c>
      <c r="M8" s="3398" t="s">
        <v>3801</v>
      </c>
      <c r="N8" s="3398"/>
      <c r="O8" s="3400"/>
      <c r="R8" s="3392" t="s">
        <v>4029</v>
      </c>
      <c r="S8" s="3508">
        <f>I5+I7+I8+I9+I12+I65</f>
        <v>13271.880000000001</v>
      </c>
      <c r="U8" s="3510">
        <f>ROUND(1-(2017-2004)/50,2)</f>
        <v>0.74</v>
      </c>
    </row>
    <row r="9" spans="1:170" ht="18" customHeight="1">
      <c r="A9" s="3396">
        <v>6</v>
      </c>
      <c r="B9" s="3397" t="s">
        <v>3430</v>
      </c>
      <c r="C9" s="3398" t="s">
        <v>3809</v>
      </c>
      <c r="D9" s="3398" t="s">
        <v>3795</v>
      </c>
      <c r="E9" s="3399" t="s">
        <v>3796</v>
      </c>
      <c r="F9" s="3399" t="s">
        <v>3803</v>
      </c>
      <c r="G9" s="3398">
        <v>6</v>
      </c>
      <c r="H9" s="3399" t="s">
        <v>3808</v>
      </c>
      <c r="I9" s="3398">
        <v>3830.34</v>
      </c>
      <c r="J9" s="3398" t="s">
        <v>3799</v>
      </c>
      <c r="K9" s="3931"/>
      <c r="L9" s="3398">
        <v>20430102</v>
      </c>
      <c r="M9" s="3398" t="s">
        <v>3801</v>
      </c>
      <c r="N9" s="3398"/>
      <c r="O9" s="3400"/>
      <c r="S9" s="3392">
        <f>SUM(S6:S8)</f>
        <v>494831.87000000005</v>
      </c>
    </row>
    <row r="10" spans="1:170" s="3493" customFormat="1" ht="18" customHeight="1">
      <c r="A10" s="3489">
        <v>7</v>
      </c>
      <c r="B10" s="3490" t="s">
        <v>3431</v>
      </c>
      <c r="C10" s="3489" t="s">
        <v>3810</v>
      </c>
      <c r="D10" s="3489" t="s">
        <v>3795</v>
      </c>
      <c r="E10" s="3491" t="s">
        <v>3796</v>
      </c>
      <c r="F10" s="3489" t="s">
        <v>3797</v>
      </c>
      <c r="G10" s="3489">
        <v>4</v>
      </c>
      <c r="H10" s="3491" t="s">
        <v>3805</v>
      </c>
      <c r="I10" s="3489">
        <v>6877.81</v>
      </c>
      <c r="J10" s="3489" t="s">
        <v>3799</v>
      </c>
      <c r="K10" s="3931"/>
      <c r="L10" s="3489">
        <v>20430102</v>
      </c>
      <c r="M10" s="3489" t="s">
        <v>3801</v>
      </c>
      <c r="N10" s="3489"/>
      <c r="O10" s="3492"/>
      <c r="S10" s="3493">
        <f>'数据-基础表'!B3</f>
        <v>494831.87</v>
      </c>
    </row>
    <row r="11" spans="1:170" s="3493" customFormat="1" ht="18" customHeight="1">
      <c r="A11" s="3933">
        <v>8</v>
      </c>
      <c r="B11" s="3935" t="s">
        <v>3432</v>
      </c>
      <c r="C11" s="3930" t="s">
        <v>3811</v>
      </c>
      <c r="D11" s="3930" t="s">
        <v>3795</v>
      </c>
      <c r="E11" s="3491" t="s">
        <v>3796</v>
      </c>
      <c r="F11" s="3489" t="s">
        <v>3797</v>
      </c>
      <c r="G11" s="3489">
        <v>2</v>
      </c>
      <c r="H11" s="3491" t="s">
        <v>3812</v>
      </c>
      <c r="I11" s="3489">
        <v>2527.86</v>
      </c>
      <c r="J11" s="3930" t="s">
        <v>3799</v>
      </c>
      <c r="K11" s="3931"/>
      <c r="L11" s="3930">
        <v>20430102</v>
      </c>
      <c r="M11" s="3489" t="s">
        <v>3801</v>
      </c>
      <c r="N11" s="3489"/>
      <c r="O11" s="3492"/>
      <c r="T11" s="3493" t="s">
        <v>4031</v>
      </c>
      <c r="U11" s="3510">
        <f>SUMPRODUCT(S6:S8,U6:U8)/S9</f>
        <v>0.79001764134553421</v>
      </c>
    </row>
    <row r="12" spans="1:170" ht="18" customHeight="1">
      <c r="A12" s="3934"/>
      <c r="B12" s="3936"/>
      <c r="C12" s="3932"/>
      <c r="D12" s="3932"/>
      <c r="E12" s="3399" t="s">
        <v>3813</v>
      </c>
      <c r="F12" s="3398" t="s">
        <v>3803</v>
      </c>
      <c r="G12" s="3398">
        <v>4</v>
      </c>
      <c r="H12" s="3399" t="s">
        <v>3805</v>
      </c>
      <c r="I12" s="3398">
        <v>2539</v>
      </c>
      <c r="J12" s="3932"/>
      <c r="K12" s="3932"/>
      <c r="L12" s="3932"/>
      <c r="M12" s="3398" t="s">
        <v>3801</v>
      </c>
      <c r="N12" s="3398"/>
      <c r="O12" s="3401"/>
      <c r="P12" s="3402"/>
      <c r="Q12" s="3402"/>
      <c r="R12" s="3402"/>
      <c r="S12" s="3402"/>
      <c r="T12" s="3402"/>
      <c r="U12" s="3402"/>
      <c r="V12" s="3402"/>
      <c r="W12" s="3402"/>
      <c r="X12" s="3402"/>
      <c r="Y12" s="3402"/>
      <c r="Z12" s="3402"/>
      <c r="AA12" s="3402"/>
      <c r="AB12" s="3402"/>
      <c r="AC12" s="3402"/>
      <c r="AD12" s="3402"/>
      <c r="AE12" s="3402"/>
      <c r="AF12" s="3402"/>
      <c r="AG12" s="3402"/>
      <c r="AH12" s="3402"/>
      <c r="AI12" s="3402"/>
      <c r="AJ12" s="3402"/>
      <c r="AK12" s="3402"/>
      <c r="AL12" s="3402"/>
      <c r="AM12" s="3402"/>
      <c r="AN12" s="3402"/>
      <c r="AO12" s="3402"/>
      <c r="AP12" s="3402"/>
      <c r="AQ12" s="3402"/>
      <c r="AR12" s="3402"/>
      <c r="AS12" s="3402"/>
      <c r="AT12" s="3402"/>
      <c r="AU12" s="3402"/>
      <c r="AV12" s="3402"/>
      <c r="AW12" s="3402"/>
      <c r="AX12" s="3402"/>
      <c r="AY12" s="3402"/>
      <c r="AZ12" s="3402"/>
      <c r="BA12" s="3402"/>
      <c r="BB12" s="3402"/>
      <c r="BC12" s="3402"/>
      <c r="BD12" s="3402"/>
      <c r="BE12" s="3402"/>
      <c r="BF12" s="3402"/>
      <c r="BG12" s="3402"/>
      <c r="BH12" s="3402"/>
      <c r="BI12" s="3402"/>
      <c r="BJ12" s="3402"/>
      <c r="BK12" s="3402"/>
      <c r="BL12" s="3402"/>
      <c r="BM12" s="3402"/>
      <c r="BN12" s="3402"/>
      <c r="BO12" s="3402"/>
      <c r="BP12" s="3402"/>
      <c r="BQ12" s="3402"/>
      <c r="BR12" s="3402"/>
      <c r="BS12" s="3402"/>
      <c r="BT12" s="3402"/>
      <c r="BU12" s="3402"/>
      <c r="BV12" s="3402"/>
      <c r="BW12" s="3402"/>
      <c r="BX12" s="3402"/>
      <c r="BY12" s="3402"/>
      <c r="BZ12" s="3402"/>
      <c r="CA12" s="3402"/>
      <c r="CB12" s="3402"/>
      <c r="CC12" s="3402"/>
      <c r="CD12" s="3402"/>
      <c r="CE12" s="3402"/>
      <c r="CF12" s="3402"/>
      <c r="CG12" s="3402"/>
      <c r="CH12" s="3402"/>
      <c r="CI12" s="3402"/>
      <c r="CJ12" s="3402"/>
      <c r="CK12" s="3402"/>
      <c r="CL12" s="3402"/>
      <c r="CM12" s="3402"/>
      <c r="CN12" s="3402"/>
      <c r="CO12" s="3402"/>
      <c r="CP12" s="3402"/>
      <c r="CQ12" s="3402"/>
      <c r="CR12" s="3402"/>
      <c r="CS12" s="3402"/>
      <c r="CT12" s="3402"/>
      <c r="CU12" s="3402"/>
      <c r="CV12" s="3402"/>
      <c r="CW12" s="3402"/>
      <c r="CX12" s="3402"/>
      <c r="CY12" s="3402"/>
      <c r="CZ12" s="3402"/>
      <c r="DA12" s="3402"/>
      <c r="DB12" s="3402"/>
      <c r="DC12" s="3402"/>
      <c r="DD12" s="3402"/>
      <c r="DE12" s="3402"/>
      <c r="DF12" s="3402"/>
      <c r="DG12" s="3402"/>
      <c r="DH12" s="3402"/>
      <c r="DI12" s="3402"/>
      <c r="DJ12" s="3402"/>
      <c r="DK12" s="3402"/>
      <c r="DL12" s="3402"/>
      <c r="DM12" s="3402"/>
      <c r="DN12" s="3402"/>
      <c r="DO12" s="3402"/>
      <c r="DP12" s="3402"/>
      <c r="DQ12" s="3402"/>
      <c r="DR12" s="3402"/>
      <c r="DS12" s="3402"/>
      <c r="DT12" s="3402"/>
      <c r="DU12" s="3402"/>
      <c r="DV12" s="3402"/>
      <c r="DW12" s="3402"/>
      <c r="DX12" s="3402"/>
      <c r="DY12" s="3402"/>
      <c r="DZ12" s="3402"/>
      <c r="EA12" s="3402"/>
      <c r="EB12" s="3402"/>
      <c r="EC12" s="3402"/>
      <c r="ED12" s="3402"/>
      <c r="EE12" s="3402"/>
      <c r="EF12" s="3402"/>
      <c r="EG12" s="3402"/>
      <c r="EH12" s="3402"/>
      <c r="EI12" s="3402"/>
      <c r="EJ12" s="3402"/>
      <c r="EK12" s="3402"/>
      <c r="EL12" s="3402"/>
      <c r="EM12" s="3402"/>
      <c r="EN12" s="3402"/>
      <c r="EO12" s="3402"/>
      <c r="EP12" s="3402"/>
      <c r="EQ12" s="3402"/>
      <c r="ER12" s="3402"/>
      <c r="ES12" s="3402"/>
      <c r="ET12" s="3402"/>
      <c r="EU12" s="3402"/>
      <c r="EV12" s="3402"/>
      <c r="EW12" s="3402"/>
      <c r="EX12" s="3402"/>
      <c r="EY12" s="3402"/>
      <c r="EZ12" s="3402"/>
      <c r="FA12" s="3402"/>
      <c r="FB12" s="3402"/>
      <c r="FC12" s="3402"/>
      <c r="FD12" s="3402"/>
      <c r="FE12" s="3402"/>
      <c r="FF12" s="3402"/>
      <c r="FG12" s="3402"/>
      <c r="FH12" s="3402"/>
      <c r="FI12" s="3402"/>
      <c r="FJ12" s="3402"/>
      <c r="FK12" s="3402"/>
      <c r="FL12" s="3402"/>
      <c r="FM12" s="3402"/>
      <c r="FN12" s="3402"/>
    </row>
    <row r="13" spans="1:170" s="3493" customFormat="1" ht="18" customHeight="1">
      <c r="A13" s="3489">
        <v>9</v>
      </c>
      <c r="B13" s="3494" t="s">
        <v>3433</v>
      </c>
      <c r="C13" s="3489" t="s">
        <v>3814</v>
      </c>
      <c r="D13" s="3489" t="s">
        <v>3795</v>
      </c>
      <c r="E13" s="3491" t="s">
        <v>3796</v>
      </c>
      <c r="F13" s="3489" t="s">
        <v>3797</v>
      </c>
      <c r="G13" s="3489">
        <v>1</v>
      </c>
      <c r="H13" s="3489">
        <v>1</v>
      </c>
      <c r="I13" s="3495">
        <v>175.54</v>
      </c>
      <c r="J13" s="3495" t="s">
        <v>3815</v>
      </c>
      <c r="K13" s="3495" t="s">
        <v>3816</v>
      </c>
      <c r="L13" s="3495">
        <v>20440627</v>
      </c>
      <c r="M13" s="3495" t="s">
        <v>3801</v>
      </c>
      <c r="N13" s="3489"/>
      <c r="O13" s="3492"/>
    </row>
    <row r="14" spans="1:170" s="3493" customFormat="1" ht="18" customHeight="1">
      <c r="A14" s="3489">
        <v>10</v>
      </c>
      <c r="B14" s="3494" t="s">
        <v>3434</v>
      </c>
      <c r="C14" s="3489" t="s">
        <v>3817</v>
      </c>
      <c r="D14" s="3489" t="s">
        <v>3795</v>
      </c>
      <c r="E14" s="3491" t="s">
        <v>3796</v>
      </c>
      <c r="F14" s="3489" t="s">
        <v>3797</v>
      </c>
      <c r="G14" s="3489">
        <v>1</v>
      </c>
      <c r="H14" s="3489">
        <v>1</v>
      </c>
      <c r="I14" s="3495">
        <v>175.54</v>
      </c>
      <c r="J14" s="3495" t="s">
        <v>3818</v>
      </c>
      <c r="K14" s="3495" t="s">
        <v>3819</v>
      </c>
      <c r="L14" s="3495">
        <v>20431119</v>
      </c>
      <c r="M14" s="3495" t="s">
        <v>3801</v>
      </c>
      <c r="N14" s="3489"/>
      <c r="O14" s="3492"/>
    </row>
    <row r="15" spans="1:170" s="3409" customFormat="1" ht="18" customHeight="1">
      <c r="A15" s="3404">
        <v>11</v>
      </c>
      <c r="B15" s="3937" t="s">
        <v>3820</v>
      </c>
      <c r="C15" s="3405" t="s">
        <v>3821</v>
      </c>
      <c r="D15" s="3405" t="s">
        <v>3795</v>
      </c>
      <c r="E15" s="3406" t="s">
        <v>3796</v>
      </c>
      <c r="F15" s="3405" t="s">
        <v>3797</v>
      </c>
      <c r="G15" s="3405">
        <v>2</v>
      </c>
      <c r="H15" s="3406" t="s">
        <v>3812</v>
      </c>
      <c r="I15" s="3407">
        <v>209.91</v>
      </c>
      <c r="J15" s="3407" t="s">
        <v>3822</v>
      </c>
      <c r="K15" s="3938" t="s">
        <v>3823</v>
      </c>
      <c r="L15" s="3407">
        <v>20330223</v>
      </c>
      <c r="M15" s="3407" t="s">
        <v>3801</v>
      </c>
      <c r="N15" s="3941" t="s">
        <v>3824</v>
      </c>
      <c r="O15" s="3408"/>
      <c r="R15" s="3509"/>
    </row>
    <row r="16" spans="1:170" s="3409" customFormat="1" ht="18" customHeight="1">
      <c r="A16" s="3404">
        <v>12</v>
      </c>
      <c r="B16" s="3937"/>
      <c r="C16" s="3405" t="s">
        <v>3825</v>
      </c>
      <c r="D16" s="3405" t="s">
        <v>3795</v>
      </c>
      <c r="E16" s="3406" t="s">
        <v>3796</v>
      </c>
      <c r="F16" s="3405" t="s">
        <v>3797</v>
      </c>
      <c r="G16" s="3405">
        <v>2</v>
      </c>
      <c r="H16" s="3406" t="s">
        <v>3812</v>
      </c>
      <c r="I16" s="3407">
        <v>260.76</v>
      </c>
      <c r="J16" s="3407" t="s">
        <v>3822</v>
      </c>
      <c r="K16" s="3939"/>
      <c r="L16" s="3407">
        <v>20330223</v>
      </c>
      <c r="M16" s="3407" t="s">
        <v>3801</v>
      </c>
      <c r="N16" s="3942"/>
      <c r="O16" s="3408"/>
    </row>
    <row r="17" spans="1:15" s="3409" customFormat="1" ht="18" customHeight="1">
      <c r="A17" s="3404">
        <v>13</v>
      </c>
      <c r="B17" s="3937"/>
      <c r="C17" s="3405" t="s">
        <v>3826</v>
      </c>
      <c r="D17" s="3405" t="s">
        <v>3795</v>
      </c>
      <c r="E17" s="3406" t="s">
        <v>3796</v>
      </c>
      <c r="F17" s="3405" t="s">
        <v>3797</v>
      </c>
      <c r="G17" s="3405">
        <v>2</v>
      </c>
      <c r="H17" s="3406" t="s">
        <v>3812</v>
      </c>
      <c r="I17" s="3407">
        <v>171.35</v>
      </c>
      <c r="J17" s="3407" t="s">
        <v>3822</v>
      </c>
      <c r="K17" s="3939"/>
      <c r="L17" s="3407">
        <v>20330223</v>
      </c>
      <c r="M17" s="3407" t="s">
        <v>3801</v>
      </c>
      <c r="N17" s="3942"/>
      <c r="O17" s="3408"/>
    </row>
    <row r="18" spans="1:15" s="3409" customFormat="1" ht="18" customHeight="1">
      <c r="A18" s="3404">
        <v>14</v>
      </c>
      <c r="B18" s="3937"/>
      <c r="C18" s="3405" t="s">
        <v>3827</v>
      </c>
      <c r="D18" s="3405" t="s">
        <v>3795</v>
      </c>
      <c r="E18" s="3406" t="s">
        <v>3796</v>
      </c>
      <c r="F18" s="3405" t="s">
        <v>3797</v>
      </c>
      <c r="G18" s="3405">
        <v>2</v>
      </c>
      <c r="H18" s="3406" t="s">
        <v>3812</v>
      </c>
      <c r="I18" s="3407">
        <v>407.78</v>
      </c>
      <c r="J18" s="3407" t="s">
        <v>3822</v>
      </c>
      <c r="K18" s="3939"/>
      <c r="L18" s="3407">
        <v>20330223</v>
      </c>
      <c r="M18" s="3407" t="s">
        <v>3801</v>
      </c>
      <c r="N18" s="3942"/>
      <c r="O18" s="3408"/>
    </row>
    <row r="19" spans="1:15" s="3409" customFormat="1" ht="18" customHeight="1">
      <c r="A19" s="3404">
        <v>15</v>
      </c>
      <c r="B19" s="3937"/>
      <c r="C19" s="3405" t="s">
        <v>3828</v>
      </c>
      <c r="D19" s="3405" t="s">
        <v>3795</v>
      </c>
      <c r="E19" s="3406" t="s">
        <v>3796</v>
      </c>
      <c r="F19" s="3405" t="s">
        <v>3797</v>
      </c>
      <c r="G19" s="3405">
        <v>2</v>
      </c>
      <c r="H19" s="3406" t="s">
        <v>3812</v>
      </c>
      <c r="I19" s="3407">
        <v>342.14</v>
      </c>
      <c r="J19" s="3407" t="s">
        <v>3822</v>
      </c>
      <c r="K19" s="3939"/>
      <c r="L19" s="3407">
        <v>20330223</v>
      </c>
      <c r="M19" s="3407" t="s">
        <v>3801</v>
      </c>
      <c r="N19" s="3942"/>
      <c r="O19" s="3408"/>
    </row>
    <row r="20" spans="1:15" s="3409" customFormat="1" ht="18" customHeight="1">
      <c r="A20" s="3404">
        <v>16</v>
      </c>
      <c r="B20" s="3937"/>
      <c r="C20" s="3405" t="s">
        <v>3829</v>
      </c>
      <c r="D20" s="3405" t="s">
        <v>3795</v>
      </c>
      <c r="E20" s="3406" t="s">
        <v>3796</v>
      </c>
      <c r="F20" s="3405" t="s">
        <v>3797</v>
      </c>
      <c r="G20" s="3405">
        <v>3</v>
      </c>
      <c r="H20" s="3406" t="s">
        <v>3798</v>
      </c>
      <c r="I20" s="3407">
        <v>675.82</v>
      </c>
      <c r="J20" s="3407" t="s">
        <v>3822</v>
      </c>
      <c r="K20" s="3939"/>
      <c r="L20" s="3407">
        <v>20330223</v>
      </c>
      <c r="M20" s="3407" t="s">
        <v>3801</v>
      </c>
      <c r="N20" s="3942"/>
      <c r="O20" s="3408"/>
    </row>
    <row r="21" spans="1:15" s="3409" customFormat="1" ht="18" customHeight="1">
      <c r="A21" s="3404">
        <v>17</v>
      </c>
      <c r="B21" s="3937"/>
      <c r="C21" s="3405" t="s">
        <v>3830</v>
      </c>
      <c r="D21" s="3405" t="s">
        <v>3795</v>
      </c>
      <c r="E21" s="3406" t="s">
        <v>3796</v>
      </c>
      <c r="F21" s="3405" t="s">
        <v>3797</v>
      </c>
      <c r="G21" s="3405">
        <v>2</v>
      </c>
      <c r="H21" s="3406" t="s">
        <v>3812</v>
      </c>
      <c r="I21" s="3407">
        <v>84.37</v>
      </c>
      <c r="J21" s="3407" t="s">
        <v>3822</v>
      </c>
      <c r="K21" s="3939"/>
      <c r="L21" s="3407">
        <v>20330223</v>
      </c>
      <c r="M21" s="3407" t="s">
        <v>3801</v>
      </c>
      <c r="N21" s="3942"/>
      <c r="O21" s="3408"/>
    </row>
    <row r="22" spans="1:15" s="3409" customFormat="1" ht="18" customHeight="1">
      <c r="A22" s="3404">
        <v>18</v>
      </c>
      <c r="B22" s="3937" t="s">
        <v>3831</v>
      </c>
      <c r="C22" s="3405" t="s">
        <v>3832</v>
      </c>
      <c r="D22" s="3405" t="s">
        <v>3795</v>
      </c>
      <c r="E22" s="3406" t="s">
        <v>3796</v>
      </c>
      <c r="F22" s="3405" t="s">
        <v>3797</v>
      </c>
      <c r="G22" s="3405">
        <v>2</v>
      </c>
      <c r="H22" s="3406" t="s">
        <v>3812</v>
      </c>
      <c r="I22" s="3407">
        <v>226.67</v>
      </c>
      <c r="J22" s="3407" t="s">
        <v>3822</v>
      </c>
      <c r="K22" s="3939"/>
      <c r="L22" s="3407">
        <v>20330223</v>
      </c>
      <c r="M22" s="3407" t="s">
        <v>3801</v>
      </c>
      <c r="N22" s="3942"/>
      <c r="O22" s="3408"/>
    </row>
    <row r="23" spans="1:15" s="3409" customFormat="1" ht="18" customHeight="1">
      <c r="A23" s="3404">
        <v>19</v>
      </c>
      <c r="B23" s="3937"/>
      <c r="C23" s="3405" t="s">
        <v>3833</v>
      </c>
      <c r="D23" s="3405" t="s">
        <v>3795</v>
      </c>
      <c r="E23" s="3406" t="s">
        <v>3796</v>
      </c>
      <c r="F23" s="3405" t="s">
        <v>3797</v>
      </c>
      <c r="G23" s="3405">
        <v>1</v>
      </c>
      <c r="H23" s="3405">
        <v>1</v>
      </c>
      <c r="I23" s="3407">
        <v>40.020000000000003</v>
      </c>
      <c r="J23" s="3407" t="s">
        <v>3822</v>
      </c>
      <c r="K23" s="3939"/>
      <c r="L23" s="3407">
        <v>20330223</v>
      </c>
      <c r="M23" s="3407" t="s">
        <v>3801</v>
      </c>
      <c r="N23" s="3942"/>
      <c r="O23" s="3408"/>
    </row>
    <row r="24" spans="1:15" s="3409" customFormat="1" ht="18" customHeight="1">
      <c r="A24" s="3404">
        <v>20</v>
      </c>
      <c r="B24" s="3937"/>
      <c r="C24" s="3405" t="s">
        <v>3834</v>
      </c>
      <c r="D24" s="3405" t="s">
        <v>3795</v>
      </c>
      <c r="E24" s="3406" t="s">
        <v>3796</v>
      </c>
      <c r="F24" s="3405" t="s">
        <v>3797</v>
      </c>
      <c r="G24" s="3405">
        <v>2</v>
      </c>
      <c r="H24" s="3406" t="s">
        <v>3812</v>
      </c>
      <c r="I24" s="3407">
        <v>175.7</v>
      </c>
      <c r="J24" s="3407" t="s">
        <v>3822</v>
      </c>
      <c r="K24" s="3939"/>
      <c r="L24" s="3407">
        <v>20330223</v>
      </c>
      <c r="M24" s="3407" t="s">
        <v>3801</v>
      </c>
      <c r="N24" s="3942"/>
      <c r="O24" s="3408"/>
    </row>
    <row r="25" spans="1:15" s="3409" customFormat="1" ht="18" customHeight="1">
      <c r="A25" s="3404">
        <v>21</v>
      </c>
      <c r="B25" s="3937"/>
      <c r="C25" s="3405" t="s">
        <v>3835</v>
      </c>
      <c r="D25" s="3405" t="s">
        <v>3795</v>
      </c>
      <c r="E25" s="3406" t="s">
        <v>3796</v>
      </c>
      <c r="F25" s="3405" t="s">
        <v>3797</v>
      </c>
      <c r="G25" s="3405">
        <v>1</v>
      </c>
      <c r="H25" s="3405">
        <v>1</v>
      </c>
      <c r="I25" s="3407">
        <v>74.489999999999995</v>
      </c>
      <c r="J25" s="3407" t="s">
        <v>3822</v>
      </c>
      <c r="K25" s="3939"/>
      <c r="L25" s="3407">
        <v>20330223</v>
      </c>
      <c r="M25" s="3407" t="s">
        <v>3801</v>
      </c>
      <c r="N25" s="3942"/>
      <c r="O25" s="3408"/>
    </row>
    <row r="26" spans="1:15" s="3409" customFormat="1" ht="18" customHeight="1">
      <c r="A26" s="3404">
        <v>22</v>
      </c>
      <c r="B26" s="3937"/>
      <c r="C26" s="3405" t="s">
        <v>3836</v>
      </c>
      <c r="D26" s="3405" t="s">
        <v>3795</v>
      </c>
      <c r="E26" s="3406" t="s">
        <v>3796</v>
      </c>
      <c r="F26" s="3405" t="s">
        <v>3797</v>
      </c>
      <c r="G26" s="3405">
        <v>1</v>
      </c>
      <c r="H26" s="3405">
        <v>1</v>
      </c>
      <c r="I26" s="3407">
        <v>104.35</v>
      </c>
      <c r="J26" s="3407" t="s">
        <v>3822</v>
      </c>
      <c r="K26" s="3939"/>
      <c r="L26" s="3407">
        <v>20330223</v>
      </c>
      <c r="M26" s="3407" t="s">
        <v>3801</v>
      </c>
      <c r="N26" s="3942"/>
      <c r="O26" s="3408"/>
    </row>
    <row r="27" spans="1:15" s="3409" customFormat="1" ht="18" customHeight="1">
      <c r="A27" s="3404">
        <v>23</v>
      </c>
      <c r="B27" s="3937"/>
      <c r="C27" s="3405" t="s">
        <v>3837</v>
      </c>
      <c r="D27" s="3405" t="s">
        <v>3795</v>
      </c>
      <c r="E27" s="3406" t="s">
        <v>3796</v>
      </c>
      <c r="F27" s="3405" t="s">
        <v>3797</v>
      </c>
      <c r="G27" s="3405">
        <v>3</v>
      </c>
      <c r="H27" s="3406" t="s">
        <v>3798</v>
      </c>
      <c r="I27" s="3407">
        <v>641.46</v>
      </c>
      <c r="J27" s="3407" t="s">
        <v>3822</v>
      </c>
      <c r="K27" s="3939"/>
      <c r="L27" s="3407">
        <v>20330223</v>
      </c>
      <c r="M27" s="3407" t="s">
        <v>3801</v>
      </c>
      <c r="N27" s="3942"/>
      <c r="O27" s="3408"/>
    </row>
    <row r="28" spans="1:15" s="3409" customFormat="1" ht="18" customHeight="1">
      <c r="A28" s="3404">
        <v>24</v>
      </c>
      <c r="B28" s="3937"/>
      <c r="C28" s="3405" t="s">
        <v>3838</v>
      </c>
      <c r="D28" s="3405" t="s">
        <v>3795</v>
      </c>
      <c r="E28" s="3406" t="s">
        <v>3796</v>
      </c>
      <c r="F28" s="3405" t="s">
        <v>3797</v>
      </c>
      <c r="G28" s="3405">
        <v>2</v>
      </c>
      <c r="H28" s="3406" t="s">
        <v>3812</v>
      </c>
      <c r="I28" s="3407">
        <v>276.52999999999997</v>
      </c>
      <c r="J28" s="3407" t="s">
        <v>3822</v>
      </c>
      <c r="K28" s="3939"/>
      <c r="L28" s="3407">
        <v>20330223</v>
      </c>
      <c r="M28" s="3407" t="s">
        <v>3801</v>
      </c>
      <c r="N28" s="3942"/>
      <c r="O28" s="3408"/>
    </row>
    <row r="29" spans="1:15" s="3409" customFormat="1" ht="18" customHeight="1">
      <c r="A29" s="3404">
        <v>25</v>
      </c>
      <c r="B29" s="3937"/>
      <c r="C29" s="3405" t="s">
        <v>3839</v>
      </c>
      <c r="D29" s="3405" t="s">
        <v>3795</v>
      </c>
      <c r="E29" s="3406" t="s">
        <v>3796</v>
      </c>
      <c r="F29" s="3405" t="s">
        <v>3797</v>
      </c>
      <c r="G29" s="3405">
        <v>1</v>
      </c>
      <c r="H29" s="3405">
        <v>1</v>
      </c>
      <c r="I29" s="3407">
        <v>44.63</v>
      </c>
      <c r="J29" s="3407" t="s">
        <v>3822</v>
      </c>
      <c r="K29" s="3939"/>
      <c r="L29" s="3407">
        <v>20330223</v>
      </c>
      <c r="M29" s="3407" t="s">
        <v>3801</v>
      </c>
      <c r="N29" s="3942"/>
      <c r="O29" s="3408"/>
    </row>
    <row r="30" spans="1:15" s="3409" customFormat="1" ht="18" customHeight="1">
      <c r="A30" s="3404">
        <v>26</v>
      </c>
      <c r="B30" s="3937"/>
      <c r="C30" s="3405" t="s">
        <v>3840</v>
      </c>
      <c r="D30" s="3405" t="s">
        <v>3795</v>
      </c>
      <c r="E30" s="3406" t="s">
        <v>3796</v>
      </c>
      <c r="F30" s="3405" t="s">
        <v>3797</v>
      </c>
      <c r="G30" s="3405">
        <v>1</v>
      </c>
      <c r="H30" s="3405">
        <v>1</v>
      </c>
      <c r="I30" s="3407">
        <v>72.89</v>
      </c>
      <c r="J30" s="3407" t="s">
        <v>3822</v>
      </c>
      <c r="K30" s="3939"/>
      <c r="L30" s="3407">
        <v>20330223</v>
      </c>
      <c r="M30" s="3407" t="s">
        <v>3801</v>
      </c>
      <c r="N30" s="3942"/>
      <c r="O30" s="3408"/>
    </row>
    <row r="31" spans="1:15" s="3409" customFormat="1" ht="18" customHeight="1">
      <c r="A31" s="3404">
        <v>27</v>
      </c>
      <c r="B31" s="3937"/>
      <c r="C31" s="3405" t="s">
        <v>3841</v>
      </c>
      <c r="D31" s="3405" t="s">
        <v>3795</v>
      </c>
      <c r="E31" s="3406" t="s">
        <v>3796</v>
      </c>
      <c r="F31" s="3405" t="s">
        <v>3797</v>
      </c>
      <c r="G31" s="3405">
        <v>2</v>
      </c>
      <c r="H31" s="3406" t="s">
        <v>3812</v>
      </c>
      <c r="I31" s="3407">
        <v>155.77000000000001</v>
      </c>
      <c r="J31" s="3407" t="s">
        <v>3822</v>
      </c>
      <c r="K31" s="3940"/>
      <c r="L31" s="3407">
        <v>20330223</v>
      </c>
      <c r="M31" s="3407" t="s">
        <v>3801</v>
      </c>
      <c r="N31" s="3943"/>
      <c r="O31" s="3408"/>
    </row>
    <row r="32" spans="1:15" s="3493" customFormat="1" ht="18" customHeight="1">
      <c r="A32" s="3944">
        <v>28</v>
      </c>
      <c r="B32" s="3944" t="s">
        <v>3435</v>
      </c>
      <c r="C32" s="3944" t="s">
        <v>3842</v>
      </c>
      <c r="D32" s="3944" t="s">
        <v>3795</v>
      </c>
      <c r="E32" s="3491" t="s">
        <v>3796</v>
      </c>
      <c r="F32" s="3489" t="s">
        <v>3797</v>
      </c>
      <c r="G32" s="3489">
        <v>3</v>
      </c>
      <c r="H32" s="3491" t="s">
        <v>3798</v>
      </c>
      <c r="I32" s="3495">
        <v>313.97000000000003</v>
      </c>
      <c r="J32" s="3944" t="s">
        <v>3843</v>
      </c>
      <c r="K32" s="3944" t="s">
        <v>3844</v>
      </c>
      <c r="L32" s="3944">
        <v>20330223</v>
      </c>
      <c r="M32" s="3495" t="s">
        <v>3801</v>
      </c>
      <c r="N32" s="3489"/>
      <c r="O32" s="3492"/>
    </row>
    <row r="33" spans="1:15" s="3493" customFormat="1" ht="17.25" customHeight="1">
      <c r="A33" s="3945"/>
      <c r="B33" s="3945"/>
      <c r="C33" s="3945"/>
      <c r="D33" s="3945"/>
      <c r="E33" s="3491" t="s">
        <v>3813</v>
      </c>
      <c r="F33" s="3489" t="s">
        <v>3797</v>
      </c>
      <c r="G33" s="3489">
        <v>3</v>
      </c>
      <c r="H33" s="3491" t="s">
        <v>3798</v>
      </c>
      <c r="I33" s="3489">
        <v>313.97000000000003</v>
      </c>
      <c r="J33" s="3945"/>
      <c r="K33" s="3946"/>
      <c r="L33" s="3945"/>
      <c r="M33" s="3495" t="s">
        <v>3801</v>
      </c>
      <c r="N33" s="3489"/>
      <c r="O33" s="3492"/>
    </row>
    <row r="34" spans="1:15" s="3493" customFormat="1" ht="18" customHeight="1">
      <c r="A34" s="3489">
        <v>29</v>
      </c>
      <c r="B34" s="3490" t="s">
        <v>3436</v>
      </c>
      <c r="C34" s="3489" t="s">
        <v>3845</v>
      </c>
      <c r="D34" s="3489" t="s">
        <v>3795</v>
      </c>
      <c r="E34" s="3491" t="s">
        <v>3846</v>
      </c>
      <c r="F34" s="3489" t="s">
        <v>3797</v>
      </c>
      <c r="G34" s="3489">
        <v>1</v>
      </c>
      <c r="H34" s="3489">
        <v>1</v>
      </c>
      <c r="I34" s="3489">
        <v>501.6</v>
      </c>
      <c r="J34" s="3489" t="s">
        <v>3843</v>
      </c>
      <c r="K34" s="3946"/>
      <c r="L34" s="3489">
        <v>20330223</v>
      </c>
      <c r="M34" s="3495" t="s">
        <v>3801</v>
      </c>
      <c r="N34" s="3489"/>
      <c r="O34" s="3492"/>
    </row>
    <row r="35" spans="1:15" s="3493" customFormat="1" ht="18" customHeight="1">
      <c r="A35" s="3489">
        <v>30</v>
      </c>
      <c r="B35" s="3494" t="s">
        <v>3437</v>
      </c>
      <c r="C35" s="3489" t="s">
        <v>3847</v>
      </c>
      <c r="D35" s="3489" t="s">
        <v>3795</v>
      </c>
      <c r="E35" s="3491" t="s">
        <v>3796</v>
      </c>
      <c r="F35" s="3489" t="s">
        <v>3797</v>
      </c>
      <c r="G35" s="3489">
        <v>4</v>
      </c>
      <c r="H35" s="3491" t="s">
        <v>3805</v>
      </c>
      <c r="I35" s="3495">
        <v>7285.2</v>
      </c>
      <c r="J35" s="3495" t="s">
        <v>3843</v>
      </c>
      <c r="K35" s="3946"/>
      <c r="L35" s="3495">
        <v>20330223</v>
      </c>
      <c r="M35" s="3495" t="s">
        <v>3801</v>
      </c>
      <c r="N35" s="3489"/>
      <c r="O35" s="3492"/>
    </row>
    <row r="36" spans="1:15" s="3493" customFormat="1" ht="18" customHeight="1">
      <c r="A36" s="3489">
        <v>31</v>
      </c>
      <c r="B36" s="3494" t="s">
        <v>3438</v>
      </c>
      <c r="C36" s="3489" t="s">
        <v>3848</v>
      </c>
      <c r="D36" s="3489" t="s">
        <v>3795</v>
      </c>
      <c r="E36" s="3491" t="s">
        <v>3796</v>
      </c>
      <c r="F36" s="3489" t="s">
        <v>3797</v>
      </c>
      <c r="G36" s="3489">
        <v>1</v>
      </c>
      <c r="H36" s="3489">
        <v>1</v>
      </c>
      <c r="I36" s="3495">
        <v>776.8</v>
      </c>
      <c r="J36" s="3495" t="s">
        <v>3843</v>
      </c>
      <c r="K36" s="3946"/>
      <c r="L36" s="3495">
        <v>20330223</v>
      </c>
      <c r="M36" s="3495" t="s">
        <v>3801</v>
      </c>
      <c r="N36" s="3489"/>
      <c r="O36" s="3492"/>
    </row>
    <row r="37" spans="1:15" s="3493" customFormat="1" ht="18" customHeight="1">
      <c r="A37" s="3489">
        <v>32</v>
      </c>
      <c r="B37" s="3494" t="s">
        <v>3439</v>
      </c>
      <c r="C37" s="3489" t="s">
        <v>3849</v>
      </c>
      <c r="D37" s="3489" t="s">
        <v>3795</v>
      </c>
      <c r="E37" s="3491" t="s">
        <v>3796</v>
      </c>
      <c r="F37" s="3489" t="s">
        <v>3797</v>
      </c>
      <c r="G37" s="3489">
        <v>1</v>
      </c>
      <c r="H37" s="3489">
        <v>1</v>
      </c>
      <c r="I37" s="3495">
        <v>776.8</v>
      </c>
      <c r="J37" s="3495" t="s">
        <v>3843</v>
      </c>
      <c r="K37" s="3946"/>
      <c r="L37" s="3495">
        <v>20330223</v>
      </c>
      <c r="M37" s="3495" t="s">
        <v>3801</v>
      </c>
      <c r="N37" s="3489"/>
      <c r="O37" s="3492"/>
    </row>
    <row r="38" spans="1:15" s="3493" customFormat="1" ht="18" customHeight="1">
      <c r="A38" s="3489">
        <v>33</v>
      </c>
      <c r="B38" s="3494" t="s">
        <v>3440</v>
      </c>
      <c r="C38" s="3489" t="s">
        <v>3850</v>
      </c>
      <c r="D38" s="3489" t="s">
        <v>3795</v>
      </c>
      <c r="E38" s="3491" t="s">
        <v>3796</v>
      </c>
      <c r="F38" s="3489" t="s">
        <v>3797</v>
      </c>
      <c r="G38" s="3489">
        <v>1</v>
      </c>
      <c r="H38" s="3489">
        <v>1</v>
      </c>
      <c r="I38" s="3495">
        <v>776.8</v>
      </c>
      <c r="J38" s="3495" t="s">
        <v>3843</v>
      </c>
      <c r="K38" s="3946"/>
      <c r="L38" s="3495">
        <v>20330223</v>
      </c>
      <c r="M38" s="3495" t="s">
        <v>3801</v>
      </c>
      <c r="N38" s="3489"/>
      <c r="O38" s="3492"/>
    </row>
    <row r="39" spans="1:15" s="3493" customFormat="1" ht="18" customHeight="1">
      <c r="A39" s="3489">
        <v>34</v>
      </c>
      <c r="B39" s="3494" t="s">
        <v>3441</v>
      </c>
      <c r="C39" s="3489" t="s">
        <v>3851</v>
      </c>
      <c r="D39" s="3489" t="s">
        <v>3795</v>
      </c>
      <c r="E39" s="3491" t="s">
        <v>3796</v>
      </c>
      <c r="F39" s="3489" t="s">
        <v>3797</v>
      </c>
      <c r="G39" s="3489">
        <v>1</v>
      </c>
      <c r="H39" s="3489">
        <v>1</v>
      </c>
      <c r="I39" s="3495">
        <v>776.8</v>
      </c>
      <c r="J39" s="3495" t="s">
        <v>3843</v>
      </c>
      <c r="K39" s="3946"/>
      <c r="L39" s="3495">
        <v>20330223</v>
      </c>
      <c r="M39" s="3495" t="s">
        <v>3801</v>
      </c>
      <c r="N39" s="3489"/>
      <c r="O39" s="3492"/>
    </row>
    <row r="40" spans="1:15" s="3493" customFormat="1" ht="18" customHeight="1">
      <c r="A40" s="3489">
        <v>35</v>
      </c>
      <c r="B40" s="3494" t="s">
        <v>3442</v>
      </c>
      <c r="C40" s="3489" t="s">
        <v>3852</v>
      </c>
      <c r="D40" s="3489" t="s">
        <v>3795</v>
      </c>
      <c r="E40" s="3491" t="s">
        <v>3796</v>
      </c>
      <c r="F40" s="3489" t="s">
        <v>3797</v>
      </c>
      <c r="G40" s="3489">
        <v>1</v>
      </c>
      <c r="H40" s="3489">
        <v>1</v>
      </c>
      <c r="I40" s="3495">
        <v>757.63</v>
      </c>
      <c r="J40" s="3495" t="s">
        <v>3843</v>
      </c>
      <c r="K40" s="3946"/>
      <c r="L40" s="3495">
        <v>20330223</v>
      </c>
      <c r="M40" s="3495" t="s">
        <v>3801</v>
      </c>
      <c r="N40" s="3489"/>
      <c r="O40" s="3492"/>
    </row>
    <row r="41" spans="1:15" s="3493" customFormat="1" ht="18" customHeight="1">
      <c r="A41" s="3489">
        <v>36</v>
      </c>
      <c r="B41" s="3494" t="s">
        <v>3443</v>
      </c>
      <c r="C41" s="3489" t="s">
        <v>3853</v>
      </c>
      <c r="D41" s="3489" t="s">
        <v>3795</v>
      </c>
      <c r="E41" s="3491" t="s">
        <v>3796</v>
      </c>
      <c r="F41" s="3489" t="s">
        <v>3797</v>
      </c>
      <c r="G41" s="3489">
        <v>1</v>
      </c>
      <c r="H41" s="3489">
        <v>1</v>
      </c>
      <c r="I41" s="3495">
        <v>757.63</v>
      </c>
      <c r="J41" s="3495" t="s">
        <v>3843</v>
      </c>
      <c r="K41" s="3946"/>
      <c r="L41" s="3495">
        <v>20330223</v>
      </c>
      <c r="M41" s="3495" t="s">
        <v>3801</v>
      </c>
      <c r="N41" s="3489"/>
      <c r="O41" s="3492"/>
    </row>
    <row r="42" spans="1:15" s="3493" customFormat="1" ht="18" customHeight="1">
      <c r="A42" s="3489">
        <v>37</v>
      </c>
      <c r="B42" s="3494" t="s">
        <v>3444</v>
      </c>
      <c r="C42" s="3489" t="s">
        <v>3854</v>
      </c>
      <c r="D42" s="3489" t="s">
        <v>3795</v>
      </c>
      <c r="E42" s="3491" t="s">
        <v>3796</v>
      </c>
      <c r="F42" s="3489" t="s">
        <v>3797</v>
      </c>
      <c r="G42" s="3489">
        <v>1</v>
      </c>
      <c r="H42" s="3489">
        <v>1</v>
      </c>
      <c r="I42" s="3495">
        <v>757.63</v>
      </c>
      <c r="J42" s="3495" t="s">
        <v>3843</v>
      </c>
      <c r="K42" s="3946"/>
      <c r="L42" s="3495">
        <v>20330223</v>
      </c>
      <c r="M42" s="3495" t="s">
        <v>3801</v>
      </c>
      <c r="N42" s="3489"/>
      <c r="O42" s="3492"/>
    </row>
    <row r="43" spans="1:15" s="3493" customFormat="1" ht="18" customHeight="1">
      <c r="A43" s="3489">
        <v>38</v>
      </c>
      <c r="B43" s="3494" t="s">
        <v>3445</v>
      </c>
      <c r="C43" s="3489" t="s">
        <v>3855</v>
      </c>
      <c r="D43" s="3489" t="s">
        <v>3795</v>
      </c>
      <c r="E43" s="3491" t="s">
        <v>3796</v>
      </c>
      <c r="F43" s="3489" t="s">
        <v>3797</v>
      </c>
      <c r="G43" s="3489">
        <v>1</v>
      </c>
      <c r="H43" s="3489">
        <v>1</v>
      </c>
      <c r="I43" s="3495">
        <v>757.63</v>
      </c>
      <c r="J43" s="3495" t="s">
        <v>3843</v>
      </c>
      <c r="K43" s="3945"/>
      <c r="L43" s="3495">
        <v>20330223</v>
      </c>
      <c r="M43" s="3495" t="s">
        <v>3801</v>
      </c>
      <c r="N43" s="3489"/>
      <c r="O43" s="3492"/>
    </row>
    <row r="44" spans="1:15" s="3493" customFormat="1" ht="18" customHeight="1">
      <c r="A44" s="3489">
        <v>39</v>
      </c>
      <c r="B44" s="3494" t="s">
        <v>3446</v>
      </c>
      <c r="C44" s="3489" t="s">
        <v>3856</v>
      </c>
      <c r="D44" s="3489" t="s">
        <v>3795</v>
      </c>
      <c r="E44" s="3491" t="s">
        <v>3796</v>
      </c>
      <c r="F44" s="3489" t="s">
        <v>3797</v>
      </c>
      <c r="G44" s="3489">
        <v>2</v>
      </c>
      <c r="H44" s="3491" t="s">
        <v>3812</v>
      </c>
      <c r="I44" s="3495">
        <v>3223.62</v>
      </c>
      <c r="J44" s="3495" t="s">
        <v>3857</v>
      </c>
      <c r="K44" s="3947" t="s">
        <v>3858</v>
      </c>
      <c r="L44" s="3495">
        <v>20330223</v>
      </c>
      <c r="M44" s="3495" t="s">
        <v>3801</v>
      </c>
      <c r="N44" s="3489"/>
      <c r="O44" s="3492"/>
    </row>
    <row r="45" spans="1:15" s="3493" customFormat="1" ht="18" customHeight="1">
      <c r="A45" s="3944">
        <v>40</v>
      </c>
      <c r="B45" s="3947" t="s">
        <v>3447</v>
      </c>
      <c r="C45" s="3944" t="s">
        <v>3859</v>
      </c>
      <c r="D45" s="3944" t="s">
        <v>3795</v>
      </c>
      <c r="E45" s="3491" t="s">
        <v>3796</v>
      </c>
      <c r="F45" s="3489" t="s">
        <v>3797</v>
      </c>
      <c r="G45" s="3489">
        <v>5</v>
      </c>
      <c r="H45" s="3491" t="s">
        <v>3860</v>
      </c>
      <c r="I45" s="3495">
        <v>10693.15</v>
      </c>
      <c r="J45" s="3947" t="s">
        <v>3857</v>
      </c>
      <c r="K45" s="3949"/>
      <c r="L45" s="3947">
        <v>20330223</v>
      </c>
      <c r="M45" s="3495" t="s">
        <v>3801</v>
      </c>
      <c r="N45" s="3489"/>
      <c r="O45" s="3492"/>
    </row>
    <row r="46" spans="1:15" s="3493" customFormat="1" ht="18" customHeight="1">
      <c r="A46" s="3945"/>
      <c r="B46" s="3948"/>
      <c r="C46" s="3945"/>
      <c r="D46" s="3945"/>
      <c r="E46" s="3491" t="s">
        <v>3813</v>
      </c>
      <c r="F46" s="3489" t="s">
        <v>3797</v>
      </c>
      <c r="G46" s="3489">
        <v>1</v>
      </c>
      <c r="H46" s="3489">
        <v>-1</v>
      </c>
      <c r="I46" s="3495">
        <v>2345.6799999999998</v>
      </c>
      <c r="J46" s="3948"/>
      <c r="K46" s="3949"/>
      <c r="L46" s="3948"/>
      <c r="M46" s="3495" t="s">
        <v>3801</v>
      </c>
      <c r="N46" s="3489"/>
      <c r="O46" s="3492"/>
    </row>
    <row r="47" spans="1:15" s="3493" customFormat="1" ht="18" customHeight="1">
      <c r="A47" s="3489">
        <v>41</v>
      </c>
      <c r="B47" s="3494" t="s">
        <v>3448</v>
      </c>
      <c r="C47" s="3489" t="s">
        <v>3861</v>
      </c>
      <c r="D47" s="3489" t="s">
        <v>3795</v>
      </c>
      <c r="E47" s="3491" t="s">
        <v>3796</v>
      </c>
      <c r="F47" s="3489" t="s">
        <v>3797</v>
      </c>
      <c r="G47" s="3489">
        <v>3</v>
      </c>
      <c r="H47" s="3491" t="s">
        <v>3798</v>
      </c>
      <c r="I47" s="3495">
        <v>6984.41</v>
      </c>
      <c r="J47" s="3495" t="s">
        <v>3857</v>
      </c>
      <c r="K47" s="3948"/>
      <c r="L47" s="3495">
        <v>20330223</v>
      </c>
      <c r="M47" s="3495" t="s">
        <v>3801</v>
      </c>
      <c r="N47" s="3489"/>
      <c r="O47" s="3492"/>
    </row>
    <row r="48" spans="1:15" s="3493" customFormat="1" ht="18" customHeight="1">
      <c r="A48" s="3489">
        <v>42</v>
      </c>
      <c r="B48" s="3494" t="s">
        <v>3449</v>
      </c>
      <c r="C48" s="3489" t="s">
        <v>3862</v>
      </c>
      <c r="D48" s="3489" t="s">
        <v>3795</v>
      </c>
      <c r="E48" s="3491" t="s">
        <v>3796</v>
      </c>
      <c r="F48" s="3489" t="s">
        <v>3797</v>
      </c>
      <c r="G48" s="3489">
        <v>2</v>
      </c>
      <c r="H48" s="3491" t="s">
        <v>3812</v>
      </c>
      <c r="I48" s="3495">
        <v>2728.01</v>
      </c>
      <c r="J48" s="3495" t="s">
        <v>3863</v>
      </c>
      <c r="K48" s="3495" t="s">
        <v>3864</v>
      </c>
      <c r="L48" s="3495">
        <v>20330223</v>
      </c>
      <c r="M48" s="3495" t="s">
        <v>3801</v>
      </c>
      <c r="N48" s="3489"/>
      <c r="O48" s="3492"/>
    </row>
    <row r="49" spans="1:15" s="3493" customFormat="1" ht="18" customHeight="1">
      <c r="A49" s="3489">
        <v>43</v>
      </c>
      <c r="B49" s="3494" t="s">
        <v>3450</v>
      </c>
      <c r="C49" s="3489" t="s">
        <v>3865</v>
      </c>
      <c r="D49" s="3489" t="s">
        <v>3795</v>
      </c>
      <c r="E49" s="3491" t="s">
        <v>3866</v>
      </c>
      <c r="F49" s="3489" t="s">
        <v>3867</v>
      </c>
      <c r="G49" s="3489" t="s">
        <v>3778</v>
      </c>
      <c r="H49" s="3489" t="s">
        <v>3778</v>
      </c>
      <c r="I49" s="3495">
        <v>12979.84</v>
      </c>
      <c r="J49" s="3495" t="s">
        <v>3868</v>
      </c>
      <c r="K49" s="3495" t="s">
        <v>3869</v>
      </c>
      <c r="L49" s="3495">
        <v>20330223</v>
      </c>
      <c r="M49" s="3495" t="s">
        <v>3801</v>
      </c>
      <c r="N49" s="3489"/>
      <c r="O49" s="3492"/>
    </row>
    <row r="50" spans="1:15" s="3493" customFormat="1" ht="18" customHeight="1">
      <c r="A50" s="3489">
        <v>44</v>
      </c>
      <c r="B50" s="3494" t="s">
        <v>3451</v>
      </c>
      <c r="C50" s="3489" t="s">
        <v>3870</v>
      </c>
      <c r="D50" s="3489" t="s">
        <v>3795</v>
      </c>
      <c r="E50" s="3491" t="s">
        <v>3796</v>
      </c>
      <c r="F50" s="3489" t="s">
        <v>3797</v>
      </c>
      <c r="G50" s="3489">
        <v>1</v>
      </c>
      <c r="H50" s="3489">
        <v>1</v>
      </c>
      <c r="I50" s="3495">
        <v>2279.13</v>
      </c>
      <c r="J50" s="3495" t="s">
        <v>3857</v>
      </c>
      <c r="K50" s="3495" t="s">
        <v>3858</v>
      </c>
      <c r="L50" s="3495">
        <v>20330223</v>
      </c>
      <c r="M50" s="3495" t="s">
        <v>3801</v>
      </c>
      <c r="N50" s="3489"/>
      <c r="O50" s="3492"/>
    </row>
    <row r="51" spans="1:15" s="3493" customFormat="1" ht="18" customHeight="1">
      <c r="A51" s="3489">
        <v>45</v>
      </c>
      <c r="B51" s="3494" t="s">
        <v>3452</v>
      </c>
      <c r="C51" s="3489" t="s">
        <v>3871</v>
      </c>
      <c r="D51" s="3489" t="s">
        <v>3795</v>
      </c>
      <c r="E51" s="3491" t="s">
        <v>3796</v>
      </c>
      <c r="F51" s="3489" t="s">
        <v>3797</v>
      </c>
      <c r="G51" s="3489">
        <v>2</v>
      </c>
      <c r="H51" s="3491" t="s">
        <v>3812</v>
      </c>
      <c r="I51" s="3495">
        <v>774.37</v>
      </c>
      <c r="J51" s="3495" t="s">
        <v>3872</v>
      </c>
      <c r="K51" s="3495" t="s">
        <v>3873</v>
      </c>
      <c r="L51" s="3495">
        <v>20330223</v>
      </c>
      <c r="M51" s="3495" t="s">
        <v>3801</v>
      </c>
      <c r="N51" s="3489"/>
      <c r="O51" s="3492"/>
    </row>
    <row r="52" spans="1:15" s="3493" customFormat="1" ht="18" customHeight="1">
      <c r="A52" s="3489">
        <v>46</v>
      </c>
      <c r="B52" s="3490" t="s">
        <v>3453</v>
      </c>
      <c r="C52" s="3489" t="s">
        <v>3874</v>
      </c>
      <c r="D52" s="3489" t="s">
        <v>3795</v>
      </c>
      <c r="E52" s="3491" t="s">
        <v>3796</v>
      </c>
      <c r="F52" s="3489" t="s">
        <v>3797</v>
      </c>
      <c r="G52" s="3489">
        <v>1</v>
      </c>
      <c r="H52" s="3489">
        <v>1</v>
      </c>
      <c r="I52" s="3496">
        <v>52.8</v>
      </c>
      <c r="J52" s="3489" t="s">
        <v>3875</v>
      </c>
      <c r="K52" s="3489" t="s">
        <v>3876</v>
      </c>
      <c r="L52" s="3489">
        <v>20330223</v>
      </c>
      <c r="M52" s="3495" t="s">
        <v>3801</v>
      </c>
      <c r="N52" s="3489"/>
      <c r="O52" s="3492"/>
    </row>
    <row r="53" spans="1:15" s="3493" customFormat="1" ht="18" customHeight="1">
      <c r="A53" s="3489">
        <v>47</v>
      </c>
      <c r="B53" s="3494" t="s">
        <v>3454</v>
      </c>
      <c r="C53" s="3489" t="s">
        <v>3877</v>
      </c>
      <c r="D53" s="3489" t="s">
        <v>3795</v>
      </c>
      <c r="E53" s="3491" t="s">
        <v>3796</v>
      </c>
      <c r="F53" s="3489" t="s">
        <v>3797</v>
      </c>
      <c r="G53" s="3489">
        <v>1</v>
      </c>
      <c r="H53" s="3489">
        <v>1</v>
      </c>
      <c r="I53" s="3495">
        <v>70.05</v>
      </c>
      <c r="J53" s="3495" t="s">
        <v>3878</v>
      </c>
      <c r="K53" s="3495" t="s">
        <v>3879</v>
      </c>
      <c r="L53" s="3495">
        <v>20330223</v>
      </c>
      <c r="M53" s="3495" t="s">
        <v>3801</v>
      </c>
      <c r="N53" s="3489"/>
      <c r="O53" s="3492"/>
    </row>
    <row r="54" spans="1:15" s="3493" customFormat="1" ht="18" customHeight="1">
      <c r="A54" s="3489">
        <v>48</v>
      </c>
      <c r="B54" s="3494" t="s">
        <v>3455</v>
      </c>
      <c r="C54" s="3489" t="s">
        <v>3880</v>
      </c>
      <c r="D54" s="3489" t="s">
        <v>3795</v>
      </c>
      <c r="E54" s="3491" t="s">
        <v>3796</v>
      </c>
      <c r="F54" s="3489" t="s">
        <v>3797</v>
      </c>
      <c r="G54" s="3489">
        <v>1</v>
      </c>
      <c r="H54" s="3489">
        <v>1</v>
      </c>
      <c r="I54" s="3495">
        <v>270.45</v>
      </c>
      <c r="J54" s="3495" t="s">
        <v>3881</v>
      </c>
      <c r="K54" s="3947" t="s">
        <v>3882</v>
      </c>
      <c r="L54" s="3495">
        <v>20330223</v>
      </c>
      <c r="M54" s="3495" t="s">
        <v>3801</v>
      </c>
      <c r="N54" s="3489"/>
      <c r="O54" s="3492"/>
    </row>
    <row r="55" spans="1:15" s="3493" customFormat="1" ht="18" customHeight="1">
      <c r="A55" s="3489">
        <v>49</v>
      </c>
      <c r="B55" s="3494" t="s">
        <v>3456</v>
      </c>
      <c r="C55" s="3489" t="s">
        <v>3883</v>
      </c>
      <c r="D55" s="3489" t="s">
        <v>3795</v>
      </c>
      <c r="E55" s="3491" t="s">
        <v>3796</v>
      </c>
      <c r="F55" s="3489" t="s">
        <v>3797</v>
      </c>
      <c r="G55" s="3489">
        <v>1</v>
      </c>
      <c r="H55" s="3489">
        <v>1</v>
      </c>
      <c r="I55" s="3495">
        <v>235.18</v>
      </c>
      <c r="J55" s="3495" t="s">
        <v>3881</v>
      </c>
      <c r="K55" s="3949"/>
      <c r="L55" s="3495">
        <v>20330223</v>
      </c>
      <c r="M55" s="3495" t="s">
        <v>3801</v>
      </c>
      <c r="N55" s="3489"/>
      <c r="O55" s="3492"/>
    </row>
    <row r="56" spans="1:15" s="3493" customFormat="1" ht="18" customHeight="1">
      <c r="A56" s="3489">
        <v>50</v>
      </c>
      <c r="B56" s="3494" t="s">
        <v>3457</v>
      </c>
      <c r="C56" s="3489" t="s">
        <v>3884</v>
      </c>
      <c r="D56" s="3489" t="s">
        <v>3795</v>
      </c>
      <c r="E56" s="3491" t="s">
        <v>3796</v>
      </c>
      <c r="F56" s="3489" t="s">
        <v>3797</v>
      </c>
      <c r="G56" s="3489">
        <v>1</v>
      </c>
      <c r="H56" s="3489">
        <v>1</v>
      </c>
      <c r="I56" s="3495">
        <v>382.34</v>
      </c>
      <c r="J56" s="3495" t="s">
        <v>3881</v>
      </c>
      <c r="K56" s="3949"/>
      <c r="L56" s="3495">
        <v>20330223</v>
      </c>
      <c r="M56" s="3495" t="s">
        <v>3801</v>
      </c>
      <c r="N56" s="3489"/>
      <c r="O56" s="3492"/>
    </row>
    <row r="57" spans="1:15" s="3493" customFormat="1" ht="18" customHeight="1">
      <c r="A57" s="3489">
        <v>51</v>
      </c>
      <c r="B57" s="3494" t="s">
        <v>3458</v>
      </c>
      <c r="C57" s="3489" t="s">
        <v>3885</v>
      </c>
      <c r="D57" s="3489" t="s">
        <v>3795</v>
      </c>
      <c r="E57" s="3491" t="s">
        <v>3796</v>
      </c>
      <c r="F57" s="3489" t="s">
        <v>3797</v>
      </c>
      <c r="G57" s="3489">
        <v>1</v>
      </c>
      <c r="H57" s="3489">
        <v>1</v>
      </c>
      <c r="I57" s="3495">
        <v>661.14</v>
      </c>
      <c r="J57" s="3495" t="s">
        <v>3881</v>
      </c>
      <c r="K57" s="3949"/>
      <c r="L57" s="3495">
        <v>20330223</v>
      </c>
      <c r="M57" s="3495" t="s">
        <v>3801</v>
      </c>
      <c r="N57" s="3489"/>
      <c r="O57" s="3492"/>
    </row>
    <row r="58" spans="1:15" s="3493" customFormat="1" ht="18" customHeight="1">
      <c r="A58" s="3489">
        <v>52</v>
      </c>
      <c r="B58" s="3494" t="s">
        <v>3459</v>
      </c>
      <c r="C58" s="3489" t="s">
        <v>3886</v>
      </c>
      <c r="D58" s="3489" t="s">
        <v>3795</v>
      </c>
      <c r="E58" s="3491" t="s">
        <v>3887</v>
      </c>
      <c r="F58" s="3489" t="s">
        <v>3797</v>
      </c>
      <c r="G58" s="3489">
        <v>1</v>
      </c>
      <c r="H58" s="3489">
        <v>1</v>
      </c>
      <c r="I58" s="3495">
        <v>214.88</v>
      </c>
      <c r="J58" s="3495" t="s">
        <v>3881</v>
      </c>
      <c r="K58" s="3948"/>
      <c r="L58" s="3495">
        <v>20330223</v>
      </c>
      <c r="M58" s="3495" t="s">
        <v>3801</v>
      </c>
      <c r="N58" s="3489"/>
      <c r="O58" s="3492"/>
    </row>
    <row r="59" spans="1:15" s="3493" customFormat="1" ht="18" customHeight="1">
      <c r="A59" s="3489">
        <v>53</v>
      </c>
      <c r="B59" s="3494" t="s">
        <v>3460</v>
      </c>
      <c r="C59" s="3489" t="s">
        <v>3888</v>
      </c>
      <c r="D59" s="3489" t="s">
        <v>3795</v>
      </c>
      <c r="E59" s="3491" t="s">
        <v>3796</v>
      </c>
      <c r="F59" s="3489" t="s">
        <v>3797</v>
      </c>
      <c r="G59" s="3489">
        <v>1</v>
      </c>
      <c r="H59" s="3489">
        <v>1</v>
      </c>
      <c r="I59" s="3495">
        <v>1249.8900000000001</v>
      </c>
      <c r="J59" s="3495" t="s">
        <v>3878</v>
      </c>
      <c r="K59" s="3947" t="s">
        <v>3879</v>
      </c>
      <c r="L59" s="3495">
        <v>20330223</v>
      </c>
      <c r="M59" s="3495" t="s">
        <v>3801</v>
      </c>
      <c r="N59" s="3489"/>
      <c r="O59" s="3492"/>
    </row>
    <row r="60" spans="1:15" s="3493" customFormat="1" ht="18" customHeight="1">
      <c r="A60" s="3489">
        <v>54</v>
      </c>
      <c r="B60" s="3494" t="s">
        <v>3461</v>
      </c>
      <c r="C60" s="3489" t="s">
        <v>3889</v>
      </c>
      <c r="D60" s="3489" t="s">
        <v>3795</v>
      </c>
      <c r="E60" s="3491" t="s">
        <v>3796</v>
      </c>
      <c r="F60" s="3489" t="s">
        <v>3797</v>
      </c>
      <c r="G60" s="3489">
        <v>2</v>
      </c>
      <c r="H60" s="3491" t="s">
        <v>3812</v>
      </c>
      <c r="I60" s="3495">
        <v>261.02</v>
      </c>
      <c r="J60" s="3495" t="s">
        <v>3878</v>
      </c>
      <c r="K60" s="3949"/>
      <c r="L60" s="3495">
        <v>20330223</v>
      </c>
      <c r="M60" s="3495" t="s">
        <v>3801</v>
      </c>
      <c r="N60" s="3489"/>
      <c r="O60" s="3492"/>
    </row>
    <row r="61" spans="1:15" s="3493" customFormat="1" ht="18" customHeight="1">
      <c r="A61" s="3489">
        <v>55</v>
      </c>
      <c r="B61" s="3494" t="s">
        <v>3462</v>
      </c>
      <c r="C61" s="3489" t="s">
        <v>3890</v>
      </c>
      <c r="D61" s="3489" t="s">
        <v>3795</v>
      </c>
      <c r="E61" s="3491" t="s">
        <v>3796</v>
      </c>
      <c r="F61" s="3489" t="s">
        <v>3797</v>
      </c>
      <c r="G61" s="3489">
        <v>1</v>
      </c>
      <c r="H61" s="3489">
        <v>1</v>
      </c>
      <c r="I61" s="3495">
        <v>1978.72</v>
      </c>
      <c r="J61" s="3495" t="s">
        <v>3878</v>
      </c>
      <c r="K61" s="3948"/>
      <c r="L61" s="3495">
        <v>20330223</v>
      </c>
      <c r="M61" s="3495" t="s">
        <v>3801</v>
      </c>
      <c r="N61" s="3489"/>
      <c r="O61" s="3492"/>
    </row>
    <row r="62" spans="1:15" s="3493" customFormat="1" ht="18" customHeight="1">
      <c r="A62" s="3489">
        <v>56</v>
      </c>
      <c r="B62" s="3494" t="s">
        <v>3463</v>
      </c>
      <c r="C62" s="3489" t="s">
        <v>3891</v>
      </c>
      <c r="D62" s="3489" t="s">
        <v>3795</v>
      </c>
      <c r="E62" s="3491" t="s">
        <v>3796</v>
      </c>
      <c r="F62" s="3489" t="s">
        <v>3797</v>
      </c>
      <c r="G62" s="3489">
        <v>3</v>
      </c>
      <c r="H62" s="3491" t="s">
        <v>3798</v>
      </c>
      <c r="I62" s="3495">
        <v>2524.48</v>
      </c>
      <c r="J62" s="3495" t="s">
        <v>3875</v>
      </c>
      <c r="K62" s="3947" t="s">
        <v>3876</v>
      </c>
      <c r="L62" s="3495">
        <v>20330223</v>
      </c>
      <c r="M62" s="3495" t="s">
        <v>3801</v>
      </c>
      <c r="N62" s="3489"/>
      <c r="O62" s="3492"/>
    </row>
    <row r="63" spans="1:15" s="3493" customFormat="1" ht="25.5" customHeight="1">
      <c r="A63" s="3489">
        <v>57</v>
      </c>
      <c r="B63" s="3494" t="s">
        <v>3464</v>
      </c>
      <c r="C63" s="3489" t="s">
        <v>3892</v>
      </c>
      <c r="D63" s="3489" t="s">
        <v>3795</v>
      </c>
      <c r="E63" s="3489">
        <v>1</v>
      </c>
      <c r="F63" s="3489" t="s">
        <v>3797</v>
      </c>
      <c r="G63" s="3489">
        <v>17</v>
      </c>
      <c r="H63" s="3491" t="s">
        <v>3893</v>
      </c>
      <c r="I63" s="3495">
        <v>140028.32</v>
      </c>
      <c r="J63" s="3495" t="s">
        <v>3894</v>
      </c>
      <c r="K63" s="3948"/>
      <c r="L63" s="3495">
        <v>20330223</v>
      </c>
      <c r="M63" s="3489" t="s">
        <v>3895</v>
      </c>
      <c r="N63" s="3489"/>
      <c r="O63" s="3492"/>
    </row>
    <row r="64" spans="1:15" s="3493" customFormat="1" ht="18" customHeight="1">
      <c r="A64" s="3489">
        <v>58</v>
      </c>
      <c r="B64" s="3494" t="s">
        <v>3465</v>
      </c>
      <c r="C64" s="3489" t="s">
        <v>3896</v>
      </c>
      <c r="D64" s="3489" t="s">
        <v>3795</v>
      </c>
      <c r="E64" s="3491" t="s">
        <v>3796</v>
      </c>
      <c r="F64" s="3489" t="s">
        <v>3797</v>
      </c>
      <c r="G64" s="3489">
        <v>2</v>
      </c>
      <c r="H64" s="3491" t="s">
        <v>3812</v>
      </c>
      <c r="I64" s="3497">
        <v>774.37</v>
      </c>
      <c r="J64" s="3495" t="s">
        <v>3897</v>
      </c>
      <c r="K64" s="3495" t="s">
        <v>3898</v>
      </c>
      <c r="L64" s="3495">
        <v>20330223</v>
      </c>
      <c r="M64" s="3498" t="s">
        <v>3801</v>
      </c>
      <c r="N64" s="3489"/>
      <c r="O64" s="3492"/>
    </row>
    <row r="65" spans="1:15" ht="18" customHeight="1">
      <c r="A65" s="3944">
        <v>59</v>
      </c>
      <c r="B65" s="3944" t="s">
        <v>3466</v>
      </c>
      <c r="C65" s="3944" t="s">
        <v>3899</v>
      </c>
      <c r="D65" s="3944" t="s">
        <v>3795</v>
      </c>
      <c r="E65" s="3399" t="s">
        <v>3796</v>
      </c>
      <c r="F65" s="3398" t="s">
        <v>3803</v>
      </c>
      <c r="G65" s="3398">
        <v>1</v>
      </c>
      <c r="H65" s="3398">
        <v>1</v>
      </c>
      <c r="I65" s="3411">
        <v>91.29</v>
      </c>
      <c r="J65" s="3944" t="s">
        <v>3900</v>
      </c>
      <c r="K65" s="3944" t="s">
        <v>3901</v>
      </c>
      <c r="L65" s="3944">
        <v>20330223</v>
      </c>
      <c r="M65" s="3412" t="s">
        <v>3801</v>
      </c>
      <c r="N65" s="3398"/>
      <c r="O65" s="3400"/>
    </row>
    <row r="66" spans="1:15" s="3493" customFormat="1" ht="18" customHeight="1">
      <c r="A66" s="3945"/>
      <c r="B66" s="3945"/>
      <c r="C66" s="3945"/>
      <c r="D66" s="3945"/>
      <c r="E66" s="3491" t="s">
        <v>3813</v>
      </c>
      <c r="F66" s="3489" t="s">
        <v>3797</v>
      </c>
      <c r="G66" s="3489">
        <v>1</v>
      </c>
      <c r="H66" s="3489">
        <v>1</v>
      </c>
      <c r="I66" s="3489">
        <v>129.68</v>
      </c>
      <c r="J66" s="3945"/>
      <c r="K66" s="3946"/>
      <c r="L66" s="3945"/>
      <c r="M66" s="3495" t="s">
        <v>3801</v>
      </c>
      <c r="N66" s="3489"/>
      <c r="O66" s="3492"/>
    </row>
    <row r="67" spans="1:15" s="3493" customFormat="1" ht="18" customHeight="1">
      <c r="A67" s="3489">
        <v>60</v>
      </c>
      <c r="B67" s="3494" t="s">
        <v>3467</v>
      </c>
      <c r="C67" s="3489" t="s">
        <v>3902</v>
      </c>
      <c r="D67" s="3489" t="s">
        <v>3795</v>
      </c>
      <c r="E67" s="3491" t="s">
        <v>3796</v>
      </c>
      <c r="F67" s="3489" t="s">
        <v>3797</v>
      </c>
      <c r="G67" s="3489">
        <v>3</v>
      </c>
      <c r="H67" s="3491" t="s">
        <v>3798</v>
      </c>
      <c r="I67" s="3495">
        <v>471.27</v>
      </c>
      <c r="J67" s="3495" t="s">
        <v>3900</v>
      </c>
      <c r="K67" s="3945"/>
      <c r="L67" s="3495">
        <v>20330223</v>
      </c>
      <c r="M67" s="3495" t="s">
        <v>3801</v>
      </c>
      <c r="N67" s="3489"/>
      <c r="O67" s="3492"/>
    </row>
    <row r="68" spans="1:15" s="3493" customFormat="1" ht="18" customHeight="1">
      <c r="A68" s="3489">
        <v>61</v>
      </c>
      <c r="B68" s="3494" t="s">
        <v>3468</v>
      </c>
      <c r="C68" s="3489" t="s">
        <v>3903</v>
      </c>
      <c r="D68" s="3489" t="s">
        <v>3795</v>
      </c>
      <c r="E68" s="3491" t="s">
        <v>3796</v>
      </c>
      <c r="F68" s="3489" t="s">
        <v>3797</v>
      </c>
      <c r="G68" s="3489">
        <v>3</v>
      </c>
      <c r="H68" s="3491" t="s">
        <v>3798</v>
      </c>
      <c r="I68" s="3495">
        <v>471.27</v>
      </c>
      <c r="J68" s="3495" t="s">
        <v>3904</v>
      </c>
      <c r="K68" s="3495" t="s">
        <v>3905</v>
      </c>
      <c r="L68" s="3495">
        <v>20330223</v>
      </c>
      <c r="M68" s="3495" t="s">
        <v>3801</v>
      </c>
      <c r="N68" s="3489"/>
      <c r="O68" s="3492"/>
    </row>
    <row r="69" spans="1:15" s="3493" customFormat="1" ht="18" customHeight="1">
      <c r="A69" s="3489">
        <v>62</v>
      </c>
      <c r="B69" s="3494" t="s">
        <v>3469</v>
      </c>
      <c r="C69" s="3489" t="s">
        <v>3906</v>
      </c>
      <c r="D69" s="3489" t="s">
        <v>3795</v>
      </c>
      <c r="E69" s="3491" t="s">
        <v>3796</v>
      </c>
      <c r="F69" s="3489" t="s">
        <v>3797</v>
      </c>
      <c r="G69" s="3489">
        <v>3</v>
      </c>
      <c r="H69" s="3491" t="s">
        <v>3798</v>
      </c>
      <c r="I69" s="3495">
        <v>1164.05</v>
      </c>
      <c r="J69" s="3495" t="s">
        <v>3900</v>
      </c>
      <c r="K69" s="3947" t="s">
        <v>3907</v>
      </c>
      <c r="L69" s="3495">
        <v>20330223</v>
      </c>
      <c r="M69" s="3495" t="s">
        <v>3801</v>
      </c>
      <c r="N69" s="3489"/>
      <c r="O69" s="3492"/>
    </row>
    <row r="70" spans="1:15" s="3493" customFormat="1" ht="18" customHeight="1">
      <c r="A70" s="3489">
        <v>63</v>
      </c>
      <c r="B70" s="3494" t="s">
        <v>3470</v>
      </c>
      <c r="C70" s="3489" t="s">
        <v>3908</v>
      </c>
      <c r="D70" s="3489" t="s">
        <v>3795</v>
      </c>
      <c r="E70" s="3491" t="s">
        <v>3796</v>
      </c>
      <c r="F70" s="3489" t="s">
        <v>3797</v>
      </c>
      <c r="G70" s="3489">
        <v>3</v>
      </c>
      <c r="H70" s="3491" t="s">
        <v>3798</v>
      </c>
      <c r="I70" s="3495">
        <v>441.4</v>
      </c>
      <c r="J70" s="3495" t="s">
        <v>3900</v>
      </c>
      <c r="K70" s="3948"/>
      <c r="L70" s="3495">
        <v>20330223</v>
      </c>
      <c r="M70" s="3495" t="s">
        <v>3801</v>
      </c>
      <c r="N70" s="3489"/>
      <c r="O70" s="3492"/>
    </row>
    <row r="71" spans="1:15" s="3493" customFormat="1" ht="18" customHeight="1">
      <c r="A71" s="3489">
        <v>64</v>
      </c>
      <c r="B71" s="3494" t="s">
        <v>3471</v>
      </c>
      <c r="C71" s="3489" t="s">
        <v>3909</v>
      </c>
      <c r="D71" s="3489" t="s">
        <v>3795</v>
      </c>
      <c r="E71" s="3491" t="s">
        <v>3796</v>
      </c>
      <c r="F71" s="3489" t="s">
        <v>3797</v>
      </c>
      <c r="G71" s="3489">
        <v>3</v>
      </c>
      <c r="H71" s="3491" t="s">
        <v>3798</v>
      </c>
      <c r="I71" s="3495">
        <v>1164.05</v>
      </c>
      <c r="J71" s="3495" t="s">
        <v>3904</v>
      </c>
      <c r="K71" s="3495" t="s">
        <v>3905</v>
      </c>
      <c r="L71" s="3495">
        <v>20330223</v>
      </c>
      <c r="M71" s="3495" t="s">
        <v>3801</v>
      </c>
      <c r="N71" s="3489"/>
      <c r="O71" s="3492"/>
    </row>
    <row r="72" spans="1:15" s="3493" customFormat="1" ht="18" customHeight="1">
      <c r="A72" s="3489">
        <v>65</v>
      </c>
      <c r="B72" s="3494" t="s">
        <v>3472</v>
      </c>
      <c r="C72" s="3489" t="s">
        <v>3910</v>
      </c>
      <c r="D72" s="3489" t="s">
        <v>3795</v>
      </c>
      <c r="E72" s="3491" t="s">
        <v>3796</v>
      </c>
      <c r="F72" s="3489" t="s">
        <v>3797</v>
      </c>
      <c r="G72" s="3489">
        <v>6</v>
      </c>
      <c r="H72" s="3491" t="s">
        <v>3808</v>
      </c>
      <c r="I72" s="3495">
        <v>3605.5</v>
      </c>
      <c r="J72" s="3495" t="s">
        <v>3900</v>
      </c>
      <c r="K72" s="3495" t="s">
        <v>3907</v>
      </c>
      <c r="L72" s="3495">
        <v>20330223</v>
      </c>
      <c r="M72" s="3495" t="s">
        <v>3801</v>
      </c>
      <c r="N72" s="3489"/>
      <c r="O72" s="3492"/>
    </row>
    <row r="73" spans="1:15" s="3493" customFormat="1" ht="18" customHeight="1">
      <c r="A73" s="3489">
        <v>66</v>
      </c>
      <c r="B73" s="3494" t="s">
        <v>3473</v>
      </c>
      <c r="C73" s="3489" t="s">
        <v>3911</v>
      </c>
      <c r="D73" s="3489" t="s">
        <v>3795</v>
      </c>
      <c r="E73" s="3491" t="s">
        <v>3796</v>
      </c>
      <c r="F73" s="3489" t="s">
        <v>3797</v>
      </c>
      <c r="G73" s="3489">
        <v>6</v>
      </c>
      <c r="H73" s="3491" t="s">
        <v>3808</v>
      </c>
      <c r="I73" s="3495">
        <v>3605.5</v>
      </c>
      <c r="J73" s="3495" t="s">
        <v>3904</v>
      </c>
      <c r="K73" s="3947" t="s">
        <v>3905</v>
      </c>
      <c r="L73" s="3495">
        <v>20330223</v>
      </c>
      <c r="M73" s="3495" t="s">
        <v>3801</v>
      </c>
      <c r="N73" s="3489"/>
      <c r="O73" s="3492"/>
    </row>
    <row r="74" spans="1:15" s="3493" customFormat="1" ht="18" customHeight="1">
      <c r="A74" s="3489">
        <v>67</v>
      </c>
      <c r="B74" s="3494" t="s">
        <v>3474</v>
      </c>
      <c r="C74" s="3489" t="s">
        <v>3912</v>
      </c>
      <c r="D74" s="3489" t="s">
        <v>3795</v>
      </c>
      <c r="E74" s="3491" t="s">
        <v>3796</v>
      </c>
      <c r="F74" s="3489" t="s">
        <v>3797</v>
      </c>
      <c r="G74" s="3489">
        <v>3</v>
      </c>
      <c r="H74" s="3491" t="s">
        <v>3798</v>
      </c>
      <c r="I74" s="3495">
        <v>441.4</v>
      </c>
      <c r="J74" s="3495" t="s">
        <v>3904</v>
      </c>
      <c r="K74" s="3949"/>
      <c r="L74" s="3495">
        <v>20330223</v>
      </c>
      <c r="M74" s="3495" t="s">
        <v>3801</v>
      </c>
      <c r="N74" s="3489"/>
      <c r="O74" s="3492"/>
    </row>
    <row r="75" spans="1:15" s="3493" customFormat="1" ht="18" customHeight="1">
      <c r="A75" s="3489">
        <v>68</v>
      </c>
      <c r="B75" s="3494" t="s">
        <v>3475</v>
      </c>
      <c r="C75" s="3489" t="s">
        <v>3913</v>
      </c>
      <c r="D75" s="3489" t="s">
        <v>3795</v>
      </c>
      <c r="E75" s="3491" t="s">
        <v>3796</v>
      </c>
      <c r="F75" s="3489" t="s">
        <v>3797</v>
      </c>
      <c r="G75" s="3489">
        <v>2</v>
      </c>
      <c r="H75" s="3491" t="s">
        <v>3812</v>
      </c>
      <c r="I75" s="3495">
        <v>3564.13</v>
      </c>
      <c r="J75" s="3495" t="s">
        <v>3904</v>
      </c>
      <c r="K75" s="3948"/>
      <c r="L75" s="3495">
        <v>20330223</v>
      </c>
      <c r="M75" s="3495" t="s">
        <v>3801</v>
      </c>
      <c r="N75" s="3489"/>
      <c r="O75" s="3492"/>
    </row>
    <row r="76" spans="1:15" s="3493" customFormat="1" ht="18" customHeight="1">
      <c r="A76" s="3489">
        <v>69</v>
      </c>
      <c r="B76" s="3494" t="s">
        <v>3476</v>
      </c>
      <c r="C76" s="3489" t="s">
        <v>3914</v>
      </c>
      <c r="D76" s="3489" t="s">
        <v>3795</v>
      </c>
      <c r="E76" s="3491" t="s">
        <v>3796</v>
      </c>
      <c r="F76" s="3489" t="s">
        <v>3797</v>
      </c>
      <c r="G76" s="3489">
        <v>2</v>
      </c>
      <c r="H76" s="3491" t="s">
        <v>3812</v>
      </c>
      <c r="I76" s="3495">
        <v>3564.13</v>
      </c>
      <c r="J76" s="3495" t="s">
        <v>3900</v>
      </c>
      <c r="K76" s="3495" t="s">
        <v>3907</v>
      </c>
      <c r="L76" s="3495">
        <v>20330223</v>
      </c>
      <c r="M76" s="3495" t="s">
        <v>3801</v>
      </c>
      <c r="N76" s="3489"/>
      <c r="O76" s="3492"/>
    </row>
    <row r="77" spans="1:15" s="3493" customFormat="1" ht="18" customHeight="1">
      <c r="A77" s="3489">
        <v>70</v>
      </c>
      <c r="B77" s="3494" t="s">
        <v>3477</v>
      </c>
      <c r="C77" s="3489" t="s">
        <v>3915</v>
      </c>
      <c r="D77" s="3489" t="s">
        <v>3795</v>
      </c>
      <c r="E77" s="3491" t="s">
        <v>3796</v>
      </c>
      <c r="F77" s="3489" t="s">
        <v>3797</v>
      </c>
      <c r="G77" s="3489">
        <v>2</v>
      </c>
      <c r="H77" s="3491" t="s">
        <v>3812</v>
      </c>
      <c r="I77" s="3495">
        <v>7181.46</v>
      </c>
      <c r="J77" s="3495" t="s">
        <v>3904</v>
      </c>
      <c r="K77" s="3495" t="s">
        <v>3905</v>
      </c>
      <c r="L77" s="3495">
        <v>20330223</v>
      </c>
      <c r="M77" s="3495" t="s">
        <v>3801</v>
      </c>
      <c r="N77" s="3489"/>
      <c r="O77" s="3492"/>
    </row>
    <row r="78" spans="1:15" s="3493" customFormat="1" ht="18" customHeight="1">
      <c r="A78" s="3489">
        <v>71</v>
      </c>
      <c r="B78" s="3494" t="s">
        <v>3478</v>
      </c>
      <c r="C78" s="3489" t="s">
        <v>3916</v>
      </c>
      <c r="D78" s="3489" t="s">
        <v>3795</v>
      </c>
      <c r="E78" s="3491" t="s">
        <v>3796</v>
      </c>
      <c r="F78" s="3489" t="s">
        <v>3797</v>
      </c>
      <c r="G78" s="3489">
        <v>2</v>
      </c>
      <c r="H78" s="3491" t="s">
        <v>3812</v>
      </c>
      <c r="I78" s="3495">
        <v>3311.9</v>
      </c>
      <c r="J78" s="3495" t="s">
        <v>3900</v>
      </c>
      <c r="K78" s="3495" t="s">
        <v>3907</v>
      </c>
      <c r="L78" s="3495">
        <v>20330223</v>
      </c>
      <c r="M78" s="3495" t="s">
        <v>3801</v>
      </c>
      <c r="N78" s="3489"/>
      <c r="O78" s="3492"/>
    </row>
    <row r="79" spans="1:15" s="3493" customFormat="1" ht="18" customHeight="1">
      <c r="A79" s="3489">
        <v>72</v>
      </c>
      <c r="B79" s="3494" t="s">
        <v>3479</v>
      </c>
      <c r="C79" s="3489" t="s">
        <v>3917</v>
      </c>
      <c r="D79" s="3489" t="s">
        <v>3795</v>
      </c>
      <c r="E79" s="3491" t="s">
        <v>3796</v>
      </c>
      <c r="F79" s="3489" t="s">
        <v>3797</v>
      </c>
      <c r="G79" s="3489">
        <v>2</v>
      </c>
      <c r="H79" s="3491" t="s">
        <v>3812</v>
      </c>
      <c r="I79" s="3495">
        <v>3323.45</v>
      </c>
      <c r="J79" s="3495" t="s">
        <v>3904</v>
      </c>
      <c r="K79" s="3495" t="s">
        <v>3905</v>
      </c>
      <c r="L79" s="3495">
        <v>20330223</v>
      </c>
      <c r="M79" s="3495" t="s">
        <v>3801</v>
      </c>
      <c r="N79" s="3489"/>
      <c r="O79" s="3492"/>
    </row>
    <row r="80" spans="1:15" s="3493" customFormat="1" ht="18" customHeight="1">
      <c r="A80" s="3489">
        <v>73</v>
      </c>
      <c r="B80" s="3494" t="s">
        <v>3480</v>
      </c>
      <c r="C80" s="3489" t="s">
        <v>3918</v>
      </c>
      <c r="D80" s="3489" t="s">
        <v>3795</v>
      </c>
      <c r="E80" s="3491" t="s">
        <v>3796</v>
      </c>
      <c r="F80" s="3489" t="s">
        <v>3797</v>
      </c>
      <c r="G80" s="3489">
        <v>2</v>
      </c>
      <c r="H80" s="3491" t="s">
        <v>3812</v>
      </c>
      <c r="I80" s="3495">
        <v>7181.46</v>
      </c>
      <c r="J80" s="3495" t="s">
        <v>3900</v>
      </c>
      <c r="K80" s="3947" t="s">
        <v>3907</v>
      </c>
      <c r="L80" s="3495">
        <v>20330223</v>
      </c>
      <c r="M80" s="3495" t="s">
        <v>3801</v>
      </c>
      <c r="N80" s="3489"/>
      <c r="O80" s="3492"/>
    </row>
    <row r="81" spans="1:15" s="3493" customFormat="1" ht="18" customHeight="1">
      <c r="A81" s="3489">
        <v>74</v>
      </c>
      <c r="B81" s="3494" t="s">
        <v>3481</v>
      </c>
      <c r="C81" s="3489" t="s">
        <v>3919</v>
      </c>
      <c r="D81" s="3489" t="s">
        <v>3795</v>
      </c>
      <c r="E81" s="3491" t="s">
        <v>3796</v>
      </c>
      <c r="F81" s="3489" t="s">
        <v>3797</v>
      </c>
      <c r="G81" s="3489">
        <v>2</v>
      </c>
      <c r="H81" s="3491" t="s">
        <v>3812</v>
      </c>
      <c r="I81" s="3495">
        <v>2387.21</v>
      </c>
      <c r="J81" s="3495" t="s">
        <v>3900</v>
      </c>
      <c r="K81" s="3948"/>
      <c r="L81" s="3495">
        <v>20330223</v>
      </c>
      <c r="M81" s="3495" t="s">
        <v>3801</v>
      </c>
      <c r="N81" s="3489"/>
      <c r="O81" s="3492"/>
    </row>
    <row r="82" spans="1:15" s="3493" customFormat="1" ht="18" customHeight="1">
      <c r="A82" s="3489">
        <v>75</v>
      </c>
      <c r="B82" s="3494" t="s">
        <v>3482</v>
      </c>
      <c r="C82" s="3489" t="s">
        <v>3920</v>
      </c>
      <c r="D82" s="3489" t="s">
        <v>3795</v>
      </c>
      <c r="E82" s="3491" t="s">
        <v>3796</v>
      </c>
      <c r="F82" s="3489" t="s">
        <v>3797</v>
      </c>
      <c r="G82" s="3489">
        <v>2</v>
      </c>
      <c r="H82" s="3491" t="s">
        <v>3812</v>
      </c>
      <c r="I82" s="3495">
        <v>2387.21</v>
      </c>
      <c r="J82" s="3495" t="s">
        <v>3904</v>
      </c>
      <c r="K82" s="3495" t="s">
        <v>3905</v>
      </c>
      <c r="L82" s="3495">
        <v>20330223</v>
      </c>
      <c r="M82" s="3495" t="s">
        <v>3801</v>
      </c>
      <c r="N82" s="3489"/>
      <c r="O82" s="3492"/>
    </row>
    <row r="83" spans="1:15" s="3493" customFormat="1" ht="18" customHeight="1">
      <c r="A83" s="3489">
        <v>76</v>
      </c>
      <c r="B83" s="3494" t="s">
        <v>3483</v>
      </c>
      <c r="C83" s="3489" t="s">
        <v>3921</v>
      </c>
      <c r="D83" s="3489" t="s">
        <v>3795</v>
      </c>
      <c r="E83" s="3491" t="s">
        <v>3796</v>
      </c>
      <c r="F83" s="3489" t="s">
        <v>3797</v>
      </c>
      <c r="G83" s="3489">
        <v>2</v>
      </c>
      <c r="H83" s="3491" t="s">
        <v>3812</v>
      </c>
      <c r="I83" s="3495">
        <v>995.08</v>
      </c>
      <c r="J83" s="3495" t="s">
        <v>3897</v>
      </c>
      <c r="K83" s="3495" t="s">
        <v>3898</v>
      </c>
      <c r="L83" s="3495">
        <v>20330223</v>
      </c>
      <c r="M83" s="3495" t="s">
        <v>3801</v>
      </c>
      <c r="N83" s="3489"/>
      <c r="O83" s="3492"/>
    </row>
    <row r="84" spans="1:15" s="3493" customFormat="1" ht="18" customHeight="1">
      <c r="A84" s="3489">
        <v>77</v>
      </c>
      <c r="B84" s="3494" t="s">
        <v>3484</v>
      </c>
      <c r="C84" s="3489" t="s">
        <v>3922</v>
      </c>
      <c r="D84" s="3489" t="s">
        <v>3795</v>
      </c>
      <c r="E84" s="3491" t="s">
        <v>3796</v>
      </c>
      <c r="F84" s="3489" t="s">
        <v>3797</v>
      </c>
      <c r="G84" s="3489">
        <v>2</v>
      </c>
      <c r="H84" s="3491" t="s">
        <v>3812</v>
      </c>
      <c r="I84" s="3495">
        <v>995.08</v>
      </c>
      <c r="J84" s="3495" t="s">
        <v>3872</v>
      </c>
      <c r="K84" s="3495" t="s">
        <v>3873</v>
      </c>
      <c r="L84" s="3495">
        <v>20330223</v>
      </c>
      <c r="M84" s="3495" t="s">
        <v>3801</v>
      </c>
      <c r="N84" s="3489"/>
      <c r="O84" s="3492"/>
    </row>
    <row r="85" spans="1:15" s="3493" customFormat="1" ht="18" customHeight="1">
      <c r="A85" s="3489">
        <v>78</v>
      </c>
      <c r="B85" s="3494" t="s">
        <v>3485</v>
      </c>
      <c r="C85" s="3489" t="s">
        <v>3923</v>
      </c>
      <c r="D85" s="3489" t="s">
        <v>3795</v>
      </c>
      <c r="E85" s="3491" t="s">
        <v>3796</v>
      </c>
      <c r="F85" s="3489" t="s">
        <v>3797</v>
      </c>
      <c r="G85" s="3489">
        <v>2</v>
      </c>
      <c r="H85" s="3491" t="s">
        <v>3812</v>
      </c>
      <c r="I85" s="3495">
        <v>1228.42</v>
      </c>
      <c r="J85" s="3495" t="s">
        <v>3822</v>
      </c>
      <c r="K85" s="3947" t="s">
        <v>3823</v>
      </c>
      <c r="L85" s="3495">
        <v>20330223</v>
      </c>
      <c r="M85" s="3495" t="s">
        <v>3801</v>
      </c>
      <c r="N85" s="3489"/>
      <c r="O85" s="3492"/>
    </row>
    <row r="86" spans="1:15" s="3493" customFormat="1" ht="18" customHeight="1">
      <c r="A86" s="3489">
        <v>79</v>
      </c>
      <c r="B86" s="3494" t="s">
        <v>3486</v>
      </c>
      <c r="C86" s="3489" t="s">
        <v>3924</v>
      </c>
      <c r="D86" s="3489" t="s">
        <v>3795</v>
      </c>
      <c r="E86" s="3491" t="s">
        <v>3796</v>
      </c>
      <c r="F86" s="3489" t="s">
        <v>3797</v>
      </c>
      <c r="G86" s="3489">
        <v>2</v>
      </c>
      <c r="H86" s="3491" t="s">
        <v>3812</v>
      </c>
      <c r="I86" s="3495">
        <v>1228.42</v>
      </c>
      <c r="J86" s="3495" t="s">
        <v>3822</v>
      </c>
      <c r="K86" s="3949"/>
      <c r="L86" s="3495">
        <v>20330223</v>
      </c>
      <c r="M86" s="3495" t="s">
        <v>3801</v>
      </c>
      <c r="N86" s="3489"/>
      <c r="O86" s="3492"/>
    </row>
    <row r="87" spans="1:15" s="3493" customFormat="1" ht="18" customHeight="1">
      <c r="A87" s="3489">
        <v>80</v>
      </c>
      <c r="B87" s="3494" t="s">
        <v>3487</v>
      </c>
      <c r="C87" s="3489" t="s">
        <v>3925</v>
      </c>
      <c r="D87" s="3489" t="s">
        <v>3795</v>
      </c>
      <c r="E87" s="3491" t="s">
        <v>3796</v>
      </c>
      <c r="F87" s="3489" t="s">
        <v>3797</v>
      </c>
      <c r="G87" s="3489">
        <v>3</v>
      </c>
      <c r="H87" s="3491" t="s">
        <v>3798</v>
      </c>
      <c r="I87" s="3495">
        <v>749.23</v>
      </c>
      <c r="J87" s="3495" t="s">
        <v>3822</v>
      </c>
      <c r="K87" s="3949"/>
      <c r="L87" s="3495">
        <v>20330223</v>
      </c>
      <c r="M87" s="3495" t="s">
        <v>3801</v>
      </c>
      <c r="N87" s="3489"/>
      <c r="O87" s="3492"/>
    </row>
    <row r="88" spans="1:15" s="3493" customFormat="1" ht="18" customHeight="1">
      <c r="A88" s="3489">
        <v>81</v>
      </c>
      <c r="B88" s="3494" t="s">
        <v>3488</v>
      </c>
      <c r="C88" s="3489" t="s">
        <v>3926</v>
      </c>
      <c r="D88" s="3489" t="s">
        <v>3795</v>
      </c>
      <c r="E88" s="3491" t="s">
        <v>3796</v>
      </c>
      <c r="F88" s="3491" t="s">
        <v>3797</v>
      </c>
      <c r="G88" s="3489">
        <v>6</v>
      </c>
      <c r="H88" s="3491" t="s">
        <v>3808</v>
      </c>
      <c r="I88" s="3495">
        <v>5193.3599999999997</v>
      </c>
      <c r="J88" s="3495" t="s">
        <v>3822</v>
      </c>
      <c r="K88" s="3948"/>
      <c r="L88" s="3495">
        <v>20330223</v>
      </c>
      <c r="M88" s="3495" t="s">
        <v>3801</v>
      </c>
      <c r="N88" s="3489"/>
      <c r="O88" s="3492"/>
    </row>
    <row r="89" spans="1:15" s="3493" customFormat="1" ht="18" customHeight="1">
      <c r="A89" s="3489">
        <v>82</v>
      </c>
      <c r="B89" s="3494" t="s">
        <v>3489</v>
      </c>
      <c r="C89" s="3489" t="s">
        <v>3927</v>
      </c>
      <c r="D89" s="3489" t="s">
        <v>3795</v>
      </c>
      <c r="E89" s="3491" t="s">
        <v>3796</v>
      </c>
      <c r="F89" s="3491" t="s">
        <v>3797</v>
      </c>
      <c r="G89" s="3489">
        <v>2</v>
      </c>
      <c r="H89" s="3489">
        <v>2</v>
      </c>
      <c r="I89" s="3495">
        <v>1878</v>
      </c>
      <c r="J89" s="3495" t="s">
        <v>3928</v>
      </c>
      <c r="K89" s="3950" t="s">
        <v>3929</v>
      </c>
      <c r="L89" s="3499" t="s">
        <v>3778</v>
      </c>
      <c r="M89" s="3495" t="s">
        <v>3801</v>
      </c>
      <c r="N89" s="3489"/>
      <c r="O89" s="3492"/>
    </row>
    <row r="90" spans="1:15" s="3493" customFormat="1" ht="18" customHeight="1">
      <c r="A90" s="3489">
        <v>83</v>
      </c>
      <c r="B90" s="3494" t="s">
        <v>3490</v>
      </c>
      <c r="C90" s="3489" t="s">
        <v>3930</v>
      </c>
      <c r="D90" s="3489" t="s">
        <v>3795</v>
      </c>
      <c r="E90" s="3491" t="s">
        <v>3796</v>
      </c>
      <c r="F90" s="3491" t="s">
        <v>3797</v>
      </c>
      <c r="G90" s="3489">
        <v>2</v>
      </c>
      <c r="H90" s="3500">
        <v>1</v>
      </c>
      <c r="I90" s="3495">
        <v>1891.95</v>
      </c>
      <c r="J90" s="3495" t="s">
        <v>3928</v>
      </c>
      <c r="K90" s="3951"/>
      <c r="L90" s="3495" t="s">
        <v>3778</v>
      </c>
      <c r="M90" s="3495" t="s">
        <v>3801</v>
      </c>
      <c r="N90" s="3489"/>
      <c r="O90" s="3492"/>
    </row>
    <row r="91" spans="1:15" s="3493" customFormat="1" ht="18" customHeight="1">
      <c r="A91" s="3489">
        <v>84</v>
      </c>
      <c r="B91" s="3501" t="s">
        <v>3491</v>
      </c>
      <c r="C91" s="3489" t="s">
        <v>3931</v>
      </c>
      <c r="D91" s="3489" t="s">
        <v>3795</v>
      </c>
      <c r="E91" s="3491" t="s">
        <v>3796</v>
      </c>
      <c r="F91" s="3491" t="s">
        <v>3797</v>
      </c>
      <c r="G91" s="3489">
        <v>2</v>
      </c>
      <c r="H91" s="3500">
        <v>1</v>
      </c>
      <c r="I91" s="3495">
        <v>1891.95</v>
      </c>
      <c r="J91" s="3495" t="s">
        <v>3928</v>
      </c>
      <c r="K91" s="3951"/>
      <c r="L91" s="3495" t="s">
        <v>3778</v>
      </c>
      <c r="M91" s="3495" t="s">
        <v>3801</v>
      </c>
      <c r="N91" s="3489"/>
      <c r="O91" s="3492"/>
    </row>
    <row r="92" spans="1:15" ht="18" customHeight="1">
      <c r="A92" s="3396">
        <v>85</v>
      </c>
      <c r="B92" s="3410" t="s">
        <v>3492</v>
      </c>
      <c r="C92" s="3398" t="s">
        <v>3932</v>
      </c>
      <c r="D92" s="3398" t="s">
        <v>3795</v>
      </c>
      <c r="E92" s="3399" t="s">
        <v>3796</v>
      </c>
      <c r="F92" s="3399" t="s">
        <v>3933</v>
      </c>
      <c r="G92" s="3398">
        <v>1</v>
      </c>
      <c r="H92" s="3398">
        <v>1</v>
      </c>
      <c r="I92" s="3403">
        <v>2545.15</v>
      </c>
      <c r="J92" s="3403" t="s">
        <v>3928</v>
      </c>
      <c r="K92" s="3951"/>
      <c r="L92" s="3403">
        <v>20350725</v>
      </c>
      <c r="M92" s="3403" t="s">
        <v>3801</v>
      </c>
      <c r="N92" s="3398"/>
      <c r="O92" s="3400"/>
    </row>
    <row r="93" spans="1:15" s="3493" customFormat="1" ht="18" customHeight="1">
      <c r="A93" s="3489">
        <v>86</v>
      </c>
      <c r="B93" s="3494" t="s">
        <v>3493</v>
      </c>
      <c r="C93" s="3489" t="s">
        <v>3934</v>
      </c>
      <c r="D93" s="3489" t="s">
        <v>3795</v>
      </c>
      <c r="E93" s="3491" t="s">
        <v>3796</v>
      </c>
      <c r="F93" s="3491" t="s">
        <v>3797</v>
      </c>
      <c r="G93" s="3489">
        <v>2</v>
      </c>
      <c r="H93" s="3489">
        <v>2</v>
      </c>
      <c r="I93" s="3495">
        <v>1878</v>
      </c>
      <c r="J93" s="3495" t="s">
        <v>3928</v>
      </c>
      <c r="K93" s="3951"/>
      <c r="L93" s="3495" t="s">
        <v>3778</v>
      </c>
      <c r="M93" s="3495" t="s">
        <v>3801</v>
      </c>
      <c r="N93" s="3489"/>
      <c r="O93" s="3492"/>
    </row>
    <row r="94" spans="1:15" s="3493" customFormat="1" ht="18" customHeight="1">
      <c r="A94" s="3489">
        <v>87</v>
      </c>
      <c r="B94" s="3494" t="s">
        <v>3494</v>
      </c>
      <c r="C94" s="3489" t="s">
        <v>3935</v>
      </c>
      <c r="D94" s="3489" t="s">
        <v>3795</v>
      </c>
      <c r="E94" s="3491" t="s">
        <v>3796</v>
      </c>
      <c r="F94" s="3491" t="s">
        <v>3797</v>
      </c>
      <c r="G94" s="3489">
        <v>3</v>
      </c>
      <c r="H94" s="3491" t="s">
        <v>3798</v>
      </c>
      <c r="I94" s="3495">
        <v>3868.44</v>
      </c>
      <c r="J94" s="3495" t="s">
        <v>3928</v>
      </c>
      <c r="K94" s="3951"/>
      <c r="L94" s="3495" t="s">
        <v>3778</v>
      </c>
      <c r="M94" s="3495" t="s">
        <v>3801</v>
      </c>
      <c r="N94" s="3489"/>
      <c r="O94" s="3492"/>
    </row>
    <row r="95" spans="1:15" ht="18" customHeight="1">
      <c r="A95" s="3933">
        <v>88</v>
      </c>
      <c r="B95" s="3950" t="s">
        <v>3495</v>
      </c>
      <c r="C95" s="3930" t="s">
        <v>3936</v>
      </c>
      <c r="D95" s="3930" t="s">
        <v>3795</v>
      </c>
      <c r="E95" s="3399" t="s">
        <v>3796</v>
      </c>
      <c r="F95" s="3399" t="s">
        <v>3933</v>
      </c>
      <c r="G95" s="3398">
        <v>12</v>
      </c>
      <c r="H95" s="3399" t="s">
        <v>3812</v>
      </c>
      <c r="I95" s="3403">
        <v>10303.4</v>
      </c>
      <c r="J95" s="3950" t="s">
        <v>3928</v>
      </c>
      <c r="K95" s="3951"/>
      <c r="L95" s="3950">
        <v>20350725</v>
      </c>
      <c r="M95" s="3403" t="s">
        <v>3801</v>
      </c>
      <c r="N95" s="3398"/>
      <c r="O95" s="3400"/>
    </row>
    <row r="96" spans="1:15" s="3493" customFormat="1" ht="18" customHeight="1">
      <c r="A96" s="3953"/>
      <c r="B96" s="3951"/>
      <c r="C96" s="3931"/>
      <c r="D96" s="3931"/>
      <c r="E96" s="3491" t="s">
        <v>3813</v>
      </c>
      <c r="F96" s="3491" t="s">
        <v>3797</v>
      </c>
      <c r="G96" s="3489">
        <v>12</v>
      </c>
      <c r="H96" s="3491" t="s">
        <v>3812</v>
      </c>
      <c r="I96" s="3495">
        <v>9885.84</v>
      </c>
      <c r="J96" s="3951"/>
      <c r="K96" s="3951"/>
      <c r="L96" s="3951"/>
      <c r="M96" s="3495" t="s">
        <v>3801</v>
      </c>
      <c r="N96" s="3489"/>
      <c r="O96" s="3492"/>
    </row>
    <row r="97" spans="1:15" ht="18" customHeight="1">
      <c r="A97" s="3934"/>
      <c r="B97" s="3952"/>
      <c r="C97" s="3932"/>
      <c r="D97" s="3932"/>
      <c r="E97" s="3399" t="s">
        <v>3937</v>
      </c>
      <c r="F97" s="3398" t="s">
        <v>3933</v>
      </c>
      <c r="G97" s="3398">
        <v>12</v>
      </c>
      <c r="H97" s="3399" t="s">
        <v>3938</v>
      </c>
      <c r="I97" s="3403">
        <v>41054.620000000003</v>
      </c>
      <c r="J97" s="3952"/>
      <c r="K97" s="3951"/>
      <c r="L97" s="3952"/>
      <c r="M97" s="3403" t="s">
        <v>3801</v>
      </c>
      <c r="N97" s="3398"/>
      <c r="O97" s="3400"/>
    </row>
    <row r="98" spans="1:15" s="3493" customFormat="1" ht="18" customHeight="1">
      <c r="A98" s="3489">
        <v>89</v>
      </c>
      <c r="B98" s="3494" t="s">
        <v>3496</v>
      </c>
      <c r="C98" s="3489" t="s">
        <v>3939</v>
      </c>
      <c r="D98" s="3489" t="s">
        <v>3795</v>
      </c>
      <c r="E98" s="3491" t="s">
        <v>3796</v>
      </c>
      <c r="F98" s="3489" t="s">
        <v>3797</v>
      </c>
      <c r="G98" s="3489">
        <v>2</v>
      </c>
      <c r="H98" s="3491" t="s">
        <v>3812</v>
      </c>
      <c r="I98" s="3495">
        <v>1936.28</v>
      </c>
      <c r="J98" s="3495" t="s">
        <v>3928</v>
      </c>
      <c r="K98" s="3952"/>
      <c r="L98" s="3495" t="s">
        <v>3778</v>
      </c>
      <c r="M98" s="3495" t="s">
        <v>3801</v>
      </c>
      <c r="N98" s="3489"/>
      <c r="O98" s="3492"/>
    </row>
    <row r="99" spans="1:15" ht="18" customHeight="1">
      <c r="A99" s="3933">
        <v>90</v>
      </c>
      <c r="B99" s="3950" t="s">
        <v>3497</v>
      </c>
      <c r="C99" s="3930" t="s">
        <v>3940</v>
      </c>
      <c r="D99" s="3930" t="s">
        <v>3795</v>
      </c>
      <c r="E99" s="3399" t="s">
        <v>3796</v>
      </c>
      <c r="F99" s="3399" t="s">
        <v>3933</v>
      </c>
      <c r="G99" s="3413" t="s">
        <v>3941</v>
      </c>
      <c r="H99" s="3399" t="s">
        <v>3941</v>
      </c>
      <c r="I99" s="3403">
        <v>5921.85</v>
      </c>
      <c r="J99" s="3950" t="s">
        <v>3897</v>
      </c>
      <c r="K99" s="3950" t="s">
        <v>3898</v>
      </c>
      <c r="L99" s="3950">
        <v>20350725</v>
      </c>
      <c r="M99" s="3403" t="s">
        <v>3801</v>
      </c>
      <c r="N99" s="3398"/>
      <c r="O99" s="3400"/>
    </row>
    <row r="100" spans="1:15" s="3493" customFormat="1" ht="18" customHeight="1">
      <c r="A100" s="3934"/>
      <c r="B100" s="3952"/>
      <c r="C100" s="3932"/>
      <c r="D100" s="3932"/>
      <c r="E100" s="3491" t="s">
        <v>3813</v>
      </c>
      <c r="F100" s="3491" t="s">
        <v>3867</v>
      </c>
      <c r="G100" s="3502" t="s">
        <v>3942</v>
      </c>
      <c r="H100" s="3491" t="s">
        <v>3812</v>
      </c>
      <c r="I100" s="3495">
        <v>4411.18</v>
      </c>
      <c r="J100" s="3952"/>
      <c r="K100" s="3951"/>
      <c r="L100" s="3952"/>
      <c r="M100" s="3495" t="s">
        <v>3801</v>
      </c>
      <c r="N100" s="3489"/>
      <c r="O100" s="3492"/>
    </row>
    <row r="101" spans="1:15" ht="18" customHeight="1">
      <c r="A101" s="3933">
        <v>91</v>
      </c>
      <c r="B101" s="3950" t="s">
        <v>3498</v>
      </c>
      <c r="C101" s="3930" t="s">
        <v>3943</v>
      </c>
      <c r="D101" s="3930" t="s">
        <v>3795</v>
      </c>
      <c r="E101" s="3399" t="s">
        <v>3796</v>
      </c>
      <c r="F101" s="3399" t="s">
        <v>3933</v>
      </c>
      <c r="G101" s="3413" t="s">
        <v>3942</v>
      </c>
      <c r="H101" s="3399" t="s">
        <v>3812</v>
      </c>
      <c r="I101" s="3403">
        <v>11325.54</v>
      </c>
      <c r="J101" s="3950" t="s">
        <v>3897</v>
      </c>
      <c r="K101" s="3951"/>
      <c r="L101" s="3950" t="s">
        <v>3778</v>
      </c>
      <c r="M101" s="3403" t="s">
        <v>3801</v>
      </c>
      <c r="N101" s="3398"/>
      <c r="O101" s="3400"/>
    </row>
    <row r="102" spans="1:15" s="3493" customFormat="1" ht="18" customHeight="1">
      <c r="A102" s="3934"/>
      <c r="B102" s="3952"/>
      <c r="C102" s="3932"/>
      <c r="D102" s="3932"/>
      <c r="E102" s="3491" t="s">
        <v>3813</v>
      </c>
      <c r="F102" s="3491" t="s">
        <v>3797</v>
      </c>
      <c r="G102" s="3489">
        <v>2</v>
      </c>
      <c r="H102" s="3491" t="s">
        <v>3812</v>
      </c>
      <c r="I102" s="3495">
        <v>736.56</v>
      </c>
      <c r="J102" s="3952"/>
      <c r="K102" s="3951"/>
      <c r="L102" s="3952"/>
      <c r="M102" s="3495" t="s">
        <v>3801</v>
      </c>
      <c r="N102" s="3489"/>
      <c r="O102" s="3492"/>
    </row>
    <row r="103" spans="1:15" ht="18" customHeight="1">
      <c r="A103" s="3933">
        <v>92</v>
      </c>
      <c r="B103" s="3950" t="s">
        <v>3499</v>
      </c>
      <c r="C103" s="3930" t="s">
        <v>3944</v>
      </c>
      <c r="D103" s="3930" t="s">
        <v>3795</v>
      </c>
      <c r="E103" s="3399" t="s">
        <v>3796</v>
      </c>
      <c r="F103" s="3399" t="s">
        <v>3933</v>
      </c>
      <c r="G103" s="3398">
        <v>2</v>
      </c>
      <c r="H103" s="3399" t="s">
        <v>3812</v>
      </c>
      <c r="I103" s="3403">
        <v>3885.02</v>
      </c>
      <c r="J103" s="3950" t="s">
        <v>3897</v>
      </c>
      <c r="K103" s="3951"/>
      <c r="L103" s="3950" t="s">
        <v>3778</v>
      </c>
      <c r="M103" s="3403" t="s">
        <v>3801</v>
      </c>
      <c r="N103" s="3398"/>
      <c r="O103" s="3400"/>
    </row>
    <row r="104" spans="1:15" s="3493" customFormat="1" ht="18" customHeight="1">
      <c r="A104" s="3934"/>
      <c r="B104" s="3952"/>
      <c r="C104" s="3932"/>
      <c r="D104" s="3932"/>
      <c r="E104" s="3491" t="s">
        <v>3813</v>
      </c>
      <c r="F104" s="3491" t="s">
        <v>3797</v>
      </c>
      <c r="G104" s="3489">
        <v>5</v>
      </c>
      <c r="H104" s="3491" t="s">
        <v>3860</v>
      </c>
      <c r="I104" s="3495">
        <v>6727.21</v>
      </c>
      <c r="J104" s="3952"/>
      <c r="K104" s="3951"/>
      <c r="L104" s="3952"/>
      <c r="M104" s="3495" t="s">
        <v>3801</v>
      </c>
      <c r="N104" s="3489"/>
      <c r="O104" s="3492"/>
    </row>
    <row r="105" spans="1:15" s="3493" customFormat="1" ht="18" customHeight="1">
      <c r="A105" s="3489">
        <v>93</v>
      </c>
      <c r="B105" s="3494" t="s">
        <v>3500</v>
      </c>
      <c r="C105" s="3489" t="s">
        <v>3945</v>
      </c>
      <c r="D105" s="3489" t="s">
        <v>3795</v>
      </c>
      <c r="E105" s="3491" t="s">
        <v>3796</v>
      </c>
      <c r="F105" s="3491" t="s">
        <v>3797</v>
      </c>
      <c r="G105" s="3489">
        <v>6</v>
      </c>
      <c r="H105" s="3491" t="s">
        <v>3808</v>
      </c>
      <c r="I105" s="3495">
        <v>6539.35</v>
      </c>
      <c r="J105" s="3495" t="s">
        <v>3897</v>
      </c>
      <c r="K105" s="3952"/>
      <c r="L105" s="3495">
        <v>20350725</v>
      </c>
      <c r="M105" s="3495" t="s">
        <v>3801</v>
      </c>
      <c r="N105" s="3489"/>
      <c r="O105" s="3492"/>
    </row>
    <row r="106" spans="1:15" ht="18" customHeight="1">
      <c r="A106" s="3933">
        <v>94</v>
      </c>
      <c r="B106" s="3954" t="s">
        <v>3501</v>
      </c>
      <c r="C106" s="3930" t="s">
        <v>3946</v>
      </c>
      <c r="D106" s="3930" t="s">
        <v>3795</v>
      </c>
      <c r="E106" s="3399" t="s">
        <v>3796</v>
      </c>
      <c r="F106" s="3399" t="s">
        <v>3933</v>
      </c>
      <c r="G106" s="3413" t="s">
        <v>3941</v>
      </c>
      <c r="H106" s="3399" t="s">
        <v>3941</v>
      </c>
      <c r="I106" s="3403">
        <v>8060.94</v>
      </c>
      <c r="J106" s="3950" t="s">
        <v>3872</v>
      </c>
      <c r="K106" s="3950" t="s">
        <v>3873</v>
      </c>
      <c r="L106" s="3950">
        <v>20350725</v>
      </c>
      <c r="M106" s="3403" t="s">
        <v>3801</v>
      </c>
      <c r="N106" s="3398"/>
      <c r="O106" s="3400"/>
    </row>
    <row r="107" spans="1:15" s="3493" customFormat="1" ht="18" customHeight="1">
      <c r="A107" s="3934"/>
      <c r="B107" s="3955"/>
      <c r="C107" s="3932"/>
      <c r="D107" s="3932"/>
      <c r="E107" s="3491" t="s">
        <v>3813</v>
      </c>
      <c r="F107" s="3491" t="s">
        <v>3797</v>
      </c>
      <c r="G107" s="3502" t="s">
        <v>3942</v>
      </c>
      <c r="H107" s="3491" t="s">
        <v>3812</v>
      </c>
      <c r="I107" s="3495">
        <v>4739.88</v>
      </c>
      <c r="J107" s="3952"/>
      <c r="K107" s="3951"/>
      <c r="L107" s="3952"/>
      <c r="M107" s="3495" t="s">
        <v>3801</v>
      </c>
      <c r="N107" s="3489"/>
      <c r="O107" s="3492"/>
    </row>
    <row r="108" spans="1:15" ht="18" customHeight="1">
      <c r="A108" s="3933">
        <v>95</v>
      </c>
      <c r="B108" s="3950" t="s">
        <v>3502</v>
      </c>
      <c r="C108" s="3930" t="s">
        <v>3947</v>
      </c>
      <c r="D108" s="3930" t="s">
        <v>3795</v>
      </c>
      <c r="E108" s="3399" t="s">
        <v>3796</v>
      </c>
      <c r="F108" s="3399" t="s">
        <v>3933</v>
      </c>
      <c r="G108" s="3413" t="s">
        <v>3942</v>
      </c>
      <c r="H108" s="3399" t="s">
        <v>3812</v>
      </c>
      <c r="I108" s="3403">
        <v>8368.8700000000008</v>
      </c>
      <c r="J108" s="3950" t="s">
        <v>3872</v>
      </c>
      <c r="K108" s="3951"/>
      <c r="L108" s="3950">
        <v>20350725</v>
      </c>
      <c r="M108" s="3403" t="s">
        <v>3801</v>
      </c>
      <c r="N108" s="3398"/>
      <c r="O108" s="3400"/>
    </row>
    <row r="109" spans="1:15" s="3493" customFormat="1" ht="18" customHeight="1">
      <c r="A109" s="3953"/>
      <c r="B109" s="3951"/>
      <c r="C109" s="3931"/>
      <c r="D109" s="3931"/>
      <c r="E109" s="3491" t="s">
        <v>3813</v>
      </c>
      <c r="F109" s="3491" t="s">
        <v>3797</v>
      </c>
      <c r="G109" s="3502" t="s">
        <v>3942</v>
      </c>
      <c r="H109" s="3491" t="s">
        <v>3812</v>
      </c>
      <c r="I109" s="3495">
        <v>5912.54</v>
      </c>
      <c r="J109" s="3951"/>
      <c r="K109" s="3951"/>
      <c r="L109" s="3951"/>
      <c r="M109" s="3495" t="s">
        <v>3801</v>
      </c>
      <c r="N109" s="3489"/>
      <c r="O109" s="3492"/>
    </row>
    <row r="110" spans="1:15" s="3493" customFormat="1" ht="18" customHeight="1">
      <c r="A110" s="3934"/>
      <c r="B110" s="3952"/>
      <c r="C110" s="3932"/>
      <c r="D110" s="3932"/>
      <c r="E110" s="3491" t="s">
        <v>3937</v>
      </c>
      <c r="F110" s="3489" t="s">
        <v>3797</v>
      </c>
      <c r="G110" s="3489">
        <v>2</v>
      </c>
      <c r="H110" s="3491" t="s">
        <v>3812</v>
      </c>
      <c r="I110" s="3495">
        <v>1006.78</v>
      </c>
      <c r="J110" s="3952"/>
      <c r="K110" s="3951"/>
      <c r="L110" s="3952"/>
      <c r="M110" s="3495" t="s">
        <v>3801</v>
      </c>
      <c r="N110" s="3489"/>
      <c r="O110" s="3492"/>
    </row>
    <row r="111" spans="1:15" s="3493" customFormat="1" ht="18" customHeight="1">
      <c r="A111" s="3489">
        <v>96</v>
      </c>
      <c r="B111" s="3501" t="s">
        <v>3503</v>
      </c>
      <c r="C111" s="3489" t="s">
        <v>3948</v>
      </c>
      <c r="D111" s="3489" t="s">
        <v>3795</v>
      </c>
      <c r="E111" s="3491" t="s">
        <v>3796</v>
      </c>
      <c r="F111" s="3491" t="s">
        <v>3797</v>
      </c>
      <c r="G111" s="3489">
        <v>6</v>
      </c>
      <c r="H111" s="3503" t="s">
        <v>3949</v>
      </c>
      <c r="I111" s="3495">
        <v>2088.66</v>
      </c>
      <c r="J111" s="3495" t="s">
        <v>3872</v>
      </c>
      <c r="K111" s="3951"/>
      <c r="L111" s="3495">
        <v>20350725</v>
      </c>
      <c r="M111" s="3495" t="s">
        <v>3801</v>
      </c>
      <c r="N111" s="3489"/>
      <c r="O111" s="3492"/>
    </row>
    <row r="112" spans="1:15" s="3493" customFormat="1" ht="18" customHeight="1">
      <c r="A112" s="3489">
        <v>97</v>
      </c>
      <c r="B112" s="3494" t="s">
        <v>3504</v>
      </c>
      <c r="C112" s="3489" t="s">
        <v>3950</v>
      </c>
      <c r="D112" s="3489" t="s">
        <v>3795</v>
      </c>
      <c r="E112" s="3491" t="s">
        <v>3796</v>
      </c>
      <c r="F112" s="3491" t="s">
        <v>3797</v>
      </c>
      <c r="G112" s="3489">
        <v>5</v>
      </c>
      <c r="H112" s="3491" t="s">
        <v>3860</v>
      </c>
      <c r="I112" s="3495">
        <v>5331.63</v>
      </c>
      <c r="J112" s="3495" t="s">
        <v>3872</v>
      </c>
      <c r="K112" s="3952"/>
      <c r="L112" s="3495">
        <v>20350725</v>
      </c>
      <c r="M112" s="3495" t="s">
        <v>3801</v>
      </c>
      <c r="N112" s="3489"/>
      <c r="O112" s="3492"/>
    </row>
    <row r="113" spans="1:16" s="3493" customFormat="1" ht="18" customHeight="1">
      <c r="A113" s="3489">
        <v>98</v>
      </c>
      <c r="B113" s="3494" t="s">
        <v>3505</v>
      </c>
      <c r="C113" s="3489" t="s">
        <v>3951</v>
      </c>
      <c r="D113" s="3489" t="s">
        <v>3795</v>
      </c>
      <c r="E113" s="3491" t="s">
        <v>3796</v>
      </c>
      <c r="F113" s="3491" t="s">
        <v>3797</v>
      </c>
      <c r="G113" s="3489">
        <v>6</v>
      </c>
      <c r="H113" s="3491" t="s">
        <v>3808</v>
      </c>
      <c r="I113" s="3495">
        <v>7331.91</v>
      </c>
      <c r="J113" s="3495" t="s">
        <v>3952</v>
      </c>
      <c r="K113" s="3495" t="s">
        <v>3953</v>
      </c>
      <c r="L113" s="3495">
        <v>20440627</v>
      </c>
      <c r="M113" s="3495" t="s">
        <v>3801</v>
      </c>
      <c r="N113" s="3489"/>
      <c r="O113" s="3492"/>
    </row>
    <row r="114" spans="1:16" s="3493" customFormat="1" ht="18" customHeight="1">
      <c r="A114" s="3489">
        <v>99</v>
      </c>
      <c r="B114" s="3494" t="s">
        <v>3506</v>
      </c>
      <c r="C114" s="3489" t="s">
        <v>3954</v>
      </c>
      <c r="D114" s="3489" t="s">
        <v>3795</v>
      </c>
      <c r="E114" s="3491" t="s">
        <v>3796</v>
      </c>
      <c r="F114" s="3491" t="s">
        <v>3797</v>
      </c>
      <c r="G114" s="3502" t="s">
        <v>3941</v>
      </c>
      <c r="H114" s="3491" t="s">
        <v>3941</v>
      </c>
      <c r="I114" s="3495">
        <v>422</v>
      </c>
      <c r="J114" s="3495" t="s">
        <v>3955</v>
      </c>
      <c r="K114" s="3947" t="s">
        <v>3956</v>
      </c>
      <c r="L114" s="3495">
        <v>20440627</v>
      </c>
      <c r="M114" s="3495" t="s">
        <v>3801</v>
      </c>
      <c r="N114" s="3489"/>
      <c r="O114" s="3492"/>
    </row>
    <row r="115" spans="1:16" s="3493" customFormat="1" ht="18" customHeight="1">
      <c r="A115" s="3489">
        <v>100</v>
      </c>
      <c r="B115" s="3494" t="s">
        <v>3507</v>
      </c>
      <c r="C115" s="3489" t="s">
        <v>3957</v>
      </c>
      <c r="D115" s="3489" t="s">
        <v>3795</v>
      </c>
      <c r="E115" s="3491" t="s">
        <v>3958</v>
      </c>
      <c r="F115" s="3491" t="s">
        <v>3797</v>
      </c>
      <c r="G115" s="3502" t="s">
        <v>3941</v>
      </c>
      <c r="H115" s="3491" t="s">
        <v>3941</v>
      </c>
      <c r="I115" s="3495">
        <v>522</v>
      </c>
      <c r="J115" s="3495" t="s">
        <v>3955</v>
      </c>
      <c r="K115" s="3948"/>
      <c r="L115" s="3495">
        <v>20440627</v>
      </c>
      <c r="M115" s="3495" t="s">
        <v>3801</v>
      </c>
      <c r="N115" s="3489"/>
      <c r="O115" s="3492"/>
    </row>
    <row r="116" spans="1:16" s="3493" customFormat="1" ht="18" customHeight="1">
      <c r="A116" s="3489">
        <v>101</v>
      </c>
      <c r="B116" s="3494" t="s">
        <v>3508</v>
      </c>
      <c r="C116" s="3504" t="s">
        <v>3959</v>
      </c>
      <c r="D116" s="3489" t="s">
        <v>3795</v>
      </c>
      <c r="E116" s="3504" t="s">
        <v>3778</v>
      </c>
      <c r="F116" s="3491" t="s">
        <v>3797</v>
      </c>
      <c r="G116" s="3504">
        <v>2</v>
      </c>
      <c r="H116" s="3491" t="s">
        <v>3812</v>
      </c>
      <c r="I116" s="3504">
        <v>2073.04</v>
      </c>
      <c r="J116" s="3495"/>
      <c r="K116" s="3495"/>
      <c r="L116" s="3495" t="s">
        <v>3778</v>
      </c>
      <c r="M116" s="3495" t="s">
        <v>3801</v>
      </c>
      <c r="N116" s="3504"/>
      <c r="O116" s="3505"/>
      <c r="P116" s="3506" t="s">
        <v>3960</v>
      </c>
    </row>
    <row r="117" spans="1:16" s="3493" customFormat="1" ht="18" customHeight="1">
      <c r="A117" s="3489">
        <v>102</v>
      </c>
      <c r="B117" s="3494" t="s">
        <v>3509</v>
      </c>
      <c r="C117" s="3504" t="s">
        <v>3961</v>
      </c>
      <c r="D117" s="3489" t="s">
        <v>3795</v>
      </c>
      <c r="E117" s="3491" t="s">
        <v>3796</v>
      </c>
      <c r="F117" s="3491" t="s">
        <v>3797</v>
      </c>
      <c r="G117" s="3489">
        <v>6</v>
      </c>
      <c r="H117" s="3491" t="s">
        <v>3808</v>
      </c>
      <c r="I117" s="3504">
        <v>5786.29</v>
      </c>
      <c r="J117" s="3495"/>
      <c r="K117" s="3495"/>
      <c r="L117" s="3495" t="s">
        <v>3778</v>
      </c>
      <c r="M117" s="3495" t="s">
        <v>3801</v>
      </c>
      <c r="N117" s="3504"/>
      <c r="O117" s="3505"/>
      <c r="P117" s="3506" t="s">
        <v>3960</v>
      </c>
    </row>
    <row r="118" spans="1:16" s="3493" customFormat="1" ht="18" customHeight="1">
      <c r="A118" s="3489">
        <v>103</v>
      </c>
      <c r="B118" s="3494" t="s">
        <v>3510</v>
      </c>
      <c r="C118" s="3504" t="s">
        <v>3962</v>
      </c>
      <c r="D118" s="3489" t="s">
        <v>3795</v>
      </c>
      <c r="E118" s="3504" t="s">
        <v>3778</v>
      </c>
      <c r="F118" s="3504" t="s">
        <v>3797</v>
      </c>
      <c r="G118" s="3504">
        <v>2</v>
      </c>
      <c r="H118" s="3491" t="s">
        <v>3812</v>
      </c>
      <c r="I118" s="3504">
        <v>7312.96</v>
      </c>
      <c r="J118" s="3495"/>
      <c r="K118" s="3495"/>
      <c r="L118" s="3495" t="s">
        <v>3778</v>
      </c>
      <c r="M118" s="3495" t="s">
        <v>3801</v>
      </c>
      <c r="N118" s="3504"/>
      <c r="O118" s="3505"/>
      <c r="P118" s="3506" t="s">
        <v>3960</v>
      </c>
    </row>
    <row r="119" spans="1:16" s="3493" customFormat="1" ht="18" customHeight="1">
      <c r="A119" s="3489">
        <v>104</v>
      </c>
      <c r="B119" s="3494" t="s">
        <v>3511</v>
      </c>
      <c r="C119" s="3504" t="s">
        <v>3963</v>
      </c>
      <c r="D119" s="3489" t="s">
        <v>3795</v>
      </c>
      <c r="E119" s="3504" t="s">
        <v>3964</v>
      </c>
      <c r="F119" s="3504" t="s">
        <v>3797</v>
      </c>
      <c r="G119" s="3504">
        <v>2</v>
      </c>
      <c r="H119" s="3491" t="s">
        <v>3812</v>
      </c>
      <c r="I119" s="3504">
        <v>4412.8100000000004</v>
      </c>
      <c r="J119" s="3495"/>
      <c r="K119" s="3495"/>
      <c r="L119" s="3495" t="s">
        <v>3778</v>
      </c>
      <c r="M119" s="3495" t="s">
        <v>3801</v>
      </c>
      <c r="N119" s="3504"/>
      <c r="O119" s="3505"/>
      <c r="P119" s="3506" t="s">
        <v>3960</v>
      </c>
    </row>
    <row r="120" spans="1:16" s="3493" customFormat="1" ht="18" customHeight="1">
      <c r="A120" s="3489">
        <v>105</v>
      </c>
      <c r="B120" s="3494" t="s">
        <v>3512</v>
      </c>
      <c r="C120" s="3504" t="s">
        <v>3965</v>
      </c>
      <c r="D120" s="3489" t="s">
        <v>3795</v>
      </c>
      <c r="E120" s="3504" t="s">
        <v>3778</v>
      </c>
      <c r="F120" s="3504" t="s">
        <v>3797</v>
      </c>
      <c r="G120" s="3504">
        <v>2</v>
      </c>
      <c r="H120" s="3491" t="s">
        <v>3812</v>
      </c>
      <c r="I120" s="3504">
        <v>5660.86</v>
      </c>
      <c r="J120" s="3495"/>
      <c r="K120" s="3495"/>
      <c r="L120" s="3495" t="s">
        <v>3778</v>
      </c>
      <c r="M120" s="3495" t="s">
        <v>3801</v>
      </c>
      <c r="N120" s="3504"/>
      <c r="O120" s="3505"/>
      <c r="P120" s="3506" t="s">
        <v>3960</v>
      </c>
    </row>
    <row r="121" spans="1:16" s="3493" customFormat="1" ht="18" customHeight="1">
      <c r="A121" s="3489">
        <v>106</v>
      </c>
      <c r="B121" s="3494" t="s">
        <v>3513</v>
      </c>
      <c r="C121" s="3504" t="s">
        <v>3966</v>
      </c>
      <c r="D121" s="3489" t="s">
        <v>3795</v>
      </c>
      <c r="E121" s="3504" t="s">
        <v>3967</v>
      </c>
      <c r="F121" s="3504" t="s">
        <v>3797</v>
      </c>
      <c r="G121" s="3504">
        <v>2</v>
      </c>
      <c r="H121" s="3491" t="s">
        <v>3812</v>
      </c>
      <c r="I121" s="3504">
        <v>1627.42</v>
      </c>
      <c r="J121" s="3495"/>
      <c r="K121" s="3495"/>
      <c r="L121" s="3495" t="s">
        <v>3778</v>
      </c>
      <c r="M121" s="3495" t="s">
        <v>3801</v>
      </c>
      <c r="N121" s="3504"/>
      <c r="O121" s="3505"/>
      <c r="P121" s="3506" t="s">
        <v>3960</v>
      </c>
    </row>
    <row r="122" spans="1:16" s="3493" customFormat="1" ht="18" customHeight="1">
      <c r="A122" s="3489">
        <v>107</v>
      </c>
      <c r="B122" s="3494" t="s">
        <v>3514</v>
      </c>
      <c r="C122" s="3504" t="s">
        <v>3968</v>
      </c>
      <c r="D122" s="3489" t="s">
        <v>3795</v>
      </c>
      <c r="E122" s="3504" t="s">
        <v>3778</v>
      </c>
      <c r="F122" s="3504" t="s">
        <v>3797</v>
      </c>
      <c r="G122" s="3504">
        <v>2</v>
      </c>
      <c r="H122" s="3491" t="s">
        <v>3812</v>
      </c>
      <c r="I122" s="3504">
        <v>5514.34</v>
      </c>
      <c r="J122" s="3495"/>
      <c r="K122" s="3495"/>
      <c r="L122" s="3495" t="s">
        <v>3778</v>
      </c>
      <c r="M122" s="3495" t="s">
        <v>3801</v>
      </c>
      <c r="N122" s="3504"/>
      <c r="O122" s="3505"/>
      <c r="P122" s="3506" t="s">
        <v>3960</v>
      </c>
    </row>
    <row r="123" spans="1:16" s="3493" customFormat="1" ht="18" customHeight="1">
      <c r="A123" s="3489">
        <v>108</v>
      </c>
      <c r="B123" s="3494" t="s">
        <v>3515</v>
      </c>
      <c r="C123" s="3504" t="s">
        <v>3969</v>
      </c>
      <c r="D123" s="3489" t="s">
        <v>3795</v>
      </c>
      <c r="E123" s="3504" t="s">
        <v>3778</v>
      </c>
      <c r="F123" s="3504" t="s">
        <v>3797</v>
      </c>
      <c r="G123" s="3504">
        <v>2</v>
      </c>
      <c r="H123" s="3491" t="s">
        <v>3812</v>
      </c>
      <c r="I123" s="3504">
        <v>6086.66</v>
      </c>
      <c r="J123" s="3495"/>
      <c r="K123" s="3495"/>
      <c r="L123" s="3495" t="s">
        <v>3778</v>
      </c>
      <c r="M123" s="3495" t="s">
        <v>3801</v>
      </c>
      <c r="N123" s="3504"/>
      <c r="O123" s="3505"/>
      <c r="P123" s="3506" t="s">
        <v>3960</v>
      </c>
    </row>
    <row r="124" spans="1:16" s="3493" customFormat="1" ht="18" customHeight="1">
      <c r="A124" s="3489">
        <v>109</v>
      </c>
      <c r="B124" s="3501" t="s">
        <v>3516</v>
      </c>
      <c r="C124" s="3504" t="s">
        <v>3970</v>
      </c>
      <c r="D124" s="3489" t="s">
        <v>3795</v>
      </c>
      <c r="E124" s="3491" t="s">
        <v>3796</v>
      </c>
      <c r="F124" s="3504" t="s">
        <v>3797</v>
      </c>
      <c r="G124" s="3504">
        <v>6</v>
      </c>
      <c r="H124" s="3503" t="s">
        <v>3812</v>
      </c>
      <c r="I124" s="3504">
        <v>2159.9499999999998</v>
      </c>
      <c r="J124" s="3495"/>
      <c r="K124" s="3495"/>
      <c r="L124" s="3495" t="s">
        <v>3778</v>
      </c>
      <c r="M124" s="3495" t="s">
        <v>3801</v>
      </c>
      <c r="N124" s="3504"/>
      <c r="O124" s="3505"/>
      <c r="P124" s="3506" t="s">
        <v>3960</v>
      </c>
    </row>
    <row r="125" spans="1:16" s="3493" customFormat="1" ht="18" customHeight="1">
      <c r="A125" s="3489">
        <v>110</v>
      </c>
      <c r="B125" s="3501" t="s">
        <v>3517</v>
      </c>
      <c r="C125" s="3504" t="s">
        <v>3971</v>
      </c>
      <c r="D125" s="3489" t="s">
        <v>3795</v>
      </c>
      <c r="E125" s="3491" t="s">
        <v>3796</v>
      </c>
      <c r="F125" s="3504" t="s">
        <v>3797</v>
      </c>
      <c r="G125" s="3504">
        <v>6</v>
      </c>
      <c r="H125" s="3507">
        <v>1</v>
      </c>
      <c r="I125" s="3504">
        <v>466.06</v>
      </c>
      <c r="J125" s="3495"/>
      <c r="K125" s="3495"/>
      <c r="L125" s="3495" t="s">
        <v>3778</v>
      </c>
      <c r="M125" s="3495" t="s">
        <v>3801</v>
      </c>
      <c r="N125" s="3504"/>
      <c r="O125" s="3505"/>
      <c r="P125" s="3506" t="s">
        <v>3960</v>
      </c>
    </row>
    <row r="126" spans="1:16" s="3493" customFormat="1" ht="18" customHeight="1">
      <c r="A126" s="3489">
        <v>111</v>
      </c>
      <c r="B126" s="3501" t="s">
        <v>3518</v>
      </c>
      <c r="C126" s="3504" t="s">
        <v>3972</v>
      </c>
      <c r="D126" s="3489" t="s">
        <v>3795</v>
      </c>
      <c r="E126" s="3491" t="s">
        <v>3796</v>
      </c>
      <c r="F126" s="3504" t="s">
        <v>3797</v>
      </c>
      <c r="G126" s="3504">
        <v>6</v>
      </c>
      <c r="H126" s="3503" t="s">
        <v>3812</v>
      </c>
      <c r="I126" s="3504">
        <v>1619.61</v>
      </c>
      <c r="J126" s="3495"/>
      <c r="K126" s="3495"/>
      <c r="L126" s="3495" t="s">
        <v>3778</v>
      </c>
      <c r="M126" s="3495" t="s">
        <v>3801</v>
      </c>
      <c r="N126" s="3504"/>
      <c r="O126" s="3505"/>
      <c r="P126" s="3506" t="s">
        <v>3960</v>
      </c>
    </row>
    <row r="127" spans="1:16" s="3493" customFormat="1" ht="18" customHeight="1">
      <c r="A127" s="3489">
        <v>112</v>
      </c>
      <c r="B127" s="3494" t="s">
        <v>3519</v>
      </c>
      <c r="C127" s="3489" t="s">
        <v>3973</v>
      </c>
      <c r="D127" s="3489" t="s">
        <v>3795</v>
      </c>
      <c r="E127" s="3491" t="s">
        <v>3796</v>
      </c>
      <c r="F127" s="3491" t="s">
        <v>3797</v>
      </c>
      <c r="G127" s="3489">
        <v>3</v>
      </c>
      <c r="H127" s="3491" t="s">
        <v>3798</v>
      </c>
      <c r="I127" s="3495">
        <v>2327.5100000000002</v>
      </c>
      <c r="J127" s="3495" t="s">
        <v>3974</v>
      </c>
      <c r="K127" s="3495" t="s">
        <v>3764</v>
      </c>
      <c r="L127" s="3495">
        <v>20430102</v>
      </c>
      <c r="M127" s="3495" t="s">
        <v>3801</v>
      </c>
      <c r="N127" s="3489"/>
      <c r="O127" s="3492"/>
    </row>
    <row r="128" spans="1:16" s="3409" customFormat="1" ht="18" customHeight="1">
      <c r="A128" s="3404">
        <v>113</v>
      </c>
      <c r="B128" s="3414" t="s">
        <v>3975</v>
      </c>
      <c r="C128" s="3405" t="s">
        <v>3976</v>
      </c>
      <c r="D128" s="3405" t="s">
        <v>3795</v>
      </c>
      <c r="E128" s="3406" t="s">
        <v>3796</v>
      </c>
      <c r="F128" s="3406" t="s">
        <v>3797</v>
      </c>
      <c r="G128" s="3405">
        <v>1</v>
      </c>
      <c r="H128" s="3405">
        <v>1</v>
      </c>
      <c r="I128" s="3407">
        <v>69.56</v>
      </c>
      <c r="J128" s="3405" t="s">
        <v>3822</v>
      </c>
      <c r="K128" s="3941" t="s">
        <v>3823</v>
      </c>
      <c r="L128" s="3405">
        <v>20330223</v>
      </c>
      <c r="M128" s="3407" t="s">
        <v>3801</v>
      </c>
      <c r="N128" s="3941" t="s">
        <v>3824</v>
      </c>
      <c r="O128" s="3408"/>
    </row>
    <row r="129" spans="1:15" s="3409" customFormat="1" ht="18" customHeight="1">
      <c r="A129" s="3404">
        <v>114</v>
      </c>
      <c r="B129" s="3414" t="s">
        <v>3977</v>
      </c>
      <c r="C129" s="3405" t="s">
        <v>3978</v>
      </c>
      <c r="D129" s="3405" t="s">
        <v>3795</v>
      </c>
      <c r="E129" s="3406" t="s">
        <v>3796</v>
      </c>
      <c r="F129" s="3406" t="s">
        <v>3797</v>
      </c>
      <c r="G129" s="3405">
        <v>1</v>
      </c>
      <c r="H129" s="3405">
        <v>1</v>
      </c>
      <c r="I129" s="3407">
        <v>69.56</v>
      </c>
      <c r="J129" s="3405" t="s">
        <v>3822</v>
      </c>
      <c r="K129" s="3942"/>
      <c r="L129" s="3405">
        <v>20330223</v>
      </c>
      <c r="M129" s="3407" t="s">
        <v>3801</v>
      </c>
      <c r="N129" s="3942"/>
      <c r="O129" s="3408"/>
    </row>
    <row r="130" spans="1:15" s="3409" customFormat="1" ht="18" customHeight="1">
      <c r="A130" s="3404">
        <v>115</v>
      </c>
      <c r="B130" s="3415" t="s">
        <v>3979</v>
      </c>
      <c r="C130" s="3405" t="s">
        <v>3980</v>
      </c>
      <c r="D130" s="3405" t="s">
        <v>3795</v>
      </c>
      <c r="E130" s="3406" t="s">
        <v>3958</v>
      </c>
      <c r="F130" s="3406" t="s">
        <v>3797</v>
      </c>
      <c r="G130" s="3405">
        <v>1</v>
      </c>
      <c r="H130" s="3405">
        <v>1</v>
      </c>
      <c r="I130" s="3407">
        <v>112.68</v>
      </c>
      <c r="J130" s="3407" t="s">
        <v>3822</v>
      </c>
      <c r="K130" s="3943"/>
      <c r="L130" s="3407">
        <v>20330223</v>
      </c>
      <c r="M130" s="3407" t="s">
        <v>3801</v>
      </c>
      <c r="N130" s="3943"/>
      <c r="O130" s="3408"/>
    </row>
    <row r="131" spans="1:15" ht="18" customHeight="1">
      <c r="A131" s="3416"/>
      <c r="B131" s="3416"/>
      <c r="C131" s="3398" t="s">
        <v>347</v>
      </c>
      <c r="D131" s="3398"/>
      <c r="E131" s="3398"/>
      <c r="F131" s="3398"/>
      <c r="G131" s="3398"/>
      <c r="H131" s="3398"/>
      <c r="I131" s="3403">
        <f>SUM(I4:I130)</f>
        <v>499048.31</v>
      </c>
      <c r="J131" s="3417"/>
      <c r="K131" s="3418"/>
      <c r="L131" s="3418"/>
      <c r="M131" s="3419"/>
      <c r="N131" s="3398"/>
      <c r="O131" s="3400"/>
    </row>
    <row r="132" spans="1:15" s="3425" customFormat="1" ht="18" customHeight="1">
      <c r="A132" s="3420" t="s">
        <v>3981</v>
      </c>
      <c r="B132" s="3421" t="s">
        <v>3982</v>
      </c>
      <c r="C132" s="3420" t="s">
        <v>3983</v>
      </c>
      <c r="D132" s="3420"/>
      <c r="E132" s="3420"/>
      <c r="F132" s="3420"/>
      <c r="G132" s="3420"/>
      <c r="H132" s="3420"/>
      <c r="I132" s="3422">
        <v>1299.92</v>
      </c>
      <c r="J132" s="3422"/>
      <c r="K132" s="3422"/>
      <c r="L132" s="3423"/>
      <c r="M132" s="3423">
        <v>20030417</v>
      </c>
      <c r="N132" s="3420"/>
      <c r="O132" s="3424"/>
    </row>
    <row r="133" spans="1:15" s="3425" customFormat="1" ht="18" customHeight="1">
      <c r="A133" s="3420" t="s">
        <v>3981</v>
      </c>
      <c r="B133" s="3421" t="s">
        <v>3984</v>
      </c>
      <c r="C133" s="3420" t="s">
        <v>3985</v>
      </c>
      <c r="D133" s="3420"/>
      <c r="E133" s="3420"/>
      <c r="F133" s="3420"/>
      <c r="G133" s="3420"/>
      <c r="H133" s="3420"/>
      <c r="I133" s="3422">
        <v>2071.88</v>
      </c>
      <c r="J133" s="3422"/>
      <c r="K133" s="3422"/>
      <c r="L133" s="3423"/>
      <c r="M133" s="3423">
        <v>20030422</v>
      </c>
      <c r="N133" s="3420"/>
      <c r="O133" s="3424"/>
    </row>
    <row r="134" spans="1:15" s="3425" customFormat="1" ht="18" customHeight="1">
      <c r="A134" s="3420" t="s">
        <v>3981</v>
      </c>
      <c r="B134" s="3421" t="s">
        <v>3986</v>
      </c>
      <c r="C134" s="3420" t="s">
        <v>3987</v>
      </c>
      <c r="D134" s="3420"/>
      <c r="E134" s="3420"/>
      <c r="F134" s="3420"/>
      <c r="G134" s="3420"/>
      <c r="H134" s="3420"/>
      <c r="I134" s="3422">
        <v>714.33</v>
      </c>
      <c r="J134" s="3422"/>
      <c r="K134" s="3422"/>
      <c r="L134" s="3423"/>
      <c r="M134" s="3423">
        <v>20060530</v>
      </c>
      <c r="N134" s="3420"/>
      <c r="O134" s="3424"/>
    </row>
    <row r="135" spans="1:15" ht="18" customHeight="1">
      <c r="A135" s="3416"/>
      <c r="B135" s="3416"/>
      <c r="C135" s="3398"/>
      <c r="D135" s="3398"/>
      <c r="E135" s="3398"/>
      <c r="F135" s="3398"/>
      <c r="G135" s="3398"/>
      <c r="H135" s="3398"/>
      <c r="I135" s="3403">
        <f>SUM(I132:I134)</f>
        <v>4086.13</v>
      </c>
      <c r="J135" s="3417"/>
      <c r="K135" s="3418"/>
      <c r="L135" s="3418"/>
      <c r="M135" s="3419"/>
      <c r="N135" s="3398"/>
      <c r="O135" s="3400"/>
    </row>
    <row r="136" spans="1:15" ht="18" customHeight="1"/>
    <row r="137" spans="1:15" ht="18" customHeight="1"/>
    <row r="138" spans="1:15" ht="18" customHeight="1"/>
    <row r="140" spans="1:15">
      <c r="B140" s="3426" t="s">
        <v>3988</v>
      </c>
    </row>
    <row r="145" spans="2:2">
      <c r="B145" s="3426" t="s">
        <v>3989</v>
      </c>
    </row>
    <row r="152" spans="2:2">
      <c r="B152" s="3426" t="s">
        <v>3990</v>
      </c>
    </row>
    <row r="158" spans="2:2">
      <c r="B158" s="3426" t="s">
        <v>3991</v>
      </c>
    </row>
    <row r="167" spans="2:2">
      <c r="B167" s="3426" t="s">
        <v>3491</v>
      </c>
    </row>
  </sheetData>
  <autoFilter ref="A3:FN3"/>
  <mergeCells count="83">
    <mergeCell ref="K128:K130"/>
    <mergeCell ref="N128:N130"/>
    <mergeCell ref="B108:B110"/>
    <mergeCell ref="C108:C110"/>
    <mergeCell ref="D108:D110"/>
    <mergeCell ref="J108:J110"/>
    <mergeCell ref="L108:L110"/>
    <mergeCell ref="K114:K115"/>
    <mergeCell ref="J103:J104"/>
    <mergeCell ref="L103:L104"/>
    <mergeCell ref="A106:A107"/>
    <mergeCell ref="B106:B107"/>
    <mergeCell ref="C106:C107"/>
    <mergeCell ref="D106:D107"/>
    <mergeCell ref="J106:J107"/>
    <mergeCell ref="K106:K112"/>
    <mergeCell ref="L106:L107"/>
    <mergeCell ref="A108:A110"/>
    <mergeCell ref="D103:D104"/>
    <mergeCell ref="L99:L100"/>
    <mergeCell ref="A101:A102"/>
    <mergeCell ref="B101:B102"/>
    <mergeCell ref="C101:C102"/>
    <mergeCell ref="D101:D102"/>
    <mergeCell ref="J101:J102"/>
    <mergeCell ref="L101:L102"/>
    <mergeCell ref="A99:A100"/>
    <mergeCell ref="B99:B100"/>
    <mergeCell ref="C99:C100"/>
    <mergeCell ref="D99:D100"/>
    <mergeCell ref="J99:J100"/>
    <mergeCell ref="K99:K105"/>
    <mergeCell ref="A103:A104"/>
    <mergeCell ref="B103:B104"/>
    <mergeCell ref="C103:C104"/>
    <mergeCell ref="A95:A97"/>
    <mergeCell ref="B95:B97"/>
    <mergeCell ref="C95:C97"/>
    <mergeCell ref="D95:D97"/>
    <mergeCell ref="J95:J97"/>
    <mergeCell ref="L95:L97"/>
    <mergeCell ref="L65:L66"/>
    <mergeCell ref="K69:K70"/>
    <mergeCell ref="K73:K75"/>
    <mergeCell ref="K80:K81"/>
    <mergeCell ref="K85:K88"/>
    <mergeCell ref="K89:K98"/>
    <mergeCell ref="L45:L46"/>
    <mergeCell ref="K54:K58"/>
    <mergeCell ref="K59:K61"/>
    <mergeCell ref="K62:K63"/>
    <mergeCell ref="A65:A66"/>
    <mergeCell ref="B65:B66"/>
    <mergeCell ref="C65:C66"/>
    <mergeCell ref="D65:D66"/>
    <mergeCell ref="J65:J66"/>
    <mergeCell ref="K65:K67"/>
    <mergeCell ref="K44:K47"/>
    <mergeCell ref="A45:A46"/>
    <mergeCell ref="B45:B46"/>
    <mergeCell ref="C45:C46"/>
    <mergeCell ref="D45:D46"/>
    <mergeCell ref="J45:J46"/>
    <mergeCell ref="B15:B21"/>
    <mergeCell ref="K15:K31"/>
    <mergeCell ref="N15:N31"/>
    <mergeCell ref="B22:B31"/>
    <mergeCell ref="A32:A33"/>
    <mergeCell ref="B32:B33"/>
    <mergeCell ref="C32:C33"/>
    <mergeCell ref="D32:D33"/>
    <mergeCell ref="J32:J33"/>
    <mergeCell ref="K32:K43"/>
    <mergeCell ref="L32:L33"/>
    <mergeCell ref="A1:M1"/>
    <mergeCell ref="L2:M2"/>
    <mergeCell ref="K4:K12"/>
    <mergeCell ref="A11:A12"/>
    <mergeCell ref="B11:B12"/>
    <mergeCell ref="C11:C12"/>
    <mergeCell ref="D11:D12"/>
    <mergeCell ref="J11:J12"/>
    <mergeCell ref="L11:L12"/>
  </mergeCells>
  <phoneticPr fontId="206" type="noConversion"/>
  <pageMargins left="0.75138888888888899" right="0.75138888888888899" top="0.40902777777777799" bottom="0.40902777777777799" header="0.51180555555555596" footer="0.51180555555555596"/>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3"/>
  <sheetViews>
    <sheetView workbookViewId="0">
      <selection activeCell="AF25" sqref="AF25"/>
    </sheetView>
  </sheetViews>
  <sheetFormatPr defaultRowHeight="15.75"/>
  <cols>
    <col min="1" max="1" width="9" style="3431"/>
    <col min="2" max="2" width="8.5" style="3431" bestFit="1" customWidth="1"/>
    <col min="3" max="3" width="10" style="3431" hidden="1" customWidth="1"/>
    <col min="4" max="4" width="10.125" style="3431" hidden="1" customWidth="1"/>
    <col min="5" max="5" width="9.75" style="3431" hidden="1" customWidth="1"/>
    <col min="6" max="6" width="9.25" style="3431" hidden="1" customWidth="1"/>
    <col min="7" max="12" width="8.5" style="3431" hidden="1" customWidth="1"/>
    <col min="13" max="15" width="8.25" style="3431" hidden="1" customWidth="1"/>
    <col min="16" max="16" width="9.625" style="3431" hidden="1" customWidth="1"/>
    <col min="17" max="18" width="8.5" style="3431" hidden="1" customWidth="1"/>
    <col min="19" max="22" width="8.125" style="3431" hidden="1" customWidth="1"/>
    <col min="23" max="23" width="13" style="3431" bestFit="1" customWidth="1"/>
    <col min="24" max="25" width="14" style="3431" bestFit="1" customWidth="1"/>
    <col min="26" max="257" width="9" style="3431"/>
    <col min="258" max="258" width="8.5" style="3431" bestFit="1" customWidth="1"/>
    <col min="259" max="278" width="0" style="3431" hidden="1" customWidth="1"/>
    <col min="279" max="279" width="13" style="3431" bestFit="1" customWidth="1"/>
    <col min="280" max="281" width="14" style="3431" bestFit="1" customWidth="1"/>
    <col min="282" max="513" width="9" style="3431"/>
    <col min="514" max="514" width="8.5" style="3431" bestFit="1" customWidth="1"/>
    <col min="515" max="534" width="0" style="3431" hidden="1" customWidth="1"/>
    <col min="535" max="535" width="13" style="3431" bestFit="1" customWidth="1"/>
    <col min="536" max="537" width="14" style="3431" bestFit="1" customWidth="1"/>
    <col min="538" max="769" width="9" style="3431"/>
    <col min="770" max="770" width="8.5" style="3431" bestFit="1" customWidth="1"/>
    <col min="771" max="790" width="0" style="3431" hidden="1" customWidth="1"/>
    <col min="791" max="791" width="13" style="3431" bestFit="1" customWidth="1"/>
    <col min="792" max="793" width="14" style="3431" bestFit="1" customWidth="1"/>
    <col min="794" max="1025" width="9" style="3431"/>
    <col min="1026" max="1026" width="8.5" style="3431" bestFit="1" customWidth="1"/>
    <col min="1027" max="1046" width="0" style="3431" hidden="1" customWidth="1"/>
    <col min="1047" max="1047" width="13" style="3431" bestFit="1" customWidth="1"/>
    <col min="1048" max="1049" width="14" style="3431" bestFit="1" customWidth="1"/>
    <col min="1050" max="1281" width="9" style="3431"/>
    <col min="1282" max="1282" width="8.5" style="3431" bestFit="1" customWidth="1"/>
    <col min="1283" max="1302" width="0" style="3431" hidden="1" customWidth="1"/>
    <col min="1303" max="1303" width="13" style="3431" bestFit="1" customWidth="1"/>
    <col min="1304" max="1305" width="14" style="3431" bestFit="1" customWidth="1"/>
    <col min="1306" max="1537" width="9" style="3431"/>
    <col min="1538" max="1538" width="8.5" style="3431" bestFit="1" customWidth="1"/>
    <col min="1539" max="1558" width="0" style="3431" hidden="1" customWidth="1"/>
    <col min="1559" max="1559" width="13" style="3431" bestFit="1" customWidth="1"/>
    <col min="1560" max="1561" width="14" style="3431" bestFit="1" customWidth="1"/>
    <col min="1562" max="1793" width="9" style="3431"/>
    <col min="1794" max="1794" width="8.5" style="3431" bestFit="1" customWidth="1"/>
    <col min="1795" max="1814" width="0" style="3431" hidden="1" customWidth="1"/>
    <col min="1815" max="1815" width="13" style="3431" bestFit="1" customWidth="1"/>
    <col min="1816" max="1817" width="14" style="3431" bestFit="1" customWidth="1"/>
    <col min="1818" max="2049" width="9" style="3431"/>
    <col min="2050" max="2050" width="8.5" style="3431" bestFit="1" customWidth="1"/>
    <col min="2051" max="2070" width="0" style="3431" hidden="1" customWidth="1"/>
    <col min="2071" max="2071" width="13" style="3431" bestFit="1" customWidth="1"/>
    <col min="2072" max="2073" width="14" style="3431" bestFit="1" customWidth="1"/>
    <col min="2074" max="2305" width="9" style="3431"/>
    <col min="2306" max="2306" width="8.5" style="3431" bestFit="1" customWidth="1"/>
    <col min="2307" max="2326" width="0" style="3431" hidden="1" customWidth="1"/>
    <col min="2327" max="2327" width="13" style="3431" bestFit="1" customWidth="1"/>
    <col min="2328" max="2329" width="14" style="3431" bestFit="1" customWidth="1"/>
    <col min="2330" max="2561" width="9" style="3431"/>
    <col min="2562" max="2562" width="8.5" style="3431" bestFit="1" customWidth="1"/>
    <col min="2563" max="2582" width="0" style="3431" hidden="1" customWidth="1"/>
    <col min="2583" max="2583" width="13" style="3431" bestFit="1" customWidth="1"/>
    <col min="2584" max="2585" width="14" style="3431" bestFit="1" customWidth="1"/>
    <col min="2586" max="2817" width="9" style="3431"/>
    <col min="2818" max="2818" width="8.5" style="3431" bestFit="1" customWidth="1"/>
    <col min="2819" max="2838" width="0" style="3431" hidden="1" customWidth="1"/>
    <col min="2839" max="2839" width="13" style="3431" bestFit="1" customWidth="1"/>
    <col min="2840" max="2841" width="14" style="3431" bestFit="1" customWidth="1"/>
    <col min="2842" max="3073" width="9" style="3431"/>
    <col min="3074" max="3074" width="8.5" style="3431" bestFit="1" customWidth="1"/>
    <col min="3075" max="3094" width="0" style="3431" hidden="1" customWidth="1"/>
    <col min="3095" max="3095" width="13" style="3431" bestFit="1" customWidth="1"/>
    <col min="3096" max="3097" width="14" style="3431" bestFit="1" customWidth="1"/>
    <col min="3098" max="3329" width="9" style="3431"/>
    <col min="3330" max="3330" width="8.5" style="3431" bestFit="1" customWidth="1"/>
    <col min="3331" max="3350" width="0" style="3431" hidden="1" customWidth="1"/>
    <col min="3351" max="3351" width="13" style="3431" bestFit="1" customWidth="1"/>
    <col min="3352" max="3353" width="14" style="3431" bestFit="1" customWidth="1"/>
    <col min="3354" max="3585" width="9" style="3431"/>
    <col min="3586" max="3586" width="8.5" style="3431" bestFit="1" customWidth="1"/>
    <col min="3587" max="3606" width="0" style="3431" hidden="1" customWidth="1"/>
    <col min="3607" max="3607" width="13" style="3431" bestFit="1" customWidth="1"/>
    <col min="3608" max="3609" width="14" style="3431" bestFit="1" customWidth="1"/>
    <col min="3610" max="3841" width="9" style="3431"/>
    <col min="3842" max="3842" width="8.5" style="3431" bestFit="1" customWidth="1"/>
    <col min="3843" max="3862" width="0" style="3431" hidden="1" customWidth="1"/>
    <col min="3863" max="3863" width="13" style="3431" bestFit="1" customWidth="1"/>
    <col min="3864" max="3865" width="14" style="3431" bestFit="1" customWidth="1"/>
    <col min="3866" max="4097" width="9" style="3431"/>
    <col min="4098" max="4098" width="8.5" style="3431" bestFit="1" customWidth="1"/>
    <col min="4099" max="4118" width="0" style="3431" hidden="1" customWidth="1"/>
    <col min="4119" max="4119" width="13" style="3431" bestFit="1" customWidth="1"/>
    <col min="4120" max="4121" width="14" style="3431" bestFit="1" customWidth="1"/>
    <col min="4122" max="4353" width="9" style="3431"/>
    <col min="4354" max="4354" width="8.5" style="3431" bestFit="1" customWidth="1"/>
    <col min="4355" max="4374" width="0" style="3431" hidden="1" customWidth="1"/>
    <col min="4375" max="4375" width="13" style="3431" bestFit="1" customWidth="1"/>
    <col min="4376" max="4377" width="14" style="3431" bestFit="1" customWidth="1"/>
    <col min="4378" max="4609" width="9" style="3431"/>
    <col min="4610" max="4610" width="8.5" style="3431" bestFit="1" customWidth="1"/>
    <col min="4611" max="4630" width="0" style="3431" hidden="1" customWidth="1"/>
    <col min="4631" max="4631" width="13" style="3431" bestFit="1" customWidth="1"/>
    <col min="4632" max="4633" width="14" style="3431" bestFit="1" customWidth="1"/>
    <col min="4634" max="4865" width="9" style="3431"/>
    <col min="4866" max="4866" width="8.5" style="3431" bestFit="1" customWidth="1"/>
    <col min="4867" max="4886" width="0" style="3431" hidden="1" customWidth="1"/>
    <col min="4887" max="4887" width="13" style="3431" bestFit="1" customWidth="1"/>
    <col min="4888" max="4889" width="14" style="3431" bestFit="1" customWidth="1"/>
    <col min="4890" max="5121" width="9" style="3431"/>
    <col min="5122" max="5122" width="8.5" style="3431" bestFit="1" customWidth="1"/>
    <col min="5123" max="5142" width="0" style="3431" hidden="1" customWidth="1"/>
    <col min="5143" max="5143" width="13" style="3431" bestFit="1" customWidth="1"/>
    <col min="5144" max="5145" width="14" style="3431" bestFit="1" customWidth="1"/>
    <col min="5146" max="5377" width="9" style="3431"/>
    <col min="5378" max="5378" width="8.5" style="3431" bestFit="1" customWidth="1"/>
    <col min="5379" max="5398" width="0" style="3431" hidden="1" customWidth="1"/>
    <col min="5399" max="5399" width="13" style="3431" bestFit="1" customWidth="1"/>
    <col min="5400" max="5401" width="14" style="3431" bestFit="1" customWidth="1"/>
    <col min="5402" max="5633" width="9" style="3431"/>
    <col min="5634" max="5634" width="8.5" style="3431" bestFit="1" customWidth="1"/>
    <col min="5635" max="5654" width="0" style="3431" hidden="1" customWidth="1"/>
    <col min="5655" max="5655" width="13" style="3431" bestFit="1" customWidth="1"/>
    <col min="5656" max="5657" width="14" style="3431" bestFit="1" customWidth="1"/>
    <col min="5658" max="5889" width="9" style="3431"/>
    <col min="5890" max="5890" width="8.5" style="3431" bestFit="1" customWidth="1"/>
    <col min="5891" max="5910" width="0" style="3431" hidden="1" customWidth="1"/>
    <col min="5911" max="5911" width="13" style="3431" bestFit="1" customWidth="1"/>
    <col min="5912" max="5913" width="14" style="3431" bestFit="1" customWidth="1"/>
    <col min="5914" max="6145" width="9" style="3431"/>
    <col min="6146" max="6146" width="8.5" style="3431" bestFit="1" customWidth="1"/>
    <col min="6147" max="6166" width="0" style="3431" hidden="1" customWidth="1"/>
    <col min="6167" max="6167" width="13" style="3431" bestFit="1" customWidth="1"/>
    <col min="6168" max="6169" width="14" style="3431" bestFit="1" customWidth="1"/>
    <col min="6170" max="6401" width="9" style="3431"/>
    <col min="6402" max="6402" width="8.5" style="3431" bestFit="1" customWidth="1"/>
    <col min="6403" max="6422" width="0" style="3431" hidden="1" customWidth="1"/>
    <col min="6423" max="6423" width="13" style="3431" bestFit="1" customWidth="1"/>
    <col min="6424" max="6425" width="14" style="3431" bestFit="1" customWidth="1"/>
    <col min="6426" max="6657" width="9" style="3431"/>
    <col min="6658" max="6658" width="8.5" style="3431" bestFit="1" customWidth="1"/>
    <col min="6659" max="6678" width="0" style="3431" hidden="1" customWidth="1"/>
    <col min="6679" max="6679" width="13" style="3431" bestFit="1" customWidth="1"/>
    <col min="6680" max="6681" width="14" style="3431" bestFit="1" customWidth="1"/>
    <col min="6682" max="6913" width="9" style="3431"/>
    <col min="6914" max="6914" width="8.5" style="3431" bestFit="1" customWidth="1"/>
    <col min="6915" max="6934" width="0" style="3431" hidden="1" customWidth="1"/>
    <col min="6935" max="6935" width="13" style="3431" bestFit="1" customWidth="1"/>
    <col min="6936" max="6937" width="14" style="3431" bestFit="1" customWidth="1"/>
    <col min="6938" max="7169" width="9" style="3431"/>
    <col min="7170" max="7170" width="8.5" style="3431" bestFit="1" customWidth="1"/>
    <col min="7171" max="7190" width="0" style="3431" hidden="1" customWidth="1"/>
    <col min="7191" max="7191" width="13" style="3431" bestFit="1" customWidth="1"/>
    <col min="7192" max="7193" width="14" style="3431" bestFit="1" customWidth="1"/>
    <col min="7194" max="7425" width="9" style="3431"/>
    <col min="7426" max="7426" width="8.5" style="3431" bestFit="1" customWidth="1"/>
    <col min="7427" max="7446" width="0" style="3431" hidden="1" customWidth="1"/>
    <col min="7447" max="7447" width="13" style="3431" bestFit="1" customWidth="1"/>
    <col min="7448" max="7449" width="14" style="3431" bestFit="1" customWidth="1"/>
    <col min="7450" max="7681" width="9" style="3431"/>
    <col min="7682" max="7682" width="8.5" style="3431" bestFit="1" customWidth="1"/>
    <col min="7683" max="7702" width="0" style="3431" hidden="1" customWidth="1"/>
    <col min="7703" max="7703" width="13" style="3431" bestFit="1" customWidth="1"/>
    <col min="7704" max="7705" width="14" style="3431" bestFit="1" customWidth="1"/>
    <col min="7706" max="7937" width="9" style="3431"/>
    <col min="7938" max="7938" width="8.5" style="3431" bestFit="1" customWidth="1"/>
    <col min="7939" max="7958" width="0" style="3431" hidden="1" customWidth="1"/>
    <col min="7959" max="7959" width="13" style="3431" bestFit="1" customWidth="1"/>
    <col min="7960" max="7961" width="14" style="3431" bestFit="1" customWidth="1"/>
    <col min="7962" max="8193" width="9" style="3431"/>
    <col min="8194" max="8194" width="8.5" style="3431" bestFit="1" customWidth="1"/>
    <col min="8195" max="8214" width="0" style="3431" hidden="1" customWidth="1"/>
    <col min="8215" max="8215" width="13" style="3431" bestFit="1" customWidth="1"/>
    <col min="8216" max="8217" width="14" style="3431" bestFit="1" customWidth="1"/>
    <col min="8218" max="8449" width="9" style="3431"/>
    <col min="8450" max="8450" width="8.5" style="3431" bestFit="1" customWidth="1"/>
    <col min="8451" max="8470" width="0" style="3431" hidden="1" customWidth="1"/>
    <col min="8471" max="8471" width="13" style="3431" bestFit="1" customWidth="1"/>
    <col min="8472" max="8473" width="14" style="3431" bestFit="1" customWidth="1"/>
    <col min="8474" max="8705" width="9" style="3431"/>
    <col min="8706" max="8706" width="8.5" style="3431" bestFit="1" customWidth="1"/>
    <col min="8707" max="8726" width="0" style="3431" hidden="1" customWidth="1"/>
    <col min="8727" max="8727" width="13" style="3431" bestFit="1" customWidth="1"/>
    <col min="8728" max="8729" width="14" style="3431" bestFit="1" customWidth="1"/>
    <col min="8730" max="8961" width="9" style="3431"/>
    <col min="8962" max="8962" width="8.5" style="3431" bestFit="1" customWidth="1"/>
    <col min="8963" max="8982" width="0" style="3431" hidden="1" customWidth="1"/>
    <col min="8983" max="8983" width="13" style="3431" bestFit="1" customWidth="1"/>
    <col min="8984" max="8985" width="14" style="3431" bestFit="1" customWidth="1"/>
    <col min="8986" max="9217" width="9" style="3431"/>
    <col min="9218" max="9218" width="8.5" style="3431" bestFit="1" customWidth="1"/>
    <col min="9219" max="9238" width="0" style="3431" hidden="1" customWidth="1"/>
    <col min="9239" max="9239" width="13" style="3431" bestFit="1" customWidth="1"/>
    <col min="9240" max="9241" width="14" style="3431" bestFit="1" customWidth="1"/>
    <col min="9242" max="9473" width="9" style="3431"/>
    <col min="9474" max="9474" width="8.5" style="3431" bestFit="1" customWidth="1"/>
    <col min="9475" max="9494" width="0" style="3431" hidden="1" customWidth="1"/>
    <col min="9495" max="9495" width="13" style="3431" bestFit="1" customWidth="1"/>
    <col min="9496" max="9497" width="14" style="3431" bestFit="1" customWidth="1"/>
    <col min="9498" max="9729" width="9" style="3431"/>
    <col min="9730" max="9730" width="8.5" style="3431" bestFit="1" customWidth="1"/>
    <col min="9731" max="9750" width="0" style="3431" hidden="1" customWidth="1"/>
    <col min="9751" max="9751" width="13" style="3431" bestFit="1" customWidth="1"/>
    <col min="9752" max="9753" width="14" style="3431" bestFit="1" customWidth="1"/>
    <col min="9754" max="9985" width="9" style="3431"/>
    <col min="9986" max="9986" width="8.5" style="3431" bestFit="1" customWidth="1"/>
    <col min="9987" max="10006" width="0" style="3431" hidden="1" customWidth="1"/>
    <col min="10007" max="10007" width="13" style="3431" bestFit="1" customWidth="1"/>
    <col min="10008" max="10009" width="14" style="3431" bestFit="1" customWidth="1"/>
    <col min="10010" max="10241" width="9" style="3431"/>
    <col min="10242" max="10242" width="8.5" style="3431" bestFit="1" customWidth="1"/>
    <col min="10243" max="10262" width="0" style="3431" hidden="1" customWidth="1"/>
    <col min="10263" max="10263" width="13" style="3431" bestFit="1" customWidth="1"/>
    <col min="10264" max="10265" width="14" style="3431" bestFit="1" customWidth="1"/>
    <col min="10266" max="10497" width="9" style="3431"/>
    <col min="10498" max="10498" width="8.5" style="3431" bestFit="1" customWidth="1"/>
    <col min="10499" max="10518" width="0" style="3431" hidden="1" customWidth="1"/>
    <col min="10519" max="10519" width="13" style="3431" bestFit="1" customWidth="1"/>
    <col min="10520" max="10521" width="14" style="3431" bestFit="1" customWidth="1"/>
    <col min="10522" max="10753" width="9" style="3431"/>
    <col min="10754" max="10754" width="8.5" style="3431" bestFit="1" customWidth="1"/>
    <col min="10755" max="10774" width="0" style="3431" hidden="1" customWidth="1"/>
    <col min="10775" max="10775" width="13" style="3431" bestFit="1" customWidth="1"/>
    <col min="10776" max="10777" width="14" style="3431" bestFit="1" customWidth="1"/>
    <col min="10778" max="11009" width="9" style="3431"/>
    <col min="11010" max="11010" width="8.5" style="3431" bestFit="1" customWidth="1"/>
    <col min="11011" max="11030" width="0" style="3431" hidden="1" customWidth="1"/>
    <col min="11031" max="11031" width="13" style="3431" bestFit="1" customWidth="1"/>
    <col min="11032" max="11033" width="14" style="3431" bestFit="1" customWidth="1"/>
    <col min="11034" max="11265" width="9" style="3431"/>
    <col min="11266" max="11266" width="8.5" style="3431" bestFit="1" customWidth="1"/>
    <col min="11267" max="11286" width="0" style="3431" hidden="1" customWidth="1"/>
    <col min="11287" max="11287" width="13" style="3431" bestFit="1" customWidth="1"/>
    <col min="11288" max="11289" width="14" style="3431" bestFit="1" customWidth="1"/>
    <col min="11290" max="11521" width="9" style="3431"/>
    <col min="11522" max="11522" width="8.5" style="3431" bestFit="1" customWidth="1"/>
    <col min="11523" max="11542" width="0" style="3431" hidden="1" customWidth="1"/>
    <col min="11543" max="11543" width="13" style="3431" bestFit="1" customWidth="1"/>
    <col min="11544" max="11545" width="14" style="3431" bestFit="1" customWidth="1"/>
    <col min="11546" max="11777" width="9" style="3431"/>
    <col min="11778" max="11778" width="8.5" style="3431" bestFit="1" customWidth="1"/>
    <col min="11779" max="11798" width="0" style="3431" hidden="1" customWidth="1"/>
    <col min="11799" max="11799" width="13" style="3431" bestFit="1" customWidth="1"/>
    <col min="11800" max="11801" width="14" style="3431" bestFit="1" customWidth="1"/>
    <col min="11802" max="12033" width="9" style="3431"/>
    <col min="12034" max="12034" width="8.5" style="3431" bestFit="1" customWidth="1"/>
    <col min="12035" max="12054" width="0" style="3431" hidden="1" customWidth="1"/>
    <col min="12055" max="12055" width="13" style="3431" bestFit="1" customWidth="1"/>
    <col min="12056" max="12057" width="14" style="3431" bestFit="1" customWidth="1"/>
    <col min="12058" max="12289" width="9" style="3431"/>
    <col min="12290" max="12290" width="8.5" style="3431" bestFit="1" customWidth="1"/>
    <col min="12291" max="12310" width="0" style="3431" hidden="1" customWidth="1"/>
    <col min="12311" max="12311" width="13" style="3431" bestFit="1" customWidth="1"/>
    <col min="12312" max="12313" width="14" style="3431" bestFit="1" customWidth="1"/>
    <col min="12314" max="12545" width="9" style="3431"/>
    <col min="12546" max="12546" width="8.5" style="3431" bestFit="1" customWidth="1"/>
    <col min="12547" max="12566" width="0" style="3431" hidden="1" customWidth="1"/>
    <col min="12567" max="12567" width="13" style="3431" bestFit="1" customWidth="1"/>
    <col min="12568" max="12569" width="14" style="3431" bestFit="1" customWidth="1"/>
    <col min="12570" max="12801" width="9" style="3431"/>
    <col min="12802" max="12802" width="8.5" style="3431" bestFit="1" customWidth="1"/>
    <col min="12803" max="12822" width="0" style="3431" hidden="1" customWidth="1"/>
    <col min="12823" max="12823" width="13" style="3431" bestFit="1" customWidth="1"/>
    <col min="12824" max="12825" width="14" style="3431" bestFit="1" customWidth="1"/>
    <col min="12826" max="13057" width="9" style="3431"/>
    <col min="13058" max="13058" width="8.5" style="3431" bestFit="1" customWidth="1"/>
    <col min="13059" max="13078" width="0" style="3431" hidden="1" customWidth="1"/>
    <col min="13079" max="13079" width="13" style="3431" bestFit="1" customWidth="1"/>
    <col min="13080" max="13081" width="14" style="3431" bestFit="1" customWidth="1"/>
    <col min="13082" max="13313" width="9" style="3431"/>
    <col min="13314" max="13314" width="8.5" style="3431" bestFit="1" customWidth="1"/>
    <col min="13315" max="13334" width="0" style="3431" hidden="1" customWidth="1"/>
    <col min="13335" max="13335" width="13" style="3431" bestFit="1" customWidth="1"/>
    <col min="13336" max="13337" width="14" style="3431" bestFit="1" customWidth="1"/>
    <col min="13338" max="13569" width="9" style="3431"/>
    <col min="13570" max="13570" width="8.5" style="3431" bestFit="1" customWidth="1"/>
    <col min="13571" max="13590" width="0" style="3431" hidden="1" customWidth="1"/>
    <col min="13591" max="13591" width="13" style="3431" bestFit="1" customWidth="1"/>
    <col min="13592" max="13593" width="14" style="3431" bestFit="1" customWidth="1"/>
    <col min="13594" max="13825" width="9" style="3431"/>
    <col min="13826" max="13826" width="8.5" style="3431" bestFit="1" customWidth="1"/>
    <col min="13827" max="13846" width="0" style="3431" hidden="1" customWidth="1"/>
    <col min="13847" max="13847" width="13" style="3431" bestFit="1" customWidth="1"/>
    <col min="13848" max="13849" width="14" style="3431" bestFit="1" customWidth="1"/>
    <col min="13850" max="14081" width="9" style="3431"/>
    <col min="14082" max="14082" width="8.5" style="3431" bestFit="1" customWidth="1"/>
    <col min="14083" max="14102" width="0" style="3431" hidden="1" customWidth="1"/>
    <col min="14103" max="14103" width="13" style="3431" bestFit="1" customWidth="1"/>
    <col min="14104" max="14105" width="14" style="3431" bestFit="1" customWidth="1"/>
    <col min="14106" max="14337" width="9" style="3431"/>
    <col min="14338" max="14338" width="8.5" style="3431" bestFit="1" customWidth="1"/>
    <col min="14339" max="14358" width="0" style="3431" hidden="1" customWidth="1"/>
    <col min="14359" max="14359" width="13" style="3431" bestFit="1" customWidth="1"/>
    <col min="14360" max="14361" width="14" style="3431" bestFit="1" customWidth="1"/>
    <col min="14362" max="14593" width="9" style="3431"/>
    <col min="14594" max="14594" width="8.5" style="3431" bestFit="1" customWidth="1"/>
    <col min="14595" max="14614" width="0" style="3431" hidden="1" customWidth="1"/>
    <col min="14615" max="14615" width="13" style="3431" bestFit="1" customWidth="1"/>
    <col min="14616" max="14617" width="14" style="3431" bestFit="1" customWidth="1"/>
    <col min="14618" max="14849" width="9" style="3431"/>
    <col min="14850" max="14850" width="8.5" style="3431" bestFit="1" customWidth="1"/>
    <col min="14851" max="14870" width="0" style="3431" hidden="1" customWidth="1"/>
    <col min="14871" max="14871" width="13" style="3431" bestFit="1" customWidth="1"/>
    <col min="14872" max="14873" width="14" style="3431" bestFit="1" customWidth="1"/>
    <col min="14874" max="15105" width="9" style="3431"/>
    <col min="15106" max="15106" width="8.5" style="3431" bestFit="1" customWidth="1"/>
    <col min="15107" max="15126" width="0" style="3431" hidden="1" customWidth="1"/>
    <col min="15127" max="15127" width="13" style="3431" bestFit="1" customWidth="1"/>
    <col min="15128" max="15129" width="14" style="3431" bestFit="1" customWidth="1"/>
    <col min="15130" max="15361" width="9" style="3431"/>
    <col min="15362" max="15362" width="8.5" style="3431" bestFit="1" customWidth="1"/>
    <col min="15363" max="15382" width="0" style="3431" hidden="1" customWidth="1"/>
    <col min="15383" max="15383" width="13" style="3431" bestFit="1" customWidth="1"/>
    <col min="15384" max="15385" width="14" style="3431" bestFit="1" customWidth="1"/>
    <col min="15386" max="15617" width="9" style="3431"/>
    <col min="15618" max="15618" width="8.5" style="3431" bestFit="1" customWidth="1"/>
    <col min="15619" max="15638" width="0" style="3431" hidden="1" customWidth="1"/>
    <col min="15639" max="15639" width="13" style="3431" bestFit="1" customWidth="1"/>
    <col min="15640" max="15641" width="14" style="3431" bestFit="1" customWidth="1"/>
    <col min="15642" max="15873" width="9" style="3431"/>
    <col min="15874" max="15874" width="8.5" style="3431" bestFit="1" customWidth="1"/>
    <col min="15875" max="15894" width="0" style="3431" hidden="1" customWidth="1"/>
    <col min="15895" max="15895" width="13" style="3431" bestFit="1" customWidth="1"/>
    <col min="15896" max="15897" width="14" style="3431" bestFit="1" customWidth="1"/>
    <col min="15898" max="16129" width="9" style="3431"/>
    <col min="16130" max="16130" width="8.5" style="3431" bestFit="1" customWidth="1"/>
    <col min="16131" max="16150" width="0" style="3431" hidden="1" customWidth="1"/>
    <col min="16151" max="16151" width="13" style="3431" bestFit="1" customWidth="1"/>
    <col min="16152" max="16153" width="14" style="3431" bestFit="1" customWidth="1"/>
    <col min="16154" max="16384" width="9" style="3431"/>
  </cols>
  <sheetData>
    <row r="1" spans="1:27" ht="25.5" customHeight="1">
      <c r="A1" s="3956" t="s">
        <v>3992</v>
      </c>
      <c r="B1" s="3956"/>
      <c r="C1" s="3956"/>
      <c r="D1" s="3956"/>
      <c r="E1" s="3956"/>
      <c r="F1" s="3956"/>
      <c r="G1" s="3956"/>
      <c r="H1" s="3956"/>
      <c r="I1" s="3956"/>
      <c r="J1" s="3956"/>
      <c r="K1" s="3956"/>
      <c r="L1" s="3956"/>
      <c r="M1" s="3956"/>
      <c r="N1" s="3956"/>
      <c r="O1" s="3956"/>
      <c r="P1" s="3956"/>
      <c r="Q1" s="3956"/>
      <c r="R1" s="3956"/>
      <c r="S1" s="3956"/>
      <c r="T1" s="3956"/>
      <c r="U1" s="3956"/>
      <c r="V1" s="3956"/>
      <c r="W1" s="3956"/>
      <c r="X1" s="3956"/>
      <c r="Y1" s="3956"/>
    </row>
    <row r="2" spans="1:27" ht="13.5" customHeight="1">
      <c r="A2" s="3432"/>
      <c r="B2" s="3432"/>
      <c r="C2" s="3432"/>
      <c r="D2" s="3432"/>
      <c r="E2" s="3432"/>
      <c r="F2" s="3432"/>
      <c r="G2" s="3432"/>
      <c r="H2" s="3432"/>
      <c r="I2" s="3432"/>
      <c r="J2" s="3432"/>
      <c r="K2" s="3432"/>
      <c r="L2" s="3432"/>
      <c r="M2" s="3432"/>
      <c r="N2" s="3432"/>
      <c r="O2" s="3432"/>
      <c r="P2" s="3432"/>
      <c r="Q2" s="3432"/>
      <c r="R2" s="3432"/>
      <c r="S2" s="3432"/>
      <c r="T2" s="3432"/>
      <c r="U2" s="3432"/>
      <c r="V2" s="3432"/>
      <c r="W2" s="3432"/>
      <c r="X2" s="3432"/>
      <c r="Y2" s="3432"/>
    </row>
    <row r="3" spans="1:27" s="3433" customFormat="1" ht="14.25" customHeight="1">
      <c r="A3" s="3957"/>
      <c r="B3" s="3957"/>
      <c r="C3" s="3957"/>
      <c r="D3" s="3957"/>
      <c r="E3" s="3957"/>
      <c r="F3" s="3957"/>
      <c r="G3" s="3957"/>
      <c r="H3" s="3957"/>
      <c r="I3" s="3957"/>
      <c r="J3" s="3957"/>
      <c r="K3" s="3957"/>
      <c r="L3" s="3957"/>
      <c r="M3" s="3957"/>
      <c r="N3" s="3957"/>
      <c r="O3" s="3957"/>
      <c r="P3" s="3957"/>
      <c r="Q3" s="3957"/>
      <c r="R3" s="3957"/>
      <c r="S3" s="3957"/>
      <c r="T3" s="3957"/>
      <c r="U3" s="3957"/>
      <c r="V3" s="3957"/>
      <c r="W3" s="3957"/>
      <c r="X3" s="3957"/>
      <c r="Y3" s="3957"/>
    </row>
    <row r="4" spans="1:27" s="3436" customFormat="1" ht="21" customHeight="1" thickBot="1">
      <c r="A4" s="3434"/>
      <c r="B4" s="3435"/>
      <c r="C4" s="3435"/>
      <c r="D4" s="3435"/>
      <c r="E4" s="3435"/>
      <c r="F4" s="3435"/>
      <c r="G4" s="3435"/>
      <c r="H4" s="3435"/>
      <c r="I4" s="3435"/>
      <c r="J4" s="3435"/>
      <c r="K4" s="3435"/>
      <c r="L4" s="3435"/>
      <c r="M4" s="3435"/>
      <c r="N4" s="3435"/>
      <c r="O4" s="3435"/>
      <c r="P4" s="3435"/>
      <c r="Q4" s="3435"/>
      <c r="R4" s="3435"/>
      <c r="W4" s="3435"/>
      <c r="X4" s="3435"/>
      <c r="Y4" s="3435"/>
    </row>
    <row r="5" spans="1:27" s="3440" customFormat="1" ht="14.25" customHeight="1">
      <c r="A5" s="3437" t="s">
        <v>3993</v>
      </c>
      <c r="B5" s="3438" t="s">
        <v>3994</v>
      </c>
      <c r="C5" s="3958" t="s">
        <v>3995</v>
      </c>
      <c r="D5" s="3958"/>
      <c r="E5" s="3958"/>
      <c r="F5" s="3958"/>
      <c r="G5" s="3958"/>
      <c r="H5" s="3958"/>
      <c r="I5" s="3958"/>
      <c r="J5" s="3958"/>
      <c r="K5" s="3958"/>
      <c r="L5" s="3958"/>
      <c r="M5" s="3958" t="s">
        <v>3996</v>
      </c>
      <c r="N5" s="3958"/>
      <c r="O5" s="3958"/>
      <c r="P5" s="3958"/>
      <c r="Q5" s="3958"/>
      <c r="R5" s="3958"/>
      <c r="S5" s="3958"/>
      <c r="T5" s="3958"/>
      <c r="U5" s="3958"/>
      <c r="V5" s="3958"/>
      <c r="W5" s="3439" t="s">
        <v>3997</v>
      </c>
      <c r="X5" s="3439" t="s">
        <v>4002</v>
      </c>
      <c r="Y5" s="3439" t="s">
        <v>4003</v>
      </c>
    </row>
    <row r="6" spans="1:27" s="3433" customFormat="1" ht="14.25" customHeight="1">
      <c r="A6" s="3441" t="s">
        <v>4004</v>
      </c>
      <c r="B6" s="3442" t="s">
        <v>4005</v>
      </c>
      <c r="C6" s="3443"/>
      <c r="D6" s="3443"/>
      <c r="E6" s="3443"/>
      <c r="F6" s="3443"/>
      <c r="G6" s="3443"/>
      <c r="H6" s="3443"/>
      <c r="I6" s="3443"/>
      <c r="J6" s="3443"/>
      <c r="K6" s="3443"/>
      <c r="L6" s="3443"/>
      <c r="M6" s="3443"/>
      <c r="N6" s="3443"/>
      <c r="O6" s="3443"/>
      <c r="P6" s="3443"/>
      <c r="Q6" s="3443"/>
      <c r="R6" s="3443"/>
      <c r="S6" s="3443"/>
      <c r="T6" s="3443"/>
      <c r="U6" s="3443"/>
      <c r="V6" s="3443"/>
      <c r="W6" s="3443">
        <v>1257740</v>
      </c>
      <c r="X6" s="3443">
        <v>4666141.78</v>
      </c>
      <c r="Y6" s="3443">
        <v>4792637.45</v>
      </c>
      <c r="Z6" s="3444"/>
      <c r="AA6" s="3445"/>
    </row>
    <row r="7" spans="1:27" s="3433" customFormat="1" ht="14.25" customHeight="1">
      <c r="A7" s="3441" t="s">
        <v>4006</v>
      </c>
      <c r="B7" s="3442" t="s">
        <v>4005</v>
      </c>
      <c r="C7" s="3443"/>
      <c r="D7" s="3443"/>
      <c r="E7" s="3443"/>
      <c r="F7" s="3443"/>
      <c r="G7" s="3443"/>
      <c r="H7" s="3443"/>
      <c r="I7" s="3443"/>
      <c r="J7" s="3443"/>
      <c r="K7" s="3443"/>
      <c r="L7" s="3443"/>
      <c r="M7" s="3443"/>
      <c r="N7" s="3443"/>
      <c r="O7" s="3443"/>
      <c r="P7" s="3443"/>
      <c r="Q7" s="3443"/>
      <c r="R7" s="3443"/>
      <c r="S7" s="3443"/>
      <c r="T7" s="3443"/>
      <c r="U7" s="3443"/>
      <c r="V7" s="3443"/>
      <c r="W7" s="3443">
        <f>25931627.71+3300+42730.67+686954+130+177011</f>
        <v>26841753.380000003</v>
      </c>
      <c r="X7" s="3443">
        <f>34583592.73+4532160</f>
        <v>39115752.729999997</v>
      </c>
      <c r="Y7" s="3443">
        <f>41246157.17+6180337.66</f>
        <v>47426494.829999998</v>
      </c>
      <c r="Z7" s="3444"/>
      <c r="AA7" s="3445"/>
    </row>
    <row r="8" spans="1:27" s="3433" customFormat="1" ht="14.25" customHeight="1">
      <c r="A8" s="3441" t="s">
        <v>3998</v>
      </c>
      <c r="B8" s="3442" t="s">
        <v>4005</v>
      </c>
      <c r="C8" s="3443"/>
      <c r="D8" s="3443"/>
      <c r="E8" s="3443"/>
      <c r="F8" s="3443"/>
      <c r="G8" s="3443"/>
      <c r="H8" s="3443"/>
      <c r="I8" s="3443"/>
      <c r="J8" s="3443"/>
      <c r="K8" s="3443"/>
      <c r="L8" s="3443"/>
      <c r="M8" s="3443"/>
      <c r="N8" s="3443"/>
      <c r="O8" s="3443"/>
      <c r="P8" s="3443"/>
      <c r="Q8" s="3443"/>
      <c r="R8" s="3443"/>
      <c r="S8" s="3443"/>
      <c r="T8" s="3443"/>
      <c r="U8" s="3443"/>
      <c r="V8" s="3443"/>
      <c r="W8" s="3443">
        <v>26413724.949999999</v>
      </c>
      <c r="X8" s="3443">
        <v>40428921.200000003</v>
      </c>
      <c r="Y8" s="3443">
        <v>46789679.260000005</v>
      </c>
      <c r="Z8" s="3446"/>
    </row>
    <row r="9" spans="1:27" s="3433" customFormat="1" ht="14.25" customHeight="1">
      <c r="A9" s="3447" t="s">
        <v>3999</v>
      </c>
      <c r="B9" s="3442" t="s">
        <v>4005</v>
      </c>
      <c r="C9" s="3443"/>
      <c r="D9" s="3443"/>
      <c r="E9" s="3443"/>
      <c r="F9" s="3443"/>
      <c r="G9" s="3443"/>
      <c r="H9" s="3443"/>
      <c r="I9" s="3443"/>
      <c r="J9" s="3443"/>
      <c r="K9" s="3443"/>
      <c r="L9" s="3443"/>
      <c r="M9" s="3443"/>
      <c r="N9" s="3443"/>
      <c r="O9" s="3443"/>
      <c r="P9" s="3443"/>
      <c r="Q9" s="3443"/>
      <c r="R9" s="3443"/>
      <c r="S9" s="3443"/>
      <c r="T9" s="3443"/>
      <c r="U9" s="3443"/>
      <c r="V9" s="3443"/>
      <c r="W9" s="3443">
        <f>1078836+4266569.25</f>
        <v>5345405.25</v>
      </c>
      <c r="X9" s="3443">
        <v>21428000.039999999</v>
      </c>
      <c r="Y9" s="3443">
        <v>11144353.439999999</v>
      </c>
    </row>
    <row r="10" spans="1:27" s="3433" customFormat="1" ht="14.25" customHeight="1">
      <c r="A10" s="3448" t="s">
        <v>4007</v>
      </c>
      <c r="B10" s="3442" t="s">
        <v>4005</v>
      </c>
      <c r="C10" s="3443"/>
      <c r="D10" s="3443"/>
      <c r="E10" s="3443"/>
      <c r="F10" s="3443"/>
      <c r="G10" s="3443"/>
      <c r="H10" s="3443"/>
      <c r="I10" s="3443"/>
      <c r="J10" s="3443"/>
      <c r="K10" s="3443"/>
      <c r="L10" s="3443"/>
      <c r="M10" s="3443"/>
      <c r="N10" s="3443"/>
      <c r="O10" s="3443"/>
      <c r="P10" s="3443"/>
      <c r="Q10" s="3443"/>
      <c r="R10" s="3443"/>
      <c r="S10" s="3443"/>
      <c r="T10" s="3443"/>
      <c r="U10" s="3443"/>
      <c r="V10" s="3443"/>
      <c r="W10" s="3443">
        <v>1053256.8500000001</v>
      </c>
      <c r="X10" s="3443">
        <v>1336713.94</v>
      </c>
      <c r="Y10" s="3443">
        <v>1303893.3600000001</v>
      </c>
    </row>
    <row r="11" spans="1:27" s="3433" customFormat="1" ht="14.25" customHeight="1">
      <c r="A11" s="3448" t="s">
        <v>4008</v>
      </c>
      <c r="B11" s="3442" t="s">
        <v>4005</v>
      </c>
      <c r="C11" s="3443"/>
      <c r="D11" s="3443"/>
      <c r="E11" s="3443"/>
      <c r="F11" s="3443"/>
      <c r="G11" s="3443"/>
      <c r="H11" s="3443"/>
      <c r="I11" s="3443"/>
      <c r="J11" s="3443"/>
      <c r="K11" s="3443"/>
      <c r="L11" s="3443"/>
      <c r="M11" s="3443"/>
      <c r="N11" s="3443"/>
      <c r="O11" s="3443"/>
      <c r="P11" s="3443"/>
      <c r="Q11" s="3443"/>
      <c r="R11" s="3443"/>
      <c r="S11" s="3443"/>
      <c r="T11" s="3443"/>
      <c r="U11" s="3443"/>
      <c r="V11" s="3443"/>
      <c r="W11" s="3443">
        <f>1042751+5455+1115652</f>
        <v>2163858</v>
      </c>
      <c r="X11" s="3443">
        <v>1010874.6</v>
      </c>
      <c r="Y11" s="3443">
        <v>345857.99</v>
      </c>
    </row>
    <row r="12" spans="1:27" s="3433" customFormat="1" ht="14.25" customHeight="1">
      <c r="A12" s="3448" t="s">
        <v>4009</v>
      </c>
      <c r="B12" s="3442" t="s">
        <v>4005</v>
      </c>
      <c r="C12" s="3443"/>
      <c r="D12" s="3443"/>
      <c r="E12" s="3443"/>
      <c r="F12" s="3443"/>
      <c r="G12" s="3443"/>
      <c r="H12" s="3443"/>
      <c r="I12" s="3443"/>
      <c r="J12" s="3443"/>
      <c r="K12" s="3443"/>
      <c r="L12" s="3443"/>
      <c r="M12" s="3443"/>
      <c r="N12" s="3443"/>
      <c r="O12" s="3443"/>
      <c r="P12" s="3443"/>
      <c r="Q12" s="3443"/>
      <c r="R12" s="3443"/>
      <c r="S12" s="3443"/>
      <c r="T12" s="3443"/>
      <c r="U12" s="3443"/>
      <c r="V12" s="3443"/>
      <c r="W12" s="3443">
        <v>837208.5</v>
      </c>
      <c r="X12" s="3443">
        <v>2853800</v>
      </c>
      <c r="Y12" s="3443"/>
    </row>
    <row r="13" spans="1:27" s="3433" customFormat="1" ht="14.25" customHeight="1">
      <c r="A13" s="3448" t="s">
        <v>4010</v>
      </c>
      <c r="B13" s="3442" t="s">
        <v>4005</v>
      </c>
      <c r="C13" s="3443"/>
      <c r="D13" s="3443"/>
      <c r="E13" s="3443"/>
      <c r="F13" s="3443"/>
      <c r="G13" s="3443"/>
      <c r="H13" s="3443"/>
      <c r="I13" s="3443"/>
      <c r="J13" s="3443"/>
      <c r="K13" s="3443"/>
      <c r="L13" s="3443"/>
      <c r="M13" s="3443"/>
      <c r="N13" s="3443"/>
      <c r="O13" s="3443"/>
      <c r="P13" s="3443"/>
      <c r="Q13" s="3443"/>
      <c r="R13" s="3443"/>
      <c r="S13" s="3443"/>
      <c r="T13" s="3443"/>
      <c r="U13" s="3443"/>
      <c r="V13" s="3443"/>
      <c r="W13" s="3443">
        <v>0</v>
      </c>
      <c r="X13" s="3443">
        <v>0</v>
      </c>
      <c r="Y13" s="3443"/>
    </row>
    <row r="14" spans="1:27" s="3433" customFormat="1" ht="14.25" customHeight="1">
      <c r="A14" s="3449" t="s">
        <v>4011</v>
      </c>
      <c r="B14" s="3442" t="s">
        <v>4005</v>
      </c>
      <c r="C14" s="3450"/>
      <c r="D14" s="3450"/>
      <c r="E14" s="3450"/>
      <c r="F14" s="3450"/>
      <c r="G14" s="3450"/>
      <c r="H14" s="3450"/>
      <c r="I14" s="3450"/>
      <c r="J14" s="3450"/>
      <c r="K14" s="3450"/>
      <c r="L14" s="3450"/>
      <c r="M14" s="3450"/>
      <c r="N14" s="3450"/>
      <c r="O14" s="3450"/>
      <c r="P14" s="3450"/>
      <c r="Q14" s="3450"/>
      <c r="R14" s="3450"/>
      <c r="S14" s="3450"/>
      <c r="T14" s="3450"/>
      <c r="U14" s="3450"/>
      <c r="V14" s="3450"/>
      <c r="W14" s="3450">
        <f>6936.2+5230+16864+143968.8+3000</f>
        <v>175999</v>
      </c>
      <c r="X14" s="3443">
        <f>5373166.19-2853800+549061</f>
        <v>3068427.1900000004</v>
      </c>
      <c r="Y14" s="3443">
        <v>3924568.76</v>
      </c>
    </row>
    <row r="15" spans="1:27" s="3433" customFormat="1" ht="14.25" customHeight="1">
      <c r="A15" s="3448" t="s">
        <v>4012</v>
      </c>
      <c r="B15" s="3442" t="s">
        <v>4005</v>
      </c>
      <c r="C15" s="3443"/>
      <c r="D15" s="3443"/>
      <c r="E15" s="3443"/>
      <c r="F15" s="3443"/>
      <c r="G15" s="3443"/>
      <c r="H15" s="3443"/>
      <c r="I15" s="3443"/>
      <c r="J15" s="3443"/>
      <c r="K15" s="3443"/>
      <c r="L15" s="3443"/>
      <c r="M15" s="3443"/>
      <c r="N15" s="3443"/>
      <c r="O15" s="3443"/>
      <c r="P15" s="3443"/>
      <c r="Q15" s="3443"/>
      <c r="R15" s="3443"/>
      <c r="S15" s="3443"/>
      <c r="T15" s="3443"/>
      <c r="U15" s="3443"/>
      <c r="V15" s="3443"/>
      <c r="W15" s="3443">
        <v>46195.3</v>
      </c>
      <c r="X15" s="3443"/>
      <c r="Y15" s="3443"/>
    </row>
    <row r="16" spans="1:27" s="3433" customFormat="1" ht="14.25" customHeight="1">
      <c r="A16" s="3441" t="s">
        <v>4000</v>
      </c>
      <c r="B16" s="3442" t="s">
        <v>4005</v>
      </c>
      <c r="C16" s="3443"/>
      <c r="D16" s="3443"/>
      <c r="E16" s="3443"/>
      <c r="F16" s="3443"/>
      <c r="G16" s="3443"/>
      <c r="H16" s="3443"/>
      <c r="I16" s="3443"/>
      <c r="J16" s="3443"/>
      <c r="K16" s="3443"/>
      <c r="L16" s="3443"/>
      <c r="M16" s="3443"/>
      <c r="N16" s="3443"/>
      <c r="O16" s="3443"/>
      <c r="P16" s="3443"/>
      <c r="Q16" s="3443"/>
      <c r="R16" s="3443"/>
      <c r="S16" s="3443"/>
      <c r="T16" s="3443"/>
      <c r="U16" s="3443"/>
      <c r="V16" s="3443"/>
      <c r="W16" s="3443">
        <v>205000</v>
      </c>
      <c r="X16" s="3443"/>
      <c r="Y16" s="3443"/>
    </row>
    <row r="17" spans="1:25" s="3433" customFormat="1" ht="14.25" customHeight="1" thickBot="1">
      <c r="A17" s="3451" t="s">
        <v>4001</v>
      </c>
      <c r="B17" s="3452" t="s">
        <v>4005</v>
      </c>
      <c r="C17" s="3453" t="e">
        <f>#REF!+#REF!+#REF!</f>
        <v>#REF!</v>
      </c>
      <c r="D17" s="3453" t="e">
        <f>#REF!+#REF!+#REF!</f>
        <v>#REF!</v>
      </c>
      <c r="E17" s="3453" t="e">
        <f>#REF!+#REF!+#REF!</f>
        <v>#REF!</v>
      </c>
      <c r="F17" s="3453" t="e">
        <f>#REF!+#REF!+#REF!</f>
        <v>#REF!</v>
      </c>
      <c r="G17" s="3453" t="e">
        <f>#REF!+#REF!+#REF!</f>
        <v>#REF!</v>
      </c>
      <c r="H17" s="3453" t="e">
        <f>#REF!+#REF!+#REF!</f>
        <v>#REF!</v>
      </c>
      <c r="I17" s="3453" t="e">
        <f>#REF!+#REF!+#REF!</f>
        <v>#REF!</v>
      </c>
      <c r="J17" s="3453" t="e">
        <f>#REF!+#REF!+#REF!</f>
        <v>#REF!</v>
      </c>
      <c r="K17" s="3453" t="e">
        <f>#REF!+#REF!+#REF!</f>
        <v>#REF!</v>
      </c>
      <c r="L17" s="3453" t="e">
        <f>#REF!+#REF!+#REF!</f>
        <v>#REF!</v>
      </c>
      <c r="M17" s="3453" t="e">
        <f>#REF!+#REF!+#REF!</f>
        <v>#REF!</v>
      </c>
      <c r="N17" s="3453" t="e">
        <f>#REF!+#REF!+#REF!</f>
        <v>#REF!</v>
      </c>
      <c r="O17" s="3453" t="e">
        <f>#REF!+#REF!+#REF!</f>
        <v>#REF!</v>
      </c>
      <c r="P17" s="3453" t="e">
        <f>#REF!+#REF!+#REF!</f>
        <v>#REF!</v>
      </c>
      <c r="Q17" s="3453" t="e">
        <f>#REF!+#REF!+#REF!</f>
        <v>#REF!</v>
      </c>
      <c r="R17" s="3453" t="e">
        <f>#REF!+#REF!+#REF!</f>
        <v>#REF!</v>
      </c>
      <c r="S17" s="3453" t="e">
        <f>#REF!+#REF!+#REF!</f>
        <v>#REF!</v>
      </c>
      <c r="T17" s="3453" t="e">
        <f>#REF!+#REF!+#REF!</f>
        <v>#REF!</v>
      </c>
      <c r="U17" s="3453" t="e">
        <f>#REF!+#REF!+#REF!</f>
        <v>#REF!</v>
      </c>
      <c r="V17" s="3453" t="e">
        <f>#REF!+#REF!+#REF!</f>
        <v>#REF!</v>
      </c>
      <c r="W17" s="3454">
        <f>SUM(W6:W16)</f>
        <v>64340141.229999997</v>
      </c>
      <c r="X17" s="3454">
        <f>SUM(X6:X16)</f>
        <v>113908631.47999999</v>
      </c>
      <c r="Y17" s="3454">
        <f>SUM(Y6:Y16)</f>
        <v>115727485.09</v>
      </c>
    </row>
    <row r="19" spans="1:25" s="3433" customFormat="1" ht="12.75">
      <c r="W19" s="3433">
        <f>'[47]历年损益表 '!C6</f>
        <v>64340141.229999997</v>
      </c>
      <c r="X19" s="3433">
        <f>'[47]历年损益表 '!D6</f>
        <v>113908631.48</v>
      </c>
      <c r="Y19" s="3433">
        <f>'[47]历年损益表 '!E6</f>
        <v>115727485.09</v>
      </c>
    </row>
    <row r="20" spans="1:25" s="3433" customFormat="1" ht="12.75">
      <c r="W20" s="3455">
        <f>W17-W19</f>
        <v>0</v>
      </c>
      <c r="X20" s="3455">
        <f>X17-X19</f>
        <v>0</v>
      </c>
      <c r="Y20" s="3455">
        <f>Y17-Y19</f>
        <v>0</v>
      </c>
    </row>
    <row r="21" spans="1:25" s="3456" customFormat="1"/>
    <row r="22" spans="1:25" s="3456" customFormat="1"/>
    <row r="23" spans="1:25" s="3456" customFormat="1"/>
  </sheetData>
  <mergeCells count="4">
    <mergeCell ref="A1:Y1"/>
    <mergeCell ref="A3:Y3"/>
    <mergeCell ref="C5:L5"/>
    <mergeCell ref="M5:V5"/>
  </mergeCells>
  <phoneticPr fontId="206" type="noConversion"/>
  <printOptions horizontalCentered="1"/>
  <pageMargins left="0.2" right="0.22" top="0.52" bottom="0.98" header="0.51" footer="0.51"/>
  <pageSetup paperSize="9" orientation="landscape" horizontalDpi="300" verticalDpi="180" r:id="rId1"/>
  <headerFooter alignWithMargins="0">
    <oddHeader>&amp;L&amp;"宋体,倾斜"&amp;10中企华资产评估公司</oddHeader>
    <oddFooter>&amp;C共&amp;"Times New Roman,常规"&amp;N&amp;"宋体,常规"页第&amp;P页</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1"/>
  <sheetViews>
    <sheetView workbookViewId="0">
      <selection activeCell="M21" sqref="M21"/>
    </sheetView>
  </sheetViews>
  <sheetFormatPr defaultRowHeight="20.100000000000001" customHeight="1"/>
  <cols>
    <col min="1" max="1" width="18.5" style="3457" customWidth="1"/>
    <col min="2" max="4" width="13" style="3457" bestFit="1" customWidth="1"/>
    <col min="5" max="256" width="9" style="3457"/>
    <col min="257" max="257" width="18.5" style="3457" customWidth="1"/>
    <col min="258" max="260" width="13" style="3457" bestFit="1" customWidth="1"/>
    <col min="261" max="512" width="9" style="3457"/>
    <col min="513" max="513" width="18.5" style="3457" customWidth="1"/>
    <col min="514" max="516" width="13" style="3457" bestFit="1" customWidth="1"/>
    <col min="517" max="768" width="9" style="3457"/>
    <col min="769" max="769" width="18.5" style="3457" customWidth="1"/>
    <col min="770" max="772" width="13" style="3457" bestFit="1" customWidth="1"/>
    <col min="773" max="1024" width="9" style="3457"/>
    <col min="1025" max="1025" width="18.5" style="3457" customWidth="1"/>
    <col min="1026" max="1028" width="13" style="3457" bestFit="1" customWidth="1"/>
    <col min="1029" max="1280" width="9" style="3457"/>
    <col min="1281" max="1281" width="18.5" style="3457" customWidth="1"/>
    <col min="1282" max="1284" width="13" style="3457" bestFit="1" customWidth="1"/>
    <col min="1285" max="1536" width="9" style="3457"/>
    <col min="1537" max="1537" width="18.5" style="3457" customWidth="1"/>
    <col min="1538" max="1540" width="13" style="3457" bestFit="1" customWidth="1"/>
    <col min="1541" max="1792" width="9" style="3457"/>
    <col min="1793" max="1793" width="18.5" style="3457" customWidth="1"/>
    <col min="1794" max="1796" width="13" style="3457" bestFit="1" customWidth="1"/>
    <col min="1797" max="2048" width="9" style="3457"/>
    <col min="2049" max="2049" width="18.5" style="3457" customWidth="1"/>
    <col min="2050" max="2052" width="13" style="3457" bestFit="1" customWidth="1"/>
    <col min="2053" max="2304" width="9" style="3457"/>
    <col min="2305" max="2305" width="18.5" style="3457" customWidth="1"/>
    <col min="2306" max="2308" width="13" style="3457" bestFit="1" customWidth="1"/>
    <col min="2309" max="2560" width="9" style="3457"/>
    <col min="2561" max="2561" width="18.5" style="3457" customWidth="1"/>
    <col min="2562" max="2564" width="13" style="3457" bestFit="1" customWidth="1"/>
    <col min="2565" max="2816" width="9" style="3457"/>
    <col min="2817" max="2817" width="18.5" style="3457" customWidth="1"/>
    <col min="2818" max="2820" width="13" style="3457" bestFit="1" customWidth="1"/>
    <col min="2821" max="3072" width="9" style="3457"/>
    <col min="3073" max="3073" width="18.5" style="3457" customWidth="1"/>
    <col min="3074" max="3076" width="13" style="3457" bestFit="1" customWidth="1"/>
    <col min="3077" max="3328" width="9" style="3457"/>
    <col min="3329" max="3329" width="18.5" style="3457" customWidth="1"/>
    <col min="3330" max="3332" width="13" style="3457" bestFit="1" customWidth="1"/>
    <col min="3333" max="3584" width="9" style="3457"/>
    <col min="3585" max="3585" width="18.5" style="3457" customWidth="1"/>
    <col min="3586" max="3588" width="13" style="3457" bestFit="1" customWidth="1"/>
    <col min="3589" max="3840" width="9" style="3457"/>
    <col min="3841" max="3841" width="18.5" style="3457" customWidth="1"/>
    <col min="3842" max="3844" width="13" style="3457" bestFit="1" customWidth="1"/>
    <col min="3845" max="4096" width="9" style="3457"/>
    <col min="4097" max="4097" width="18.5" style="3457" customWidth="1"/>
    <col min="4098" max="4100" width="13" style="3457" bestFit="1" customWidth="1"/>
    <col min="4101" max="4352" width="9" style="3457"/>
    <col min="4353" max="4353" width="18.5" style="3457" customWidth="1"/>
    <col min="4354" max="4356" width="13" style="3457" bestFit="1" customWidth="1"/>
    <col min="4357" max="4608" width="9" style="3457"/>
    <col min="4609" max="4609" width="18.5" style="3457" customWidth="1"/>
    <col min="4610" max="4612" width="13" style="3457" bestFit="1" customWidth="1"/>
    <col min="4613" max="4864" width="9" style="3457"/>
    <col min="4865" max="4865" width="18.5" style="3457" customWidth="1"/>
    <col min="4866" max="4868" width="13" style="3457" bestFit="1" customWidth="1"/>
    <col min="4869" max="5120" width="9" style="3457"/>
    <col min="5121" max="5121" width="18.5" style="3457" customWidth="1"/>
    <col min="5122" max="5124" width="13" style="3457" bestFit="1" customWidth="1"/>
    <col min="5125" max="5376" width="9" style="3457"/>
    <col min="5377" max="5377" width="18.5" style="3457" customWidth="1"/>
    <col min="5378" max="5380" width="13" style="3457" bestFit="1" customWidth="1"/>
    <col min="5381" max="5632" width="9" style="3457"/>
    <col min="5633" max="5633" width="18.5" style="3457" customWidth="1"/>
    <col min="5634" max="5636" width="13" style="3457" bestFit="1" customWidth="1"/>
    <col min="5637" max="5888" width="9" style="3457"/>
    <col min="5889" max="5889" width="18.5" style="3457" customWidth="1"/>
    <col min="5890" max="5892" width="13" style="3457" bestFit="1" customWidth="1"/>
    <col min="5893" max="6144" width="9" style="3457"/>
    <col min="6145" max="6145" width="18.5" style="3457" customWidth="1"/>
    <col min="6146" max="6148" width="13" style="3457" bestFit="1" customWidth="1"/>
    <col min="6149" max="6400" width="9" style="3457"/>
    <col min="6401" max="6401" width="18.5" style="3457" customWidth="1"/>
    <col min="6402" max="6404" width="13" style="3457" bestFit="1" customWidth="1"/>
    <col min="6405" max="6656" width="9" style="3457"/>
    <col min="6657" max="6657" width="18.5" style="3457" customWidth="1"/>
    <col min="6658" max="6660" width="13" style="3457" bestFit="1" customWidth="1"/>
    <col min="6661" max="6912" width="9" style="3457"/>
    <col min="6913" max="6913" width="18.5" style="3457" customWidth="1"/>
    <col min="6914" max="6916" width="13" style="3457" bestFit="1" customWidth="1"/>
    <col min="6917" max="7168" width="9" style="3457"/>
    <col min="7169" max="7169" width="18.5" style="3457" customWidth="1"/>
    <col min="7170" max="7172" width="13" style="3457" bestFit="1" customWidth="1"/>
    <col min="7173" max="7424" width="9" style="3457"/>
    <col min="7425" max="7425" width="18.5" style="3457" customWidth="1"/>
    <col min="7426" max="7428" width="13" style="3457" bestFit="1" customWidth="1"/>
    <col min="7429" max="7680" width="9" style="3457"/>
    <col min="7681" max="7681" width="18.5" style="3457" customWidth="1"/>
    <col min="7682" max="7684" width="13" style="3457" bestFit="1" customWidth="1"/>
    <col min="7685" max="7936" width="9" style="3457"/>
    <col min="7937" max="7937" width="18.5" style="3457" customWidth="1"/>
    <col min="7938" max="7940" width="13" style="3457" bestFit="1" customWidth="1"/>
    <col min="7941" max="8192" width="9" style="3457"/>
    <col min="8193" max="8193" width="18.5" style="3457" customWidth="1"/>
    <col min="8194" max="8196" width="13" style="3457" bestFit="1" customWidth="1"/>
    <col min="8197" max="8448" width="9" style="3457"/>
    <col min="8449" max="8449" width="18.5" style="3457" customWidth="1"/>
    <col min="8450" max="8452" width="13" style="3457" bestFit="1" customWidth="1"/>
    <col min="8453" max="8704" width="9" style="3457"/>
    <col min="8705" max="8705" width="18.5" style="3457" customWidth="1"/>
    <col min="8706" max="8708" width="13" style="3457" bestFit="1" customWidth="1"/>
    <col min="8709" max="8960" width="9" style="3457"/>
    <col min="8961" max="8961" width="18.5" style="3457" customWidth="1"/>
    <col min="8962" max="8964" width="13" style="3457" bestFit="1" customWidth="1"/>
    <col min="8965" max="9216" width="9" style="3457"/>
    <col min="9217" max="9217" width="18.5" style="3457" customWidth="1"/>
    <col min="9218" max="9220" width="13" style="3457" bestFit="1" customWidth="1"/>
    <col min="9221" max="9472" width="9" style="3457"/>
    <col min="9473" max="9473" width="18.5" style="3457" customWidth="1"/>
    <col min="9474" max="9476" width="13" style="3457" bestFit="1" customWidth="1"/>
    <col min="9477" max="9728" width="9" style="3457"/>
    <col min="9729" max="9729" width="18.5" style="3457" customWidth="1"/>
    <col min="9730" max="9732" width="13" style="3457" bestFit="1" customWidth="1"/>
    <col min="9733" max="9984" width="9" style="3457"/>
    <col min="9985" max="9985" width="18.5" style="3457" customWidth="1"/>
    <col min="9986" max="9988" width="13" style="3457" bestFit="1" customWidth="1"/>
    <col min="9989" max="10240" width="9" style="3457"/>
    <col min="10241" max="10241" width="18.5" style="3457" customWidth="1"/>
    <col min="10242" max="10244" width="13" style="3457" bestFit="1" customWidth="1"/>
    <col min="10245" max="10496" width="9" style="3457"/>
    <col min="10497" max="10497" width="18.5" style="3457" customWidth="1"/>
    <col min="10498" max="10500" width="13" style="3457" bestFit="1" customWidth="1"/>
    <col min="10501" max="10752" width="9" style="3457"/>
    <col min="10753" max="10753" width="18.5" style="3457" customWidth="1"/>
    <col min="10754" max="10756" width="13" style="3457" bestFit="1" customWidth="1"/>
    <col min="10757" max="11008" width="9" style="3457"/>
    <col min="11009" max="11009" width="18.5" style="3457" customWidth="1"/>
    <col min="11010" max="11012" width="13" style="3457" bestFit="1" customWidth="1"/>
    <col min="11013" max="11264" width="9" style="3457"/>
    <col min="11265" max="11265" width="18.5" style="3457" customWidth="1"/>
    <col min="11266" max="11268" width="13" style="3457" bestFit="1" customWidth="1"/>
    <col min="11269" max="11520" width="9" style="3457"/>
    <col min="11521" max="11521" width="18.5" style="3457" customWidth="1"/>
    <col min="11522" max="11524" width="13" style="3457" bestFit="1" customWidth="1"/>
    <col min="11525" max="11776" width="9" style="3457"/>
    <col min="11777" max="11777" width="18.5" style="3457" customWidth="1"/>
    <col min="11778" max="11780" width="13" style="3457" bestFit="1" customWidth="1"/>
    <col min="11781" max="12032" width="9" style="3457"/>
    <col min="12033" max="12033" width="18.5" style="3457" customWidth="1"/>
    <col min="12034" max="12036" width="13" style="3457" bestFit="1" customWidth="1"/>
    <col min="12037" max="12288" width="9" style="3457"/>
    <col min="12289" max="12289" width="18.5" style="3457" customWidth="1"/>
    <col min="12290" max="12292" width="13" style="3457" bestFit="1" customWidth="1"/>
    <col min="12293" max="12544" width="9" style="3457"/>
    <col min="12545" max="12545" width="18.5" style="3457" customWidth="1"/>
    <col min="12546" max="12548" width="13" style="3457" bestFit="1" customWidth="1"/>
    <col min="12549" max="12800" width="9" style="3457"/>
    <col min="12801" max="12801" width="18.5" style="3457" customWidth="1"/>
    <col min="12802" max="12804" width="13" style="3457" bestFit="1" customWidth="1"/>
    <col min="12805" max="13056" width="9" style="3457"/>
    <col min="13057" max="13057" width="18.5" style="3457" customWidth="1"/>
    <col min="13058" max="13060" width="13" style="3457" bestFit="1" customWidth="1"/>
    <col min="13061" max="13312" width="9" style="3457"/>
    <col min="13313" max="13313" width="18.5" style="3457" customWidth="1"/>
    <col min="13314" max="13316" width="13" style="3457" bestFit="1" customWidth="1"/>
    <col min="13317" max="13568" width="9" style="3457"/>
    <col min="13569" max="13569" width="18.5" style="3457" customWidth="1"/>
    <col min="13570" max="13572" width="13" style="3457" bestFit="1" customWidth="1"/>
    <col min="13573" max="13824" width="9" style="3457"/>
    <col min="13825" max="13825" width="18.5" style="3457" customWidth="1"/>
    <col min="13826" max="13828" width="13" style="3457" bestFit="1" customWidth="1"/>
    <col min="13829" max="14080" width="9" style="3457"/>
    <col min="14081" max="14081" width="18.5" style="3457" customWidth="1"/>
    <col min="14082" max="14084" width="13" style="3457" bestFit="1" customWidth="1"/>
    <col min="14085" max="14336" width="9" style="3457"/>
    <col min="14337" max="14337" width="18.5" style="3457" customWidth="1"/>
    <col min="14338" max="14340" width="13" style="3457" bestFit="1" customWidth="1"/>
    <col min="14341" max="14592" width="9" style="3457"/>
    <col min="14593" max="14593" width="18.5" style="3457" customWidth="1"/>
    <col min="14594" max="14596" width="13" style="3457" bestFit="1" customWidth="1"/>
    <col min="14597" max="14848" width="9" style="3457"/>
    <col min="14849" max="14849" width="18.5" style="3457" customWidth="1"/>
    <col min="14850" max="14852" width="13" style="3457" bestFit="1" customWidth="1"/>
    <col min="14853" max="15104" width="9" style="3457"/>
    <col min="15105" max="15105" width="18.5" style="3457" customWidth="1"/>
    <col min="15106" max="15108" width="13" style="3457" bestFit="1" customWidth="1"/>
    <col min="15109" max="15360" width="9" style="3457"/>
    <col min="15361" max="15361" width="18.5" style="3457" customWidth="1"/>
    <col min="15362" max="15364" width="13" style="3457" bestFit="1" customWidth="1"/>
    <col min="15365" max="15616" width="9" style="3457"/>
    <col min="15617" max="15617" width="18.5" style="3457" customWidth="1"/>
    <col min="15618" max="15620" width="13" style="3457" bestFit="1" customWidth="1"/>
    <col min="15621" max="15872" width="9" style="3457"/>
    <col min="15873" max="15873" width="18.5" style="3457" customWidth="1"/>
    <col min="15874" max="15876" width="13" style="3457" bestFit="1" customWidth="1"/>
    <col min="15877" max="16128" width="9" style="3457"/>
    <col min="16129" max="16129" width="18.5" style="3457" customWidth="1"/>
    <col min="16130" max="16132" width="13" style="3457" bestFit="1" customWidth="1"/>
    <col min="16133" max="16384" width="9" style="3457"/>
  </cols>
  <sheetData>
    <row r="1" spans="1:4" ht="20.100000000000001" customHeight="1">
      <c r="A1" s="3959" t="s">
        <v>4013</v>
      </c>
      <c r="B1" s="3959"/>
      <c r="C1" s="3959"/>
      <c r="D1" s="3959"/>
    </row>
    <row r="2" spans="1:4" ht="8.25" customHeight="1">
      <c r="A2" s="3458"/>
      <c r="B2" s="3459"/>
      <c r="C2" s="3459"/>
      <c r="D2" s="3459"/>
    </row>
    <row r="3" spans="1:4" s="3460" customFormat="1" ht="20.100000000000001" customHeight="1">
      <c r="A3" s="3960"/>
      <c r="B3" s="3960"/>
      <c r="C3" s="3960"/>
      <c r="D3" s="3960"/>
    </row>
    <row r="4" spans="1:4" s="3460" customFormat="1" ht="19.5" customHeight="1" thickBot="1"/>
    <row r="5" spans="1:4" s="3463" customFormat="1" ht="18" customHeight="1">
      <c r="A5" s="3461" t="s">
        <v>4014</v>
      </c>
      <c r="B5" s="3462" t="s">
        <v>3997</v>
      </c>
      <c r="C5" s="3462" t="s">
        <v>4015</v>
      </c>
      <c r="D5" s="3462" t="s">
        <v>4016</v>
      </c>
    </row>
    <row r="6" spans="1:4" s="3466" customFormat="1" ht="18" customHeight="1">
      <c r="A6" s="3464" t="s">
        <v>4017</v>
      </c>
      <c r="B6" s="3465">
        <v>78186614.519999996</v>
      </c>
      <c r="C6" s="3465">
        <f>-269237.37+54930188.23</f>
        <v>54660950.859999999</v>
      </c>
      <c r="D6" s="3465">
        <v>46482837.579999998</v>
      </c>
    </row>
    <row r="7" spans="1:4" s="3466" customFormat="1" ht="18" customHeight="1">
      <c r="A7" s="3464" t="s">
        <v>4018</v>
      </c>
      <c r="B7" s="3465">
        <v>323000</v>
      </c>
      <c r="C7" s="3465"/>
      <c r="D7" s="3465"/>
    </row>
    <row r="8" spans="1:4" s="3466" customFormat="1" ht="18" customHeight="1">
      <c r="A8" s="3464" t="s">
        <v>4019</v>
      </c>
      <c r="B8" s="3465"/>
      <c r="C8" s="3465">
        <f>34461.54+234775.83</f>
        <v>269237.37</v>
      </c>
      <c r="D8" s="3465"/>
    </row>
    <row r="9" spans="1:4" s="3466" customFormat="1" ht="18" customHeight="1">
      <c r="A9" s="3467"/>
      <c r="B9" s="3465"/>
      <c r="C9" s="3465"/>
      <c r="D9" s="3465"/>
    </row>
    <row r="10" spans="1:4" s="3470" customFormat="1" ht="18" customHeight="1">
      <c r="A10" s="3468"/>
      <c r="B10" s="3469"/>
      <c r="C10" s="3469"/>
      <c r="D10" s="3469"/>
    </row>
    <row r="11" spans="1:4" s="3470" customFormat="1" ht="18" customHeight="1">
      <c r="A11" s="3471"/>
      <c r="B11" s="3472"/>
      <c r="C11" s="3472"/>
      <c r="D11" s="3472"/>
    </row>
    <row r="12" spans="1:4" s="3470" customFormat="1" ht="18" customHeight="1">
      <c r="A12" s="3471" t="s">
        <v>4020</v>
      </c>
      <c r="B12" s="3472">
        <f>SUM(B6:B11)</f>
        <v>78509614.519999996</v>
      </c>
      <c r="C12" s="3472">
        <f>SUM(C6:C11)</f>
        <v>54930188.229999997</v>
      </c>
      <c r="D12" s="3472">
        <f>SUM(D6:D11)</f>
        <v>46482837.579999998</v>
      </c>
    </row>
    <row r="13" spans="1:4" s="3470" customFormat="1" ht="18" customHeight="1">
      <c r="A13" s="3468" t="s">
        <v>4021</v>
      </c>
      <c r="B13" s="3472">
        <v>0</v>
      </c>
      <c r="C13" s="3472">
        <v>4982320</v>
      </c>
      <c r="D13" s="3472"/>
    </row>
    <row r="14" spans="1:4" s="3470" customFormat="1" ht="18" customHeight="1">
      <c r="A14" s="3468"/>
      <c r="B14" s="3472"/>
      <c r="C14" s="3472"/>
      <c r="D14" s="3472"/>
    </row>
    <row r="15" spans="1:4" s="3470" customFormat="1" ht="18" customHeight="1">
      <c r="A15" s="3468"/>
      <c r="B15" s="3472"/>
      <c r="C15" s="3472"/>
      <c r="D15" s="3472"/>
    </row>
    <row r="16" spans="1:4" s="3470" customFormat="1" ht="18" customHeight="1">
      <c r="A16" s="3468"/>
      <c r="B16" s="3472"/>
      <c r="C16" s="3472"/>
      <c r="D16" s="3472"/>
    </row>
    <row r="17" spans="1:4" s="3470" customFormat="1" ht="18" customHeight="1">
      <c r="A17" s="3468"/>
      <c r="B17" s="3472"/>
      <c r="C17" s="3472"/>
      <c r="D17" s="3472"/>
    </row>
    <row r="18" spans="1:4" s="3470" customFormat="1" ht="18" customHeight="1">
      <c r="A18" s="3468"/>
      <c r="B18" s="3472"/>
      <c r="C18" s="3472"/>
      <c r="D18" s="3472"/>
    </row>
    <row r="19" spans="1:4" s="3470" customFormat="1" ht="18" customHeight="1">
      <c r="A19" s="3471" t="s">
        <v>4022</v>
      </c>
      <c r="B19" s="3472">
        <f>SUM(B13:B18)</f>
        <v>0</v>
      </c>
      <c r="C19" s="3472">
        <f>SUM(C13:C18)</f>
        <v>4982320</v>
      </c>
      <c r="D19" s="3472">
        <f>SUM(D13:D18)</f>
        <v>0</v>
      </c>
    </row>
    <row r="20" spans="1:4" s="3470" customFormat="1" ht="18" customHeight="1" thickBot="1">
      <c r="A20" s="3473" t="s">
        <v>4023</v>
      </c>
      <c r="B20" s="3474">
        <f>B12-B19</f>
        <v>78509614.519999996</v>
      </c>
      <c r="C20" s="3474">
        <f>C12-C19</f>
        <v>49947868.229999997</v>
      </c>
      <c r="D20" s="3474">
        <f>D12-D19</f>
        <v>46482837.579999998</v>
      </c>
    </row>
    <row r="21" spans="1:4" s="3470" customFormat="1" ht="20.100000000000001" customHeight="1"/>
    <row r="22" spans="1:4" s="3470" customFormat="1" ht="20.100000000000001" customHeight="1"/>
    <row r="23" spans="1:4" s="3470" customFormat="1" ht="20.100000000000001" customHeight="1"/>
    <row r="24" spans="1:4" s="3470" customFormat="1" ht="20.100000000000001" customHeight="1"/>
    <row r="25" spans="1:4" s="3470" customFormat="1" ht="20.100000000000001" customHeight="1"/>
    <row r="26" spans="1:4" s="3470" customFormat="1" ht="20.100000000000001" customHeight="1"/>
    <row r="27" spans="1:4" s="3470" customFormat="1" ht="20.100000000000001" customHeight="1"/>
    <row r="28" spans="1:4" s="3470" customFormat="1" ht="20.100000000000001" customHeight="1"/>
    <row r="29" spans="1:4" s="3470" customFormat="1" ht="20.100000000000001" customHeight="1"/>
    <row r="30" spans="1:4" s="3470" customFormat="1" ht="20.100000000000001" customHeight="1"/>
    <row r="31" spans="1:4" s="3470" customFormat="1" ht="20.100000000000001" customHeight="1"/>
    <row r="32" spans="1:4" s="3470" customFormat="1" ht="20.100000000000001" customHeight="1"/>
    <row r="33" s="3470" customFormat="1" ht="20.100000000000001" customHeight="1"/>
    <row r="34" s="3470" customFormat="1" ht="20.100000000000001" customHeight="1"/>
    <row r="35" s="3470" customFormat="1" ht="20.100000000000001" customHeight="1"/>
    <row r="36" s="3470" customFormat="1" ht="20.100000000000001" customHeight="1"/>
    <row r="37" s="3470" customFormat="1" ht="20.100000000000001" customHeight="1"/>
    <row r="38" s="3470" customFormat="1" ht="20.100000000000001" customHeight="1"/>
    <row r="39" s="3470" customFormat="1" ht="20.100000000000001" customHeight="1"/>
    <row r="40" s="3470" customFormat="1" ht="20.100000000000001" customHeight="1"/>
    <row r="41" s="3470" customFormat="1" ht="20.100000000000001" customHeight="1"/>
  </sheetData>
  <mergeCells count="2">
    <mergeCell ref="A1:D1"/>
    <mergeCell ref="A3:D3"/>
  </mergeCells>
  <phoneticPr fontId="206" type="noConversion"/>
  <pageMargins left="0.34" right="0.35" top="1" bottom="1" header="0.5" footer="0.5"/>
  <pageSetup paperSize="9" scale="95" orientation="landscape" horizontalDpi="300" verticalDpi="180" r:id="rId1"/>
  <headerFooter alignWithMargins="0">
    <oddHeader>&amp;L&amp;"宋体,倾斜"&amp;10中企华资产评估公司</oddHeader>
    <oddFooter>&amp;C共&amp;"Times New Roman,常规"&amp;N&amp;"宋体,常规"页第&amp;"Times New Roman,常规"&amp;P&amp;"宋体,常规"页</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1044</v>
      </c>
      <c r="B1" s="576"/>
      <c r="C1" s="577"/>
      <c r="D1" s="577"/>
      <c r="E1" s="577"/>
      <c r="F1" s="577"/>
      <c r="G1" s="578"/>
    </row>
    <row r="2" spans="1:7" s="579" customFormat="1" ht="18" customHeight="1">
      <c r="A2" s="580" t="s">
        <v>1045</v>
      </c>
      <c r="B2" s="581">
        <f ca="1">C52</f>
        <v>357280</v>
      </c>
      <c r="C2" s="85" t="s">
        <v>1094</v>
      </c>
      <c r="D2" s="578"/>
      <c r="E2" s="578"/>
      <c r="F2" s="578"/>
      <c r="G2" s="578"/>
    </row>
    <row r="3" spans="1:7" s="579" customFormat="1" ht="18" customHeight="1" thickBot="1">
      <c r="A3" s="582" t="s">
        <v>1046</v>
      </c>
      <c r="B3" s="583">
        <f ca="1">ROUND(B2*10000/'数据-汇总表'!E3,0)</f>
        <v>7220</v>
      </c>
      <c r="C3" s="85" t="s">
        <v>1095</v>
      </c>
      <c r="D3" s="578"/>
      <c r="E3" s="578"/>
      <c r="F3" s="578"/>
      <c r="G3" s="578"/>
    </row>
    <row r="4" spans="1:7" s="587" customFormat="1" ht="15.75">
      <c r="A4" s="584" t="s">
        <v>1047</v>
      </c>
      <c r="B4" s="585"/>
      <c r="C4" s="585"/>
      <c r="D4" s="585"/>
      <c r="E4" s="585"/>
      <c r="F4" s="585"/>
      <c r="G4" s="586"/>
    </row>
    <row r="5" spans="1:7" s="593" customFormat="1" ht="13.5" customHeight="1">
      <c r="A5" s="634" t="s">
        <v>2908</v>
      </c>
      <c r="B5" s="589" t="s">
        <v>1048</v>
      </c>
      <c r="C5" s="590">
        <f>C6+C7+C8</f>
        <v>20810</v>
      </c>
      <c r="D5" s="590" t="s">
        <v>1049</v>
      </c>
      <c r="E5" s="591" t="s">
        <v>1050</v>
      </c>
      <c r="F5" s="591" t="s">
        <v>1051</v>
      </c>
      <c r="G5" s="592"/>
    </row>
    <row r="6" spans="1:7" s="593" customFormat="1" ht="13.5" customHeight="1">
      <c r="A6" s="1808" t="s">
        <v>2278</v>
      </c>
      <c r="B6" s="594" t="s">
        <v>1052</v>
      </c>
      <c r="C6" s="595">
        <v>20000</v>
      </c>
      <c r="D6" s="596"/>
      <c r="E6" s="597"/>
      <c r="F6" s="597"/>
      <c r="G6" s="598"/>
    </row>
    <row r="7" spans="1:7" s="593" customFormat="1" ht="13.5" customHeight="1">
      <c r="A7" s="1808" t="s">
        <v>2279</v>
      </c>
      <c r="B7" s="594" t="s">
        <v>511</v>
      </c>
      <c r="C7" s="599">
        <f>ROUND(C6*F7,0)</f>
        <v>810</v>
      </c>
      <c r="D7" s="599"/>
      <c r="E7" s="597"/>
      <c r="F7" s="600">
        <f>'数据-取费表'!B48+'数据-取费表'!B49</f>
        <v>4.0500000000000001E-2</v>
      </c>
      <c r="G7" s="598"/>
    </row>
    <row r="8" spans="1:7" s="602" customFormat="1">
      <c r="A8" s="1808" t="s">
        <v>2280</v>
      </c>
      <c r="B8" s="594" t="s">
        <v>1053</v>
      </c>
      <c r="C8" s="599" t="str">
        <f>IF(G8="已包含在土地购买价格中","0",'数据-取费表'!B29)</f>
        <v>0</v>
      </c>
      <c r="D8" s="601"/>
      <c r="E8" s="599"/>
      <c r="F8" s="600"/>
      <c r="G8" s="84" t="s">
        <v>3087</v>
      </c>
    </row>
    <row r="9" spans="1:7" s="593" customFormat="1" ht="13.5" customHeight="1">
      <c r="A9" s="1809" t="s">
        <v>2287</v>
      </c>
      <c r="B9" s="603" t="s">
        <v>1054</v>
      </c>
      <c r="C9" s="604">
        <f>ROUND(D9*E9/10000,0)</f>
        <v>0</v>
      </c>
      <c r="D9" s="1913">
        <f>'数据-汇总表'!E5</f>
        <v>0</v>
      </c>
      <c r="E9" s="604">
        <f>'数据-取费表'!B27</f>
        <v>33.200000000000003</v>
      </c>
      <c r="F9" s="600"/>
      <c r="G9" s="605"/>
    </row>
    <row r="10" spans="1:7" s="593" customFormat="1" ht="13.5" customHeight="1">
      <c r="A10" s="1809" t="s">
        <v>2288</v>
      </c>
      <c r="B10" s="603" t="s">
        <v>1055</v>
      </c>
      <c r="C10" s="604">
        <f>ROUND(D10*E10/10000,0)</f>
        <v>1069</v>
      </c>
      <c r="D10" s="1913">
        <f>'数据-汇总表'!E6</f>
        <v>494831.87</v>
      </c>
      <c r="E10" s="604">
        <f>'数据-取费表'!B28</f>
        <v>21.6</v>
      </c>
      <c r="F10" s="600"/>
      <c r="G10" s="605"/>
    </row>
    <row r="11" spans="1:7" s="593" customFormat="1" ht="13.5" hidden="1" customHeight="1">
      <c r="A11" s="606" t="s">
        <v>45</v>
      </c>
      <c r="B11" s="594" t="s">
        <v>1056</v>
      </c>
      <c r="C11" s="590"/>
      <c r="D11" s="1915"/>
      <c r="E11" s="597"/>
      <c r="F11" s="597"/>
      <c r="G11" s="598"/>
    </row>
    <row r="12" spans="1:7" s="593" customFormat="1" ht="13.5" hidden="1" customHeight="1">
      <c r="A12" s="606" t="s">
        <v>46</v>
      </c>
      <c r="B12" s="594" t="s">
        <v>1057</v>
      </c>
      <c r="C12" s="590">
        <v>0</v>
      </c>
      <c r="D12" s="1915"/>
      <c r="E12" s="607"/>
      <c r="F12" s="600">
        <v>3.0499999999999999E-2</v>
      </c>
      <c r="G12" s="598"/>
    </row>
    <row r="13" spans="1:7" s="593" customFormat="1" ht="13.5" hidden="1" customHeight="1">
      <c r="A13" s="606" t="s">
        <v>47</v>
      </c>
      <c r="B13" s="594" t="s">
        <v>1058</v>
      </c>
      <c r="C13" s="590"/>
      <c r="D13" s="1915"/>
      <c r="E13" s="597"/>
      <c r="F13" s="597"/>
      <c r="G13" s="598"/>
    </row>
    <row r="14" spans="1:7" s="593" customFormat="1" ht="13.5" hidden="1" customHeight="1">
      <c r="A14" s="606" t="s">
        <v>48</v>
      </c>
      <c r="B14" s="594" t="s">
        <v>1053</v>
      </c>
      <c r="C14" s="590"/>
      <c r="D14" s="1915"/>
      <c r="E14" s="597"/>
      <c r="F14" s="597"/>
      <c r="G14" s="598" t="s">
        <v>1059</v>
      </c>
    </row>
    <row r="15" spans="1:7" s="593" customFormat="1" ht="13.5" hidden="1" customHeight="1">
      <c r="A15" s="606" t="s">
        <v>49</v>
      </c>
      <c r="B15" s="594" t="s">
        <v>1060</v>
      </c>
      <c r="C15" s="599"/>
      <c r="D15" s="1915"/>
      <c r="E15" s="597"/>
      <c r="F15" s="597"/>
      <c r="G15" s="598" t="s">
        <v>1061</v>
      </c>
    </row>
    <row r="16" spans="1:7" s="593" customFormat="1" ht="13.5" hidden="1" customHeight="1">
      <c r="A16" s="606" t="s">
        <v>50</v>
      </c>
      <c r="B16" s="594" t="s">
        <v>1053</v>
      </c>
      <c r="C16" s="599"/>
      <c r="D16" s="1915"/>
      <c r="E16" s="597"/>
      <c r="F16" s="597"/>
      <c r="G16" s="598"/>
    </row>
    <row r="17" spans="1:7" s="593" customFormat="1" ht="13.5" hidden="1" customHeight="1">
      <c r="A17" s="606" t="s">
        <v>51</v>
      </c>
      <c r="B17" s="594" t="s">
        <v>1062</v>
      </c>
      <c r="C17" s="608"/>
      <c r="D17" s="1916"/>
      <c r="E17" s="608"/>
      <c r="F17" s="608"/>
      <c r="G17" s="598" t="s">
        <v>1061</v>
      </c>
    </row>
    <row r="18" spans="1:7" s="593" customFormat="1" ht="13.5" hidden="1" customHeight="1">
      <c r="A18" s="606" t="s">
        <v>52</v>
      </c>
      <c r="B18" s="594" t="s">
        <v>1063</v>
      </c>
      <c r="C18" s="599">
        <v>0</v>
      </c>
      <c r="D18" s="1915"/>
      <c r="E18" s="597"/>
      <c r="F18" s="600">
        <v>3.0499999999999999E-2</v>
      </c>
      <c r="G18" s="598" t="s">
        <v>1064</v>
      </c>
    </row>
    <row r="19" spans="1:7" s="602" customFormat="1" ht="13.5" customHeight="1">
      <c r="A19" s="1807" t="s">
        <v>2909</v>
      </c>
      <c r="B19" s="589" t="s">
        <v>1072</v>
      </c>
      <c r="C19" s="590">
        <f>IF(G19="已包含在土地取得成本中","0",ROUND(D19*E19/10000,0))</f>
        <v>9897</v>
      </c>
      <c r="D19" s="1917">
        <f>'数据-汇总表'!E3</f>
        <v>494831.87</v>
      </c>
      <c r="E19" s="590">
        <f>'数据-取费表'!B31</f>
        <v>200</v>
      </c>
      <c r="F19" s="610"/>
      <c r="G19" s="84" t="s">
        <v>2931</v>
      </c>
    </row>
    <row r="20" spans="1:7" s="593" customFormat="1" ht="13.5" customHeight="1">
      <c r="A20" s="1807" t="s">
        <v>2911</v>
      </c>
      <c r="B20" s="589" t="s">
        <v>1065</v>
      </c>
      <c r="C20" s="611">
        <f>ROUND((C5+C19)*F20,0)</f>
        <v>921</v>
      </c>
      <c r="D20" s="611"/>
      <c r="E20" s="611"/>
      <c r="F20" s="612">
        <f>'数据-取费表'!B37</f>
        <v>0.03</v>
      </c>
      <c r="G20" s="2635" t="s">
        <v>2922</v>
      </c>
    </row>
    <row r="21" spans="1:7" s="593" customFormat="1" ht="13.5" customHeight="1">
      <c r="A21" s="1807" t="s">
        <v>2913</v>
      </c>
      <c r="B21" s="589" t="s">
        <v>1066</v>
      </c>
      <c r="C21" s="614">
        <f>F21</f>
        <v>0.02</v>
      </c>
      <c r="D21" s="615" t="s">
        <v>1087</v>
      </c>
      <c r="E21" s="611"/>
      <c r="F21" s="612">
        <f>'数据-取费表'!B38</f>
        <v>0.02</v>
      </c>
      <c r="G21" s="613" t="s">
        <v>1067</v>
      </c>
    </row>
    <row r="22" spans="1:7" s="593" customFormat="1" ht="13.5" customHeight="1">
      <c r="A22" s="1807" t="s">
        <v>2273</v>
      </c>
      <c r="B22" s="589" t="s">
        <v>1068</v>
      </c>
      <c r="C22" s="2715">
        <f ca="1">ROUND(SUM(C23:C25),0)</f>
        <v>8133</v>
      </c>
      <c r="D22" s="614">
        <f ca="1">C26</f>
        <v>2.5000000000000001E-3</v>
      </c>
      <c r="E22" s="615" t="s">
        <v>1087</v>
      </c>
      <c r="F22" s="616">
        <f ca="1">'数据-取费表'!B40</f>
        <v>4.7500000000000001E-2</v>
      </c>
      <c r="G22" s="2635" t="str">
        <f>IF('数据-取费表'!B22&lt;=1,"单利计息","复利计息")</f>
        <v>复利计息</v>
      </c>
    </row>
    <row r="23" spans="1:7" s="593" customFormat="1" ht="13.5" customHeight="1">
      <c r="A23" s="1810" t="s">
        <v>2281</v>
      </c>
      <c r="B23" s="594" t="s">
        <v>2915</v>
      </c>
      <c r="C23" s="2716">
        <f ca="1">ROUND(IF('数据-取费表'!B22&lt;=1,C5*F22*'数据-取费表'!B23,C5*(POWER((1+F22),'数据-取费表'!B23)-1)),0)</f>
        <v>5435</v>
      </c>
      <c r="D23" s="617"/>
      <c r="E23" s="617"/>
      <c r="F23" s="618"/>
      <c r="G23" s="619" t="s">
        <v>1069</v>
      </c>
    </row>
    <row r="24" spans="1:7" s="593" customFormat="1" ht="13.5" customHeight="1">
      <c r="A24" s="1810" t="s">
        <v>2279</v>
      </c>
      <c r="B24" s="594" t="s">
        <v>2910</v>
      </c>
      <c r="C24" s="2716">
        <f ca="1">ROUND(IF('数据-取费表'!B22&lt;=1,C19*F22*('数据-取费表'!B19/2+'数据-取费表'!B21),C19*(POWER((1+F22),('数据-取费表'!B19/2+'数据-取费表'!B21))-1)),0)</f>
        <v>2585</v>
      </c>
      <c r="D24" s="617"/>
      <c r="E24" s="617"/>
      <c r="F24" s="618"/>
      <c r="G24" s="619" t="s">
        <v>1070</v>
      </c>
    </row>
    <row r="25" spans="1:7" s="593" customFormat="1" ht="24">
      <c r="A25" s="1810" t="s">
        <v>2280</v>
      </c>
      <c r="B25" s="594" t="s">
        <v>2912</v>
      </c>
      <c r="C25" s="2716">
        <f ca="1">ROUND(IF('数据-取费表'!B22&lt;=1,C20*F22*'数据-取费表'!B23/2,C20*(POWER((1+F22),'数据-取费表'!B23/2)-1)),0)</f>
        <v>113</v>
      </c>
      <c r="D25" s="617"/>
      <c r="E25" s="620"/>
      <c r="F25" s="618"/>
      <c r="G25" s="621" t="s">
        <v>1071</v>
      </c>
    </row>
    <row r="26" spans="1:7" s="593" customFormat="1">
      <c r="A26" s="1810" t="s">
        <v>2282</v>
      </c>
      <c r="B26" s="594" t="s">
        <v>2914</v>
      </c>
      <c r="C26" s="617">
        <f ca="1">ROUND(IF('数据-取费表'!B22&lt;=1,F21*F22*'数据-取费表'!B23/2,F21*(POWER((1+F22),'数据-取费表'!B23/2)-1)),4)</f>
        <v>2.5000000000000001E-3</v>
      </c>
      <c r="D26" s="617"/>
      <c r="E26" s="620"/>
      <c r="F26" s="618"/>
      <c r="G26" s="622"/>
    </row>
    <row r="27" spans="1:7" s="593" customFormat="1" ht="24.75">
      <c r="A27" s="1807" t="s">
        <v>2274</v>
      </c>
      <c r="B27" s="623" t="s">
        <v>1073</v>
      </c>
      <c r="C27" s="624">
        <f>C28</f>
        <v>4744</v>
      </c>
      <c r="D27" s="614">
        <f>C29</f>
        <v>3.0000000000000001E-3</v>
      </c>
      <c r="E27" s="615" t="s">
        <v>1087</v>
      </c>
      <c r="F27" s="625">
        <f>'数据-取费表'!Q16</f>
        <v>0.15</v>
      </c>
      <c r="G27" s="626" t="s">
        <v>2923</v>
      </c>
    </row>
    <row r="28" spans="1:7" s="593" customFormat="1" ht="13.5" customHeight="1">
      <c r="A28" s="1810" t="s">
        <v>2281</v>
      </c>
      <c r="B28" s="627" t="s">
        <v>2916</v>
      </c>
      <c r="C28" s="628">
        <f>ROUND((C5+C19+C20)*F27*'数据-取费表'!B21/'数据-取费表'!B20,0)</f>
        <v>4744</v>
      </c>
      <c r="D28" s="614"/>
      <c r="E28" s="615"/>
      <c r="F28" s="625"/>
      <c r="G28" s="626"/>
    </row>
    <row r="29" spans="1:7" s="593" customFormat="1" ht="13.5" customHeight="1">
      <c r="A29" s="1810" t="s">
        <v>2279</v>
      </c>
      <c r="B29" s="627" t="s">
        <v>2917</v>
      </c>
      <c r="C29" s="617">
        <f>ROUND(C21*F27*'数据-取费表'!B21/'数据-取费表'!B20,4)</f>
        <v>3.0000000000000001E-3</v>
      </c>
      <c r="D29" s="614"/>
      <c r="E29" s="615"/>
      <c r="F29" s="625"/>
      <c r="G29" s="626"/>
    </row>
    <row r="30" spans="1:7" s="593" customFormat="1" ht="13.5" customHeight="1">
      <c r="A30" s="1807" t="s">
        <v>2275</v>
      </c>
      <c r="B30" s="589" t="s">
        <v>512</v>
      </c>
      <c r="C30" s="614">
        <f>F30</f>
        <v>5.5000000000000007E-2</v>
      </c>
      <c r="D30" s="615" t="s">
        <v>1088</v>
      </c>
      <c r="E30" s="620"/>
      <c r="F30" s="616">
        <f>'数据-取费表'!B41</f>
        <v>5.5000000000000007E-2</v>
      </c>
      <c r="G30" s="613" t="s">
        <v>1074</v>
      </c>
    </row>
    <row r="31" spans="1:7" ht="16.5" customHeight="1">
      <c r="A31" s="588">
        <v>1</v>
      </c>
      <c r="B31" s="589" t="s">
        <v>1089</v>
      </c>
      <c r="C31" s="590">
        <f ca="1">ROUND((C5+C19+C20+C22+C27)/(1-C21-D22-D27-C30/(1+'数据-取费表'!B42)),0)</f>
        <v>48264</v>
      </c>
      <c r="D31" s="609"/>
      <c r="E31" s="590"/>
      <c r="F31" s="629"/>
      <c r="G31" s="613" t="s">
        <v>2924</v>
      </c>
    </row>
    <row r="32" spans="1:7" s="587" customFormat="1" ht="15.75">
      <c r="A32" s="631" t="s">
        <v>1075</v>
      </c>
      <c r="B32" s="632"/>
      <c r="C32" s="632"/>
      <c r="D32" s="632"/>
      <c r="E32" s="632"/>
      <c r="F32" s="632"/>
      <c r="G32" s="633"/>
    </row>
    <row r="33" spans="1:7" s="593" customFormat="1" ht="13.5" customHeight="1">
      <c r="A33" s="634" t="s">
        <v>2269</v>
      </c>
      <c r="B33" s="589" t="s">
        <v>1076</v>
      </c>
      <c r="C33" s="635">
        <f>SUM(C34:C38)</f>
        <v>271649</v>
      </c>
      <c r="D33" s="611"/>
      <c r="E33" s="591"/>
      <c r="F33" s="620"/>
      <c r="G33" s="613"/>
    </row>
    <row r="34" spans="1:7" s="637" customFormat="1" ht="13.5" customHeight="1">
      <c r="A34" s="1810" t="s">
        <v>2281</v>
      </c>
      <c r="B34" s="594" t="s">
        <v>513</v>
      </c>
      <c r="C34" s="599">
        <f>IF(F34=100%,'数据-取费表'!M16-SUMIF('数据-取费表'!C:C,"公共配套",'数据-取费表'!M:M),'数据-取费表'!O16-SUMIF('数据-取费表'!C:C,"公共配套",'数据-取费表'!O:O))</f>
        <v>245776</v>
      </c>
      <c r="D34" s="596"/>
      <c r="E34" s="599"/>
      <c r="F34" s="636">
        <f>IF('数据-取费表'!B24=0,1,'数据-取费表'!N16)</f>
        <v>1</v>
      </c>
      <c r="G34" s="598" t="s">
        <v>1077</v>
      </c>
    </row>
    <row r="35" spans="1:7" ht="13.5" customHeight="1">
      <c r="A35" s="1810" t="s">
        <v>2283</v>
      </c>
      <c r="B35" s="594" t="s">
        <v>514</v>
      </c>
      <c r="C35" s="599">
        <f>ROUND(C34*F35,0)</f>
        <v>12289</v>
      </c>
      <c r="D35" s="599"/>
      <c r="E35" s="599"/>
      <c r="F35" s="638">
        <f>'数据-取费表'!B33</f>
        <v>0.05</v>
      </c>
      <c r="G35" s="598" t="s">
        <v>1078</v>
      </c>
    </row>
    <row r="36" spans="1:7" ht="24">
      <c r="A36" s="1810" t="s">
        <v>2284</v>
      </c>
      <c r="B36" s="594" t="s">
        <v>515</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v>
      </c>
      <c r="G36" s="639" t="s">
        <v>516</v>
      </c>
    </row>
    <row r="37" spans="1:7" s="637" customFormat="1" ht="13.5" customHeight="1">
      <c r="A37" s="1810" t="s">
        <v>2285</v>
      </c>
      <c r="B37" s="594" t="s">
        <v>1079</v>
      </c>
      <c r="C37" s="628">
        <f>ROUND(E37*D37*F34/10000,0)</f>
        <v>9897</v>
      </c>
      <c r="D37" s="596">
        <f>'数据-汇总表'!E3</f>
        <v>494831.87</v>
      </c>
      <c r="E37" s="628">
        <f>'数据-取费表'!B35</f>
        <v>200</v>
      </c>
      <c r="F37" s="638"/>
      <c r="G37" s="640" t="s">
        <v>1080</v>
      </c>
    </row>
    <row r="38" spans="1:7" ht="13.5" customHeight="1">
      <c r="A38" s="1810" t="s">
        <v>2286</v>
      </c>
      <c r="B38" s="594" t="s">
        <v>517</v>
      </c>
      <c r="C38" s="599">
        <f>ROUND(C34*F38,0)</f>
        <v>3687</v>
      </c>
      <c r="D38" s="599"/>
      <c r="E38" s="599"/>
      <c r="F38" s="638">
        <f>'数据-取费表'!B36</f>
        <v>1.4999999999999999E-2</v>
      </c>
      <c r="G38" s="598" t="s">
        <v>1078</v>
      </c>
    </row>
    <row r="39" spans="1:7" s="593" customFormat="1" ht="13.5" customHeight="1">
      <c r="A39" s="1807" t="s">
        <v>2270</v>
      </c>
      <c r="B39" s="589" t="s">
        <v>1065</v>
      </c>
      <c r="C39" s="611">
        <f>ROUND(C33*F20,0)</f>
        <v>8149</v>
      </c>
      <c r="D39" s="611"/>
      <c r="E39" s="611"/>
      <c r="F39" s="612"/>
      <c r="G39" s="2635" t="s">
        <v>2925</v>
      </c>
    </row>
    <row r="40" spans="1:7" s="593" customFormat="1" ht="13.5" customHeight="1">
      <c r="A40" s="1807" t="s">
        <v>2271</v>
      </c>
      <c r="B40" s="589" t="s">
        <v>1066</v>
      </c>
      <c r="C40" s="641">
        <f>F21</f>
        <v>0.02</v>
      </c>
      <c r="D40" s="615" t="s">
        <v>1090</v>
      </c>
      <c r="E40" s="611"/>
      <c r="F40" s="612"/>
      <c r="G40" s="613" t="s">
        <v>1081</v>
      </c>
    </row>
    <row r="41" spans="1:7" s="593" customFormat="1" ht="13.5" customHeight="1">
      <c r="A41" s="1807" t="s">
        <v>2272</v>
      </c>
      <c r="B41" s="589" t="s">
        <v>1068</v>
      </c>
      <c r="C41" s="611">
        <f ca="1">ROUND(SUM(C42:C43),0)</f>
        <v>34419</v>
      </c>
      <c r="D41" s="614">
        <f ca="1">C44</f>
        <v>2.5000000000000001E-3</v>
      </c>
      <c r="E41" s="615" t="s">
        <v>1090</v>
      </c>
      <c r="F41" s="616"/>
      <c r="G41" s="2635" t="str">
        <f>IF('数据-取费表'!B22&lt;=1,"单利计息","复利计息")</f>
        <v>复利计息</v>
      </c>
    </row>
    <row r="42" spans="1:7" ht="13.5" customHeight="1">
      <c r="A42" s="1810" t="s">
        <v>2281</v>
      </c>
      <c r="B42" s="594" t="s">
        <v>2915</v>
      </c>
      <c r="C42" s="617">
        <f ca="1">ROUND(IF('数据-取费表'!B22&lt;=1,C33*F22*'数据-取费表'!B21/2,C33*(POWER((1+F22),'数据-取费表'!B21/2)-1)),0)</f>
        <v>33417</v>
      </c>
      <c r="D42" s="617"/>
      <c r="E42" s="617"/>
      <c r="F42" s="618"/>
      <c r="G42" s="3744" t="s">
        <v>1082</v>
      </c>
    </row>
    <row r="43" spans="1:7" ht="13.5" customHeight="1">
      <c r="A43" s="1810" t="s">
        <v>2279</v>
      </c>
      <c r="B43" s="594" t="s">
        <v>2918</v>
      </c>
      <c r="C43" s="617">
        <f ca="1">ROUND(IF('数据-取费表'!B22&lt;=1,C39*F22*'数据-取费表'!B21/2,C39*(POWER((1+F22),'数据-取费表'!B21/2)-1)),0)</f>
        <v>1002</v>
      </c>
      <c r="D43" s="617"/>
      <c r="E43" s="617"/>
      <c r="F43" s="618"/>
      <c r="G43" s="3745"/>
    </row>
    <row r="44" spans="1:7" ht="13.5" customHeight="1">
      <c r="A44" s="1810" t="s">
        <v>2280</v>
      </c>
      <c r="B44" s="594" t="s">
        <v>2920</v>
      </c>
      <c r="C44" s="617">
        <f ca="1">ROUND(IF('数据-取费表'!B22&lt;=1,C40*F22*'数据-取费表'!B21/2,C40*(POWER((1+F22),'数据-取费表'!B21/2)-1)),4)</f>
        <v>2.5000000000000001E-3</v>
      </c>
      <c r="D44" s="617"/>
      <c r="E44" s="617"/>
      <c r="F44" s="618"/>
      <c r="G44" s="3746"/>
    </row>
    <row r="45" spans="1:7" s="593" customFormat="1" ht="13.5" customHeight="1">
      <c r="A45" s="1807" t="s">
        <v>2273</v>
      </c>
      <c r="B45" s="623" t="s">
        <v>1073</v>
      </c>
      <c r="C45" s="624">
        <f>C46</f>
        <v>41970</v>
      </c>
      <c r="D45" s="614">
        <f>C47</f>
        <v>3.0000000000000001E-3</v>
      </c>
      <c r="E45" s="615" t="s">
        <v>1090</v>
      </c>
      <c r="F45" s="625"/>
      <c r="G45" s="626" t="s">
        <v>2926</v>
      </c>
    </row>
    <row r="46" spans="1:7" s="593" customFormat="1" ht="13.5" customHeight="1">
      <c r="A46" s="1810" t="s">
        <v>2281</v>
      </c>
      <c r="B46" s="627" t="s">
        <v>2919</v>
      </c>
      <c r="C46" s="628">
        <f>ROUND((C33+C39)*F27,0)</f>
        <v>41970</v>
      </c>
      <c r="D46" s="642"/>
      <c r="E46" s="615"/>
      <c r="F46" s="625"/>
      <c r="G46" s="626"/>
    </row>
    <row r="47" spans="1:7" s="593" customFormat="1" ht="13.5" customHeight="1">
      <c r="A47" s="1810" t="s">
        <v>2279</v>
      </c>
      <c r="B47" s="627" t="s">
        <v>2921</v>
      </c>
      <c r="C47" s="617">
        <f>ROUND(C40*F27,4)</f>
        <v>3.0000000000000001E-3</v>
      </c>
      <c r="D47" s="642"/>
      <c r="E47" s="615"/>
      <c r="F47" s="625"/>
      <c r="G47" s="626"/>
    </row>
    <row r="48" spans="1:7" s="593" customFormat="1" ht="13.5" customHeight="1">
      <c r="A48" s="1807" t="s">
        <v>2274</v>
      </c>
      <c r="B48" s="589" t="s">
        <v>1083</v>
      </c>
      <c r="C48" s="641">
        <f>F30</f>
        <v>5.5000000000000007E-2</v>
      </c>
      <c r="D48" s="615" t="s">
        <v>1091</v>
      </c>
      <c r="E48" s="611"/>
      <c r="F48" s="616"/>
      <c r="G48" s="613" t="s">
        <v>1084</v>
      </c>
    </row>
    <row r="49" spans="1:7" ht="16.5" customHeight="1">
      <c r="A49" s="1807" t="s">
        <v>2275</v>
      </c>
      <c r="B49" s="589" t="s">
        <v>1092</v>
      </c>
      <c r="C49" s="611">
        <f ca="1">ROUND((C33+C39+C41+C45)/(1-C40-D41-D45-C48/(1+'数据-取费表'!B42)),0)</f>
        <v>386270</v>
      </c>
      <c r="D49" s="611"/>
      <c r="E49" s="611"/>
      <c r="F49" s="643"/>
      <c r="G49" s="613" t="s">
        <v>2927</v>
      </c>
    </row>
    <row r="50" spans="1:7" s="637" customFormat="1" ht="24">
      <c r="A50" s="1807" t="s">
        <v>2276</v>
      </c>
      <c r="B50" s="589" t="s">
        <v>1085</v>
      </c>
      <c r="C50" s="611"/>
      <c r="D50" s="611"/>
      <c r="E50" s="611"/>
      <c r="F50" s="643">
        <f>IF('数据-取费表'!B24=0,'数据-取费表'!N16,1)</f>
        <v>0.8</v>
      </c>
      <c r="G50" s="626" t="s">
        <v>1086</v>
      </c>
    </row>
    <row r="51" spans="1:7" ht="16.5" customHeight="1">
      <c r="A51" s="1807" t="s">
        <v>2277</v>
      </c>
      <c r="B51" s="589" t="s">
        <v>1093</v>
      </c>
      <c r="C51" s="611">
        <f ca="1">ROUND(C49*F50,0)</f>
        <v>309016</v>
      </c>
      <c r="D51" s="611"/>
      <c r="E51" s="611"/>
      <c r="F51" s="643"/>
      <c r="G51" s="613" t="s">
        <v>518</v>
      </c>
    </row>
    <row r="52" spans="1:7" s="587" customFormat="1" ht="16.5" thickBot="1">
      <c r="A52" s="644" t="s">
        <v>519</v>
      </c>
      <c r="B52" s="645"/>
      <c r="C52" s="646">
        <f ca="1">C31+C51</f>
        <v>357280</v>
      </c>
      <c r="D52" s="645"/>
      <c r="E52" s="645"/>
      <c r="F52" s="645"/>
      <c r="G52" s="647"/>
    </row>
    <row r="55" spans="1:7" ht="15">
      <c r="B55" s="649" t="s">
        <v>520</v>
      </c>
      <c r="C55" s="650"/>
    </row>
    <row r="56" spans="1:7">
      <c r="B56" s="652" t="s">
        <v>521</v>
      </c>
      <c r="C56" s="653">
        <f ca="1">ROUND(C51/C52,3)</f>
        <v>0.86499999999999999</v>
      </c>
    </row>
    <row r="57" spans="1:7">
      <c r="B57" s="652" t="s">
        <v>522</v>
      </c>
      <c r="C57" s="654">
        <f ca="1">1-C56</f>
        <v>0.13500000000000001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9" customWidth="1"/>
    <col min="2" max="5" width="10.25" style="1494" customWidth="1"/>
    <col min="6" max="6" width="9" style="1494"/>
    <col min="7" max="8" width="9" style="1522"/>
    <col min="9" max="16384" width="9" style="1494"/>
  </cols>
  <sheetData>
    <row r="1" spans="1:19">
      <c r="A1" s="3961" t="s">
        <v>1521</v>
      </c>
      <c r="B1" s="3961"/>
      <c r="C1" s="3961"/>
      <c r="D1" s="3961"/>
      <c r="E1" s="3961"/>
      <c r="F1" s="3961"/>
      <c r="H1" s="1524" t="s">
        <v>1522</v>
      </c>
      <c r="I1" s="1525" t="s">
        <v>1523</v>
      </c>
      <c r="J1" s="1525" t="s">
        <v>1524</v>
      </c>
      <c r="K1" s="1525" t="s">
        <v>1525</v>
      </c>
      <c r="L1" s="1525" t="s">
        <v>1526</v>
      </c>
      <c r="M1" s="1525" t="s">
        <v>1527</v>
      </c>
      <c r="N1" s="1525" t="s">
        <v>1528</v>
      </c>
      <c r="O1" s="1525" t="s">
        <v>1529</v>
      </c>
      <c r="P1" s="1525" t="s">
        <v>1530</v>
      </c>
      <c r="Q1" s="1525" t="s">
        <v>1531</v>
      </c>
      <c r="R1" s="1525" t="s">
        <v>1532</v>
      </c>
      <c r="S1" s="1526" t="s">
        <v>1533</v>
      </c>
    </row>
    <row r="2" spans="1:19" ht="14.25" thickBot="1">
      <c r="A2" s="3962" t="s">
        <v>1534</v>
      </c>
      <c r="B2" s="3962"/>
      <c r="C2" s="3962"/>
      <c r="D2" s="3962"/>
      <c r="E2" s="3962"/>
      <c r="F2" s="3962"/>
      <c r="H2" s="1527" t="s">
        <v>1535</v>
      </c>
      <c r="I2" s="1528" t="s">
        <v>1536</v>
      </c>
      <c r="J2" s="1528" t="s">
        <v>1537</v>
      </c>
      <c r="K2" s="1528" t="s">
        <v>1538</v>
      </c>
      <c r="L2" s="1528" t="s">
        <v>1539</v>
      </c>
      <c r="M2" s="1528" t="s">
        <v>1540</v>
      </c>
      <c r="N2" s="1528" t="s">
        <v>1541</v>
      </c>
      <c r="O2" s="1528" t="s">
        <v>1542</v>
      </c>
      <c r="P2" s="1528" t="s">
        <v>1543</v>
      </c>
      <c r="Q2" s="1528" t="s">
        <v>1544</v>
      </c>
      <c r="R2" s="1528" t="s">
        <v>1545</v>
      </c>
      <c r="S2" s="1528" t="s">
        <v>1546</v>
      </c>
    </row>
    <row r="3" spans="1:19" s="1523" customFormat="1" ht="19.5" customHeight="1">
      <c r="A3" s="3963" t="s">
        <v>1547</v>
      </c>
      <c r="B3" s="1529"/>
      <c r="C3" s="1530" t="s">
        <v>1548</v>
      </c>
      <c r="D3" s="1530" t="s">
        <v>1549</v>
      </c>
      <c r="E3" s="1530" t="s">
        <v>2197</v>
      </c>
      <c r="F3" s="1530" t="s">
        <v>1551</v>
      </c>
      <c r="G3" s="1531"/>
      <c r="H3" s="1527" t="s">
        <v>1552</v>
      </c>
      <c r="I3" s="1528" t="s">
        <v>1553</v>
      </c>
      <c r="J3" s="1528" t="s">
        <v>1554</v>
      </c>
      <c r="K3" s="1528" t="s">
        <v>1555</v>
      </c>
      <c r="L3" s="1528" t="s">
        <v>1556</v>
      </c>
      <c r="M3" s="1528" t="s">
        <v>1557</v>
      </c>
      <c r="N3" s="1528" t="s">
        <v>1558</v>
      </c>
      <c r="O3" s="1528" t="s">
        <v>1559</v>
      </c>
      <c r="P3" s="1528" t="s">
        <v>1560</v>
      </c>
      <c r="Q3" s="1528" t="s">
        <v>1561</v>
      </c>
      <c r="R3" s="1528" t="s">
        <v>1562</v>
      </c>
      <c r="S3" s="1528" t="s">
        <v>1563</v>
      </c>
    </row>
    <row r="4" spans="1:19" s="1523" customFormat="1" ht="19.5" customHeight="1" thickBot="1">
      <c r="A4" s="3964"/>
      <c r="B4" s="1532" t="s">
        <v>1564</v>
      </c>
      <c r="C4" s="1532" t="s">
        <v>1565</v>
      </c>
      <c r="D4" s="1532" t="s">
        <v>1565</v>
      </c>
      <c r="E4" s="1532" t="s">
        <v>1565</v>
      </c>
      <c r="F4" s="1533" t="s">
        <v>1565</v>
      </c>
      <c r="G4" s="1531"/>
      <c r="H4" s="1527" t="s">
        <v>1566</v>
      </c>
      <c r="I4" s="1528" t="s">
        <v>1488</v>
      </c>
      <c r="J4" s="1528" t="s">
        <v>1567</v>
      </c>
      <c r="K4" s="1528" t="s">
        <v>1568</v>
      </c>
      <c r="L4" s="1528" t="s">
        <v>1569</v>
      </c>
      <c r="M4" s="1528" t="s">
        <v>1570</v>
      </c>
      <c r="N4" s="1528" t="s">
        <v>1571</v>
      </c>
      <c r="O4" s="1528" t="s">
        <v>1572</v>
      </c>
      <c r="P4" s="1528" t="s">
        <v>1573</v>
      </c>
      <c r="Q4" s="1528" t="s">
        <v>1574</v>
      </c>
      <c r="R4" s="1528" t="s">
        <v>1575</v>
      </c>
      <c r="S4" s="1528" t="s">
        <v>1576</v>
      </c>
    </row>
    <row r="5" spans="1:19" ht="14.25" customHeight="1" thickBot="1">
      <c r="A5" s="1534" t="s">
        <v>2309</v>
      </c>
      <c r="B5" s="1535" t="s">
        <v>2310</v>
      </c>
      <c r="C5" s="1535">
        <v>29530</v>
      </c>
      <c r="D5" s="1535">
        <v>28130</v>
      </c>
      <c r="E5" s="1535">
        <v>27930</v>
      </c>
      <c r="F5" s="1536">
        <v>11300</v>
      </c>
      <c r="G5" s="1531"/>
      <c r="H5" s="1527" t="s">
        <v>1578</v>
      </c>
      <c r="I5" s="1528" t="s">
        <v>1579</v>
      </c>
      <c r="J5" s="1528" t="s">
        <v>1580</v>
      </c>
      <c r="K5" s="1528" t="s">
        <v>1581</v>
      </c>
      <c r="L5" s="1528" t="s">
        <v>1582</v>
      </c>
      <c r="M5" s="1528" t="s">
        <v>1583</v>
      </c>
      <c r="N5" s="1528" t="s">
        <v>1584</v>
      </c>
      <c r="O5" s="1528" t="s">
        <v>1585</v>
      </c>
      <c r="P5" s="1528" t="s">
        <v>1586</v>
      </c>
      <c r="Q5" s="1528" t="s">
        <v>1587</v>
      </c>
      <c r="R5" s="1528" t="s">
        <v>1588</v>
      </c>
      <c r="S5" s="1528" t="s">
        <v>1589</v>
      </c>
    </row>
    <row r="6" spans="1:19" ht="14.25" customHeight="1" thickBot="1">
      <c r="A6" s="1534" t="s">
        <v>1577</v>
      </c>
      <c r="B6" s="1528" t="s">
        <v>1552</v>
      </c>
      <c r="C6" s="1528">
        <v>30290</v>
      </c>
      <c r="D6" s="1528">
        <v>29210</v>
      </c>
      <c r="E6" s="1528">
        <v>28860</v>
      </c>
      <c r="F6" s="1537">
        <v>12600</v>
      </c>
      <c r="G6" s="1531"/>
      <c r="H6" s="1527" t="s">
        <v>1590</v>
      </c>
      <c r="I6" s="1528" t="s">
        <v>1591</v>
      </c>
      <c r="J6" s="1528" t="s">
        <v>1592</v>
      </c>
      <c r="K6" s="1528" t="s">
        <v>1593</v>
      </c>
      <c r="L6" s="1528" t="s">
        <v>1594</v>
      </c>
      <c r="M6" s="1528" t="s">
        <v>1595</v>
      </c>
      <c r="N6" s="1528" t="s">
        <v>1596</v>
      </c>
      <c r="O6" s="1528" t="s">
        <v>1597</v>
      </c>
      <c r="P6" s="1528" t="s">
        <v>1598</v>
      </c>
      <c r="Q6" s="1528" t="s">
        <v>1599</v>
      </c>
      <c r="R6" s="1528" t="s">
        <v>1600</v>
      </c>
      <c r="S6" s="1528" t="s">
        <v>1601</v>
      </c>
    </row>
    <row r="7" spans="1:19" ht="14.25" customHeight="1" thickBot="1">
      <c r="A7" s="1534" t="s">
        <v>1577</v>
      </c>
      <c r="B7" s="1538" t="s">
        <v>1566</v>
      </c>
      <c r="C7" s="1528">
        <v>29350</v>
      </c>
      <c r="D7" s="1528">
        <v>28410</v>
      </c>
      <c r="E7" s="1528">
        <v>27990</v>
      </c>
      <c r="F7" s="1537">
        <v>12300</v>
      </c>
      <c r="G7" s="1531"/>
      <c r="I7" s="1528" t="s">
        <v>1602</v>
      </c>
      <c r="J7" s="1528" t="s">
        <v>1603</v>
      </c>
      <c r="K7" s="1528" t="s">
        <v>1604</v>
      </c>
      <c r="L7" s="1528" t="s">
        <v>1605</v>
      </c>
      <c r="M7" s="1528" t="s">
        <v>1606</v>
      </c>
      <c r="N7" s="1528" t="s">
        <v>1607</v>
      </c>
      <c r="O7" s="1528" t="s">
        <v>1608</v>
      </c>
      <c r="P7" s="1528" t="s">
        <v>1609</v>
      </c>
      <c r="Q7" s="1528" t="s">
        <v>1610</v>
      </c>
      <c r="R7" s="1528" t="s">
        <v>1611</v>
      </c>
      <c r="S7" s="1538" t="s">
        <v>1612</v>
      </c>
    </row>
    <row r="8" spans="1:19" ht="14.25" customHeight="1" thickBot="1">
      <c r="A8" s="1534" t="s">
        <v>1577</v>
      </c>
      <c r="B8" s="1528" t="s">
        <v>1578</v>
      </c>
      <c r="C8" s="1528">
        <v>30890</v>
      </c>
      <c r="D8" s="1528">
        <v>29780</v>
      </c>
      <c r="E8" s="1528">
        <v>29270</v>
      </c>
      <c r="F8" s="1537">
        <v>11600</v>
      </c>
      <c r="G8" s="1531"/>
      <c r="I8" s="1528" t="s">
        <v>1613</v>
      </c>
      <c r="J8" s="1528" t="s">
        <v>1614</v>
      </c>
      <c r="K8" s="1528" t="s">
        <v>1615</v>
      </c>
      <c r="L8" s="1528" t="s">
        <v>1616</v>
      </c>
      <c r="M8" s="1528" t="s">
        <v>1617</v>
      </c>
      <c r="N8" s="1528" t="s">
        <v>1618</v>
      </c>
      <c r="O8" s="1528" t="s">
        <v>1619</v>
      </c>
      <c r="P8" s="1528" t="s">
        <v>1620</v>
      </c>
      <c r="Q8" s="1528" t="s">
        <v>1621</v>
      </c>
      <c r="R8" s="1528" t="s">
        <v>1622</v>
      </c>
      <c r="S8" s="1528" t="s">
        <v>1623</v>
      </c>
    </row>
    <row r="9" spans="1:19" ht="14.25" customHeight="1" thickBot="1">
      <c r="A9" s="1534" t="s">
        <v>1577</v>
      </c>
      <c r="B9" s="1539" t="s">
        <v>1590</v>
      </c>
      <c r="C9" s="1540">
        <v>28140</v>
      </c>
      <c r="D9" s="1540"/>
      <c r="E9" s="1540"/>
      <c r="F9" s="1541"/>
      <c r="G9" s="1531"/>
      <c r="I9" s="1528" t="s">
        <v>1624</v>
      </c>
      <c r="J9" s="1528" t="s">
        <v>1625</v>
      </c>
      <c r="K9" s="1528" t="s">
        <v>1626</v>
      </c>
      <c r="L9" s="1528" t="s">
        <v>1627</v>
      </c>
      <c r="M9" s="1528" t="s">
        <v>1628</v>
      </c>
      <c r="N9" s="1528" t="s">
        <v>1629</v>
      </c>
      <c r="O9" s="1528" t="s">
        <v>1630</v>
      </c>
      <c r="P9" s="1528" t="s">
        <v>1631</v>
      </c>
      <c r="Q9" s="1528" t="s">
        <v>1632</v>
      </c>
      <c r="R9" s="1528" t="s">
        <v>1633</v>
      </c>
    </row>
    <row r="10" spans="1:19" ht="14.25" customHeight="1" thickBot="1">
      <c r="A10" s="1534" t="s">
        <v>1634</v>
      </c>
      <c r="B10" s="1535" t="s">
        <v>1635</v>
      </c>
      <c r="C10" s="1535">
        <v>27450</v>
      </c>
      <c r="D10" s="1535">
        <v>26180</v>
      </c>
      <c r="E10" s="1535">
        <v>25980</v>
      </c>
      <c r="F10" s="1536">
        <v>8910</v>
      </c>
      <c r="G10" s="1531"/>
      <c r="I10" s="1528" t="s">
        <v>1636</v>
      </c>
      <c r="J10" s="1528" t="s">
        <v>1637</v>
      </c>
      <c r="K10" s="1528" t="s">
        <v>1638</v>
      </c>
      <c r="L10" s="1528" t="s">
        <v>1639</v>
      </c>
      <c r="M10" s="1528" t="s">
        <v>1640</v>
      </c>
      <c r="N10" s="1528" t="s">
        <v>1641</v>
      </c>
      <c r="O10" s="1528" t="s">
        <v>1642</v>
      </c>
      <c r="P10" s="1528" t="s">
        <v>1643</v>
      </c>
      <c r="Q10" s="1528" t="s">
        <v>1644</v>
      </c>
      <c r="R10" s="1528" t="s">
        <v>1645</v>
      </c>
    </row>
    <row r="11" spans="1:19" ht="14.25" customHeight="1" thickBot="1">
      <c r="A11" s="1534" t="s">
        <v>1634</v>
      </c>
      <c r="B11" s="1538" t="s">
        <v>1553</v>
      </c>
      <c r="C11" s="1528">
        <v>22950</v>
      </c>
      <c r="D11" s="1528">
        <v>22630</v>
      </c>
      <c r="E11" s="1528">
        <v>22030</v>
      </c>
      <c r="F11" s="1542">
        <v>8330</v>
      </c>
      <c r="G11" s="1531"/>
      <c r="I11" s="1528" t="s">
        <v>1646</v>
      </c>
      <c r="J11" s="1528" t="s">
        <v>1647</v>
      </c>
      <c r="K11" s="1528" t="s">
        <v>1648</v>
      </c>
      <c r="L11" s="1528" t="s">
        <v>1649</v>
      </c>
      <c r="M11" s="1528" t="s">
        <v>1650</v>
      </c>
      <c r="N11" s="1528" t="s">
        <v>1651</v>
      </c>
      <c r="O11" s="1528" t="s">
        <v>1652</v>
      </c>
      <c r="P11" s="1528" t="s">
        <v>1653</v>
      </c>
      <c r="Q11" s="1528" t="s">
        <v>1654</v>
      </c>
      <c r="R11" s="1528" t="s">
        <v>1655</v>
      </c>
    </row>
    <row r="12" spans="1:19" ht="14.25" customHeight="1" thickBot="1">
      <c r="A12" s="1534" t="s">
        <v>1634</v>
      </c>
      <c r="B12" s="1538" t="s">
        <v>1488</v>
      </c>
      <c r="C12" s="1528">
        <v>24940</v>
      </c>
      <c r="D12" s="1528">
        <v>23180</v>
      </c>
      <c r="E12" s="1528">
        <v>22910</v>
      </c>
      <c r="F12" s="1542">
        <v>7180</v>
      </c>
      <c r="G12" s="1531"/>
      <c r="I12" s="1528" t="s">
        <v>1656</v>
      </c>
      <c r="J12" s="1528" t="s">
        <v>1657</v>
      </c>
      <c r="K12" s="1528" t="s">
        <v>1658</v>
      </c>
      <c r="L12" s="1528" t="s">
        <v>1659</v>
      </c>
      <c r="M12" s="1528" t="s">
        <v>1660</v>
      </c>
      <c r="N12" s="1528" t="s">
        <v>1661</v>
      </c>
      <c r="O12" s="1528" t="s">
        <v>1662</v>
      </c>
      <c r="P12" s="1528" t="s">
        <v>1663</v>
      </c>
      <c r="Q12" s="1528" t="s">
        <v>1664</v>
      </c>
      <c r="R12" s="1528" t="s">
        <v>1665</v>
      </c>
    </row>
    <row r="13" spans="1:19" ht="14.25" customHeight="1" thickBot="1">
      <c r="A13" s="1534" t="s">
        <v>1634</v>
      </c>
      <c r="B13" s="1538" t="s">
        <v>1579</v>
      </c>
      <c r="C13" s="1528">
        <v>24140</v>
      </c>
      <c r="D13" s="1528">
        <v>22270</v>
      </c>
      <c r="E13" s="1528">
        <v>21950</v>
      </c>
      <c r="F13" s="1542">
        <v>7600</v>
      </c>
      <c r="G13" s="1531"/>
      <c r="I13" s="1528" t="s">
        <v>1666</v>
      </c>
      <c r="J13" s="1528" t="s">
        <v>1667</v>
      </c>
      <c r="K13" s="1528" t="s">
        <v>1668</v>
      </c>
      <c r="L13" s="1528" t="s">
        <v>1669</v>
      </c>
      <c r="M13" s="1528" t="s">
        <v>1670</v>
      </c>
      <c r="N13" s="1528" t="s">
        <v>1671</v>
      </c>
      <c r="O13" s="1528" t="s">
        <v>1672</v>
      </c>
      <c r="P13" s="1528" t="s">
        <v>1673</v>
      </c>
      <c r="Q13" s="1528" t="s">
        <v>1674</v>
      </c>
      <c r="R13" s="1528" t="s">
        <v>1675</v>
      </c>
    </row>
    <row r="14" spans="1:19" ht="14.25" customHeight="1" thickBot="1">
      <c r="A14" s="1534" t="s">
        <v>1634</v>
      </c>
      <c r="B14" s="1538" t="s">
        <v>1591</v>
      </c>
      <c r="C14" s="1528">
        <v>25600</v>
      </c>
      <c r="D14" s="1528">
        <v>22260</v>
      </c>
      <c r="E14" s="1528">
        <v>22110</v>
      </c>
      <c r="F14" s="1542">
        <v>7630</v>
      </c>
      <c r="G14" s="1531"/>
      <c r="I14" s="1528" t="s">
        <v>1676</v>
      </c>
      <c r="J14" s="1528" t="s">
        <v>1677</v>
      </c>
      <c r="K14" s="1528" t="s">
        <v>1678</v>
      </c>
      <c r="L14" s="1528" t="s">
        <v>1679</v>
      </c>
      <c r="M14" s="1528" t="s">
        <v>1680</v>
      </c>
      <c r="N14" s="1528" t="s">
        <v>1681</v>
      </c>
      <c r="O14" s="1528" t="s">
        <v>1682</v>
      </c>
      <c r="P14" s="1528" t="s">
        <v>1683</v>
      </c>
      <c r="Q14" s="1528" t="s">
        <v>1684</v>
      </c>
      <c r="R14" s="1528" t="s">
        <v>1685</v>
      </c>
    </row>
    <row r="15" spans="1:19" ht="14.25" customHeight="1" thickBot="1">
      <c r="A15" s="1534" t="s">
        <v>1634</v>
      </c>
      <c r="B15" s="1538" t="s">
        <v>1602</v>
      </c>
      <c r="C15" s="1528">
        <v>24760</v>
      </c>
      <c r="D15" s="1528">
        <v>24440</v>
      </c>
      <c r="E15" s="1528">
        <v>24130</v>
      </c>
      <c r="F15" s="1542">
        <v>9480</v>
      </c>
      <c r="G15" s="1531"/>
      <c r="I15" s="1528" t="s">
        <v>1687</v>
      </c>
      <c r="J15" s="1528" t="s">
        <v>1688</v>
      </c>
      <c r="K15" s="1528" t="s">
        <v>1689</v>
      </c>
      <c r="L15" s="1528" t="s">
        <v>1690</v>
      </c>
      <c r="M15" s="1528" t="s">
        <v>1691</v>
      </c>
      <c r="N15" s="1528" t="s">
        <v>1692</v>
      </c>
      <c r="O15" s="1528" t="s">
        <v>1693</v>
      </c>
      <c r="P15" s="1528" t="s">
        <v>1694</v>
      </c>
      <c r="Q15" s="1528" t="s">
        <v>1695</v>
      </c>
      <c r="R15" s="1528" t="s">
        <v>1696</v>
      </c>
    </row>
    <row r="16" spans="1:19" ht="14.25" customHeight="1" thickBot="1">
      <c r="A16" s="1534" t="s">
        <v>1634</v>
      </c>
      <c r="B16" s="1538" t="s">
        <v>1613</v>
      </c>
      <c r="C16" s="1528">
        <v>22220</v>
      </c>
      <c r="D16" s="1528">
        <v>22310</v>
      </c>
      <c r="E16" s="1528">
        <v>22000</v>
      </c>
      <c r="F16" s="1542">
        <v>8900</v>
      </c>
      <c r="G16" s="1531"/>
      <c r="I16" s="1528" t="s">
        <v>1698</v>
      </c>
      <c r="J16" s="1528" t="s">
        <v>1699</v>
      </c>
      <c r="K16" s="1528" t="s">
        <v>1700</v>
      </c>
      <c r="L16" s="1528" t="s">
        <v>1701</v>
      </c>
      <c r="M16" s="1528" t="s">
        <v>1702</v>
      </c>
      <c r="N16" s="1528" t="s">
        <v>1703</v>
      </c>
      <c r="O16" s="1528" t="s">
        <v>1704</v>
      </c>
      <c r="P16" s="1528" t="s">
        <v>1705</v>
      </c>
      <c r="Q16" s="1528" t="s">
        <v>1706</v>
      </c>
      <c r="R16" s="1528" t="s">
        <v>1707</v>
      </c>
    </row>
    <row r="17" spans="1:18" ht="14.25" customHeight="1" thickBot="1">
      <c r="A17" s="1534" t="s">
        <v>1634</v>
      </c>
      <c r="B17" s="1538" t="s">
        <v>1624</v>
      </c>
      <c r="C17" s="1528">
        <v>24700</v>
      </c>
      <c r="D17" s="1528">
        <v>25150</v>
      </c>
      <c r="E17" s="1528">
        <v>24700</v>
      </c>
      <c r="F17" s="1543"/>
      <c r="G17" s="1531"/>
      <c r="I17" s="1528" t="s">
        <v>1708</v>
      </c>
      <c r="J17" s="1528" t="s">
        <v>1709</v>
      </c>
      <c r="K17" s="1528" t="s">
        <v>1710</v>
      </c>
      <c r="L17" s="1528" t="s">
        <v>1711</v>
      </c>
      <c r="M17" s="1528" t="s">
        <v>1712</v>
      </c>
      <c r="N17" s="1528" t="s">
        <v>1713</v>
      </c>
      <c r="O17" s="1528" t="s">
        <v>1714</v>
      </c>
      <c r="P17" s="1528" t="s">
        <v>1715</v>
      </c>
      <c r="Q17" s="1528" t="s">
        <v>1716</v>
      </c>
      <c r="R17" s="1528" t="s">
        <v>1717</v>
      </c>
    </row>
    <row r="18" spans="1:18" ht="14.25" customHeight="1" thickBot="1">
      <c r="A18" s="1534" t="s">
        <v>1634</v>
      </c>
      <c r="B18" s="1538" t="s">
        <v>1636</v>
      </c>
      <c r="C18" s="1528">
        <v>22350</v>
      </c>
      <c r="D18" s="1528">
        <v>24340</v>
      </c>
      <c r="E18" s="1528">
        <v>24100</v>
      </c>
      <c r="F18" s="1543"/>
      <c r="G18" s="1531"/>
      <c r="I18" s="1528" t="s">
        <v>1718</v>
      </c>
      <c r="J18" s="1528" t="s">
        <v>1719</v>
      </c>
      <c r="K18" s="1528" t="s">
        <v>1720</v>
      </c>
      <c r="L18" s="1528" t="s">
        <v>1721</v>
      </c>
      <c r="M18" s="1528" t="s">
        <v>1722</v>
      </c>
      <c r="N18" s="1528" t="s">
        <v>1723</v>
      </c>
      <c r="O18" s="1528" t="s">
        <v>1724</v>
      </c>
      <c r="P18" s="1528" t="s">
        <v>1725</v>
      </c>
      <c r="Q18" s="1528" t="s">
        <v>1726</v>
      </c>
      <c r="R18" s="1528" t="s">
        <v>1727</v>
      </c>
    </row>
    <row r="19" spans="1:18" ht="14.25" customHeight="1" thickBot="1">
      <c r="A19" s="1534" t="s">
        <v>1634</v>
      </c>
      <c r="B19" s="1538" t="s">
        <v>1646</v>
      </c>
      <c r="C19" s="1528">
        <v>23430</v>
      </c>
      <c r="D19" s="1528">
        <v>21580</v>
      </c>
      <c r="E19" s="1528">
        <v>21350</v>
      </c>
      <c r="F19" s="1543"/>
      <c r="G19" s="1531"/>
      <c r="I19" s="1528" t="s">
        <v>1728</v>
      </c>
      <c r="J19" s="1528" t="s">
        <v>1729</v>
      </c>
      <c r="K19" s="1528" t="s">
        <v>1730</v>
      </c>
      <c r="L19" s="1528" t="s">
        <v>1731</v>
      </c>
      <c r="M19" s="1528" t="s">
        <v>1732</v>
      </c>
      <c r="N19" s="1528" t="s">
        <v>1733</v>
      </c>
      <c r="O19" s="1528" t="s">
        <v>1734</v>
      </c>
      <c r="P19" s="1528" t="s">
        <v>1735</v>
      </c>
      <c r="Q19" s="1528" t="s">
        <v>1736</v>
      </c>
      <c r="R19" s="1528" t="s">
        <v>1737</v>
      </c>
    </row>
    <row r="20" spans="1:18" ht="14.25" customHeight="1" thickBot="1">
      <c r="A20" s="1534" t="s">
        <v>1634</v>
      </c>
      <c r="B20" s="1538" t="s">
        <v>1656</v>
      </c>
      <c r="C20" s="1528">
        <v>27660</v>
      </c>
      <c r="D20" s="1528">
        <v>24240</v>
      </c>
      <c r="E20" s="1528">
        <v>24020</v>
      </c>
      <c r="F20" s="1543"/>
      <c r="I20" s="1528" t="s">
        <v>1738</v>
      </c>
      <c r="J20" s="1528" t="s">
        <v>1739</v>
      </c>
      <c r="K20" s="1528" t="s">
        <v>1740</v>
      </c>
      <c r="L20" s="1528" t="s">
        <v>1741</v>
      </c>
      <c r="M20" s="1528" t="s">
        <v>1742</v>
      </c>
      <c r="N20" s="1528" t="s">
        <v>1743</v>
      </c>
      <c r="O20" s="1528" t="s">
        <v>1744</v>
      </c>
      <c r="P20" s="1528" t="s">
        <v>1745</v>
      </c>
      <c r="Q20" s="1528" t="s">
        <v>1746</v>
      </c>
      <c r="R20" s="1528" t="s">
        <v>1747</v>
      </c>
    </row>
    <row r="21" spans="1:18" ht="14.25" customHeight="1" thickBot="1">
      <c r="A21" s="1534" t="s">
        <v>1634</v>
      </c>
      <c r="B21" s="1538" t="s">
        <v>1666</v>
      </c>
      <c r="C21" s="1528">
        <v>24720</v>
      </c>
      <c r="D21" s="1528">
        <v>21670</v>
      </c>
      <c r="E21" s="1528">
        <v>21510</v>
      </c>
      <c r="F21" s="1543"/>
      <c r="J21" s="1528" t="s">
        <v>1748</v>
      </c>
      <c r="K21" s="1528" t="s">
        <v>1749</v>
      </c>
      <c r="L21" s="1528" t="s">
        <v>1750</v>
      </c>
      <c r="M21" s="1528" t="s">
        <v>1751</v>
      </c>
      <c r="N21" s="1528" t="s">
        <v>1752</v>
      </c>
      <c r="O21" s="1528" t="s">
        <v>1753</v>
      </c>
      <c r="P21" s="1528" t="s">
        <v>1754</v>
      </c>
      <c r="Q21" s="1528" t="s">
        <v>1755</v>
      </c>
      <c r="R21" s="1528" t="s">
        <v>1756</v>
      </c>
    </row>
    <row r="22" spans="1:18" ht="14.25" customHeight="1" thickBot="1">
      <c r="A22" s="1534" t="s">
        <v>1634</v>
      </c>
      <c r="B22" s="1538" t="s">
        <v>1757</v>
      </c>
      <c r="C22" s="1528">
        <v>26530</v>
      </c>
      <c r="D22" s="1528">
        <v>22980</v>
      </c>
      <c r="E22" s="1528">
        <v>22650</v>
      </c>
      <c r="F22" s="1543"/>
      <c r="K22" s="1528" t="s">
        <v>1758</v>
      </c>
      <c r="L22" s="1528" t="s">
        <v>1759</v>
      </c>
      <c r="M22" s="1528" t="s">
        <v>1760</v>
      </c>
      <c r="N22" s="1528" t="s">
        <v>1761</v>
      </c>
      <c r="O22" s="1528" t="s">
        <v>1762</v>
      </c>
      <c r="P22" s="1528" t="s">
        <v>1763</v>
      </c>
      <c r="Q22" s="1528" t="s">
        <v>1764</v>
      </c>
      <c r="R22" s="1538" t="s">
        <v>1765</v>
      </c>
    </row>
    <row r="23" spans="1:18" ht="14.25" customHeight="1" thickBot="1">
      <c r="A23" s="1534" t="s">
        <v>1634</v>
      </c>
      <c r="B23" s="1538" t="s">
        <v>1687</v>
      </c>
      <c r="C23" s="1528">
        <v>24700</v>
      </c>
      <c r="D23" s="1528">
        <v>27290</v>
      </c>
      <c r="E23" s="1528">
        <v>26710</v>
      </c>
      <c r="F23" s="1543"/>
      <c r="K23" s="1528" t="s">
        <v>1766</v>
      </c>
      <c r="L23" s="1528" t="s">
        <v>1767</v>
      </c>
      <c r="M23" s="1528" t="s">
        <v>1768</v>
      </c>
      <c r="N23" s="1528" t="s">
        <v>1769</v>
      </c>
      <c r="O23" s="1528" t="s">
        <v>1770</v>
      </c>
      <c r="P23" s="1528" t="s">
        <v>1771</v>
      </c>
      <c r="Q23" s="1528" t="s">
        <v>1772</v>
      </c>
    </row>
    <row r="24" spans="1:18" ht="14.25" customHeight="1" thickBot="1">
      <c r="A24" s="1534" t="s">
        <v>1634</v>
      </c>
      <c r="B24" s="1538" t="s">
        <v>1698</v>
      </c>
      <c r="C24" s="1528">
        <v>23070</v>
      </c>
      <c r="D24" s="1528">
        <v>24130</v>
      </c>
      <c r="E24" s="1528">
        <v>23860</v>
      </c>
      <c r="F24" s="1543"/>
      <c r="K24" s="1528" t="s">
        <v>1773</v>
      </c>
      <c r="L24" s="1528" t="s">
        <v>1774</v>
      </c>
      <c r="M24" s="1528" t="s">
        <v>1775</v>
      </c>
      <c r="N24" s="1528" t="s">
        <v>1776</v>
      </c>
      <c r="O24" s="1528" t="s">
        <v>1777</v>
      </c>
      <c r="P24" s="1528" t="s">
        <v>1778</v>
      </c>
      <c r="Q24" s="1528" t="s">
        <v>1779</v>
      </c>
    </row>
    <row r="25" spans="1:18" ht="14.25" customHeight="1" thickBot="1">
      <c r="A25" s="1534" t="s">
        <v>1634</v>
      </c>
      <c r="B25" s="1538" t="s">
        <v>1708</v>
      </c>
      <c r="C25" s="1528">
        <v>27550</v>
      </c>
      <c r="D25" s="1528">
        <v>25850</v>
      </c>
      <c r="E25" s="1528">
        <v>25340</v>
      </c>
      <c r="F25" s="1543"/>
      <c r="K25" s="1528" t="s">
        <v>1780</v>
      </c>
      <c r="L25" s="1528" t="s">
        <v>1781</v>
      </c>
      <c r="M25" s="1528" t="s">
        <v>1782</v>
      </c>
      <c r="N25" s="1528" t="s">
        <v>1783</v>
      </c>
      <c r="O25" s="1528" t="s">
        <v>1784</v>
      </c>
      <c r="P25" s="1528" t="s">
        <v>1785</v>
      </c>
      <c r="Q25" s="1528" t="s">
        <v>1786</v>
      </c>
    </row>
    <row r="26" spans="1:18" ht="14.25" customHeight="1" thickBot="1">
      <c r="A26" s="1534" t="s">
        <v>1634</v>
      </c>
      <c r="B26" s="1538" t="s">
        <v>1718</v>
      </c>
      <c r="C26" s="1528"/>
      <c r="D26" s="1528">
        <v>23900</v>
      </c>
      <c r="E26" s="1528">
        <v>23590</v>
      </c>
      <c r="F26" s="1543"/>
      <c r="K26" s="1528" t="s">
        <v>1787</v>
      </c>
      <c r="L26" s="1528" t="s">
        <v>1788</v>
      </c>
      <c r="M26" s="1528" t="s">
        <v>1789</v>
      </c>
      <c r="N26" s="1528" t="s">
        <v>1790</v>
      </c>
      <c r="O26" s="1528" t="s">
        <v>1791</v>
      </c>
      <c r="P26" s="1528" t="s">
        <v>1792</v>
      </c>
      <c r="Q26" s="1528" t="s">
        <v>1793</v>
      </c>
    </row>
    <row r="27" spans="1:18" ht="14.25" customHeight="1" thickBot="1">
      <c r="A27" s="1534" t="s">
        <v>1634</v>
      </c>
      <c r="B27" s="1538" t="s">
        <v>1728</v>
      </c>
      <c r="C27" s="1528"/>
      <c r="D27" s="1528">
        <v>22850</v>
      </c>
      <c r="E27" s="1528">
        <v>21920</v>
      </c>
      <c r="F27" s="1543"/>
      <c r="K27" s="1528" t="s">
        <v>1794</v>
      </c>
      <c r="L27" s="1528" t="s">
        <v>1795</v>
      </c>
      <c r="M27" s="1528" t="s">
        <v>1796</v>
      </c>
      <c r="N27" s="1528" t="s">
        <v>1797</v>
      </c>
      <c r="O27" s="1528" t="s">
        <v>1798</v>
      </c>
      <c r="P27" s="1528" t="s">
        <v>1799</v>
      </c>
      <c r="Q27" s="1528" t="s">
        <v>1800</v>
      </c>
    </row>
    <row r="28" spans="1:18" ht="14.25" customHeight="1" thickBot="1">
      <c r="A28" s="1544" t="s">
        <v>1634</v>
      </c>
      <c r="B28" s="1539" t="s">
        <v>1738</v>
      </c>
      <c r="C28" s="1540"/>
      <c r="D28" s="1540">
        <v>26610</v>
      </c>
      <c r="E28" s="1540">
        <v>26370</v>
      </c>
      <c r="F28" s="1541"/>
      <c r="K28" s="1528" t="s">
        <v>1801</v>
      </c>
      <c r="L28" s="1528" t="s">
        <v>1802</v>
      </c>
      <c r="M28" s="1528" t="s">
        <v>1803</v>
      </c>
      <c r="N28" s="1528" t="s">
        <v>1804</v>
      </c>
      <c r="O28" s="1528" t="s">
        <v>1805</v>
      </c>
      <c r="P28" s="1528" t="s">
        <v>1806</v>
      </c>
    </row>
    <row r="29" spans="1:18" ht="14.25" customHeight="1" thickBot="1">
      <c r="A29" s="1534" t="s">
        <v>1807</v>
      </c>
      <c r="B29" s="1535" t="s">
        <v>1808</v>
      </c>
      <c r="C29" s="1535">
        <v>22090</v>
      </c>
      <c r="D29" s="1535">
        <v>21860</v>
      </c>
      <c r="E29" s="1535">
        <v>19380</v>
      </c>
      <c r="F29" s="1536">
        <v>6610</v>
      </c>
      <c r="L29" s="1528" t="s">
        <v>1809</v>
      </c>
      <c r="M29" s="1528" t="s">
        <v>1810</v>
      </c>
      <c r="N29" s="1528" t="s">
        <v>1811</v>
      </c>
      <c r="O29" s="1528" t="s">
        <v>1812</v>
      </c>
      <c r="P29" s="1528" t="s">
        <v>1813</v>
      </c>
    </row>
    <row r="30" spans="1:18" ht="14.25" customHeight="1" thickBot="1">
      <c r="A30" s="1534" t="s">
        <v>1807</v>
      </c>
      <c r="B30" s="1538" t="s">
        <v>1554</v>
      </c>
      <c r="C30" s="1528">
        <v>21380</v>
      </c>
      <c r="D30" s="1528">
        <v>19930</v>
      </c>
      <c r="E30" s="1528">
        <v>19860</v>
      </c>
      <c r="F30" s="1542">
        <v>6010</v>
      </c>
      <c r="L30" s="1528" t="s">
        <v>1814</v>
      </c>
      <c r="M30" s="1528" t="s">
        <v>1815</v>
      </c>
      <c r="N30" s="1528" t="s">
        <v>1816</v>
      </c>
      <c r="O30" s="1528" t="s">
        <v>2891</v>
      </c>
      <c r="P30" s="1528" t="s">
        <v>1817</v>
      </c>
    </row>
    <row r="31" spans="1:18" ht="14.25" customHeight="1" thickBot="1">
      <c r="A31" s="1534" t="s">
        <v>1807</v>
      </c>
      <c r="B31" s="1538" t="s">
        <v>1567</v>
      </c>
      <c r="C31" s="1528">
        <v>21670</v>
      </c>
      <c r="D31" s="1528">
        <v>20660</v>
      </c>
      <c r="E31" s="1528">
        <v>20290</v>
      </c>
      <c r="F31" s="1542">
        <v>5840</v>
      </c>
      <c r="L31" s="1528" t="s">
        <v>1818</v>
      </c>
      <c r="M31" s="1528" t="s">
        <v>1819</v>
      </c>
      <c r="N31" s="1528" t="s">
        <v>1820</v>
      </c>
      <c r="O31" s="1528" t="s">
        <v>1821</v>
      </c>
      <c r="P31" s="1528" t="s">
        <v>1822</v>
      </c>
    </row>
    <row r="32" spans="1:18" ht="14.25" customHeight="1" thickBot="1">
      <c r="A32" s="1534" t="s">
        <v>1807</v>
      </c>
      <c r="B32" s="1538" t="s">
        <v>1580</v>
      </c>
      <c r="C32" s="1528">
        <v>22280</v>
      </c>
      <c r="D32" s="1528">
        <v>21800</v>
      </c>
      <c r="E32" s="1528">
        <v>17650</v>
      </c>
      <c r="F32" s="1542">
        <v>4690</v>
      </c>
      <c r="L32" s="1528" t="s">
        <v>1823</v>
      </c>
      <c r="M32" s="1528" t="s">
        <v>1824</v>
      </c>
      <c r="N32" s="1528" t="s">
        <v>1825</v>
      </c>
      <c r="O32" s="1528" t="s">
        <v>1826</v>
      </c>
      <c r="P32" s="1528" t="s">
        <v>1827</v>
      </c>
    </row>
    <row r="33" spans="1:16" ht="14.25" customHeight="1" thickBot="1">
      <c r="A33" s="1534" t="s">
        <v>1807</v>
      </c>
      <c r="B33" s="1538" t="s">
        <v>1592</v>
      </c>
      <c r="C33" s="1528">
        <v>22130</v>
      </c>
      <c r="D33" s="1528">
        <v>20460</v>
      </c>
      <c r="E33" s="1528">
        <v>18500</v>
      </c>
      <c r="F33" s="1542">
        <v>5340</v>
      </c>
      <c r="L33" s="1528" t="s">
        <v>1828</v>
      </c>
      <c r="M33" s="1528" t="s">
        <v>1829</v>
      </c>
      <c r="N33" s="1528" t="s">
        <v>1830</v>
      </c>
      <c r="O33" s="1528" t="s">
        <v>1831</v>
      </c>
      <c r="P33" s="1528" t="s">
        <v>1832</v>
      </c>
    </row>
    <row r="34" spans="1:16" ht="14.25" customHeight="1" thickBot="1">
      <c r="A34" s="1534" t="s">
        <v>1807</v>
      </c>
      <c r="B34" s="1538" t="s">
        <v>1603</v>
      </c>
      <c r="C34" s="1528">
        <v>22070</v>
      </c>
      <c r="D34" s="1528">
        <v>20110</v>
      </c>
      <c r="E34" s="1528">
        <v>18830</v>
      </c>
      <c r="F34" s="1542">
        <v>5190</v>
      </c>
      <c r="L34" s="1528" t="s">
        <v>1833</v>
      </c>
      <c r="M34" s="1528" t="s">
        <v>1834</v>
      </c>
      <c r="N34" s="1528" t="s">
        <v>1835</v>
      </c>
      <c r="O34" s="1528" t="s">
        <v>1836</v>
      </c>
      <c r="P34" s="1528" t="s">
        <v>1837</v>
      </c>
    </row>
    <row r="35" spans="1:16" ht="14.25" customHeight="1" thickBot="1">
      <c r="A35" s="1534" t="s">
        <v>1807</v>
      </c>
      <c r="B35" s="1538" t="s">
        <v>1614</v>
      </c>
      <c r="C35" s="1528">
        <v>22240</v>
      </c>
      <c r="D35" s="1528">
        <v>19550</v>
      </c>
      <c r="E35" s="1528">
        <v>19220</v>
      </c>
      <c r="F35" s="1542">
        <v>5800</v>
      </c>
      <c r="L35" s="1528" t="s">
        <v>1838</v>
      </c>
      <c r="M35" s="1528" t="s">
        <v>1839</v>
      </c>
      <c r="N35" s="1528" t="s">
        <v>1840</v>
      </c>
      <c r="O35" s="1528" t="s">
        <v>1841</v>
      </c>
      <c r="P35" s="1528" t="s">
        <v>1842</v>
      </c>
    </row>
    <row r="36" spans="1:16" ht="14.25" customHeight="1" thickBot="1">
      <c r="A36" s="1534" t="s">
        <v>1807</v>
      </c>
      <c r="B36" s="1538" t="s">
        <v>1625</v>
      </c>
      <c r="C36" s="1528">
        <v>19750</v>
      </c>
      <c r="D36" s="1528">
        <v>19790</v>
      </c>
      <c r="E36" s="1528">
        <v>18510</v>
      </c>
      <c r="F36" s="1542">
        <v>6520</v>
      </c>
      <c r="M36" s="1528" t="s">
        <v>1843</v>
      </c>
      <c r="N36" s="1528" t="s">
        <v>1844</v>
      </c>
      <c r="O36" s="1528" t="s">
        <v>1845</v>
      </c>
      <c r="P36" s="1528" t="s">
        <v>1846</v>
      </c>
    </row>
    <row r="37" spans="1:16" ht="14.25" customHeight="1" thickBot="1">
      <c r="A37" s="1534" t="s">
        <v>1807</v>
      </c>
      <c r="B37" s="1538" t="s">
        <v>1637</v>
      </c>
      <c r="C37" s="1528">
        <v>22380</v>
      </c>
      <c r="D37" s="1528">
        <v>18530</v>
      </c>
      <c r="E37" s="1528">
        <v>17930</v>
      </c>
      <c r="F37" s="1542">
        <v>6270</v>
      </c>
      <c r="M37" s="1528" t="s">
        <v>1847</v>
      </c>
      <c r="N37" s="1528" t="s">
        <v>1848</v>
      </c>
      <c r="O37" s="1528" t="s">
        <v>1849</v>
      </c>
      <c r="P37" s="1528" t="s">
        <v>1850</v>
      </c>
    </row>
    <row r="38" spans="1:16" ht="14.25" customHeight="1" thickBot="1">
      <c r="A38" s="1534" t="s">
        <v>1807</v>
      </c>
      <c r="B38" s="1538" t="s">
        <v>1647</v>
      </c>
      <c r="C38" s="1528">
        <v>20200</v>
      </c>
      <c r="D38" s="1528">
        <v>20070</v>
      </c>
      <c r="E38" s="1528">
        <v>19950</v>
      </c>
      <c r="F38" s="1542"/>
      <c r="M38" s="1528" t="s">
        <v>1851</v>
      </c>
      <c r="N38" s="1528" t="s">
        <v>1852</v>
      </c>
      <c r="O38" s="1528" t="s">
        <v>1853</v>
      </c>
      <c r="P38" s="1528" t="s">
        <v>1854</v>
      </c>
    </row>
    <row r="39" spans="1:16" ht="14.25" customHeight="1" thickBot="1">
      <c r="A39" s="1534" t="s">
        <v>1807</v>
      </c>
      <c r="B39" s="1538" t="s">
        <v>1657</v>
      </c>
      <c r="C39" s="1528">
        <v>19300</v>
      </c>
      <c r="D39" s="1528">
        <v>20360</v>
      </c>
      <c r="E39" s="1528">
        <v>20230</v>
      </c>
      <c r="F39" s="1542"/>
      <c r="M39" s="1528" t="s">
        <v>1855</v>
      </c>
      <c r="N39" s="1528" t="s">
        <v>1856</v>
      </c>
      <c r="O39" s="1528" t="s">
        <v>1857</v>
      </c>
      <c r="P39" s="1528" t="s">
        <v>1858</v>
      </c>
    </row>
    <row r="40" spans="1:16" ht="14.25" customHeight="1" thickBot="1">
      <c r="A40" s="1534" t="s">
        <v>1807</v>
      </c>
      <c r="B40" s="1538" t="s">
        <v>1667</v>
      </c>
      <c r="C40" s="1528">
        <v>20210</v>
      </c>
      <c r="D40" s="1528">
        <v>19060</v>
      </c>
      <c r="E40" s="1528">
        <v>18890</v>
      </c>
      <c r="F40" s="1542"/>
      <c r="M40" s="1528" t="s">
        <v>1859</v>
      </c>
      <c r="N40" s="1528" t="s">
        <v>1860</v>
      </c>
      <c r="O40" s="1528" t="s">
        <v>1861</v>
      </c>
      <c r="P40" s="1528" t="s">
        <v>1862</v>
      </c>
    </row>
    <row r="41" spans="1:16" ht="14.25" customHeight="1" thickBot="1">
      <c r="A41" s="1534" t="s">
        <v>1807</v>
      </c>
      <c r="B41" s="1538" t="s">
        <v>1677</v>
      </c>
      <c r="C41" s="1528">
        <v>20560</v>
      </c>
      <c r="D41" s="1528">
        <v>21040</v>
      </c>
      <c r="E41" s="1528">
        <v>20740</v>
      </c>
      <c r="F41" s="1542"/>
      <c r="M41" s="1538" t="s">
        <v>1863</v>
      </c>
      <c r="N41" s="1538" t="s">
        <v>1864</v>
      </c>
      <c r="P41" s="1538" t="s">
        <v>1865</v>
      </c>
    </row>
    <row r="42" spans="1:16" ht="14.25" customHeight="1" thickBot="1">
      <c r="A42" s="1534" t="s">
        <v>1807</v>
      </c>
      <c r="B42" s="1538" t="s">
        <v>1688</v>
      </c>
      <c r="C42" s="1528">
        <v>19280</v>
      </c>
      <c r="D42" s="1528">
        <v>22940</v>
      </c>
      <c r="E42" s="1528">
        <v>22500</v>
      </c>
      <c r="F42" s="1542"/>
      <c r="M42" s="1528" t="s">
        <v>1866</v>
      </c>
      <c r="N42" s="1528" t="s">
        <v>1867</v>
      </c>
      <c r="P42" s="1528" t="s">
        <v>1868</v>
      </c>
    </row>
    <row r="43" spans="1:16" ht="14.25" customHeight="1" thickBot="1">
      <c r="A43" s="1534" t="s">
        <v>1807</v>
      </c>
      <c r="B43" s="1538" t="s">
        <v>1699</v>
      </c>
      <c r="C43" s="1528">
        <v>21520</v>
      </c>
      <c r="D43" s="1528">
        <v>19230</v>
      </c>
      <c r="E43" s="1528">
        <v>18540</v>
      </c>
      <c r="F43" s="1542"/>
      <c r="M43" s="1528" t="s">
        <v>1869</v>
      </c>
      <c r="N43" s="1528" t="s">
        <v>1870</v>
      </c>
      <c r="P43" s="1528" t="s">
        <v>1871</v>
      </c>
    </row>
    <row r="44" spans="1:16" ht="14.25" customHeight="1" thickBot="1">
      <c r="A44" s="1534" t="s">
        <v>1807</v>
      </c>
      <c r="B44" s="1538" t="s">
        <v>1709</v>
      </c>
      <c r="C44" s="1528">
        <v>23260</v>
      </c>
      <c r="D44" s="1528">
        <v>21180</v>
      </c>
      <c r="E44" s="1528">
        <v>20730</v>
      </c>
      <c r="F44" s="1542"/>
      <c r="M44" s="1528" t="s">
        <v>1872</v>
      </c>
      <c r="N44" s="1528" t="s">
        <v>1873</v>
      </c>
      <c r="P44" s="1528" t="s">
        <v>1874</v>
      </c>
    </row>
    <row r="45" spans="1:16" ht="14.25" customHeight="1" thickBot="1">
      <c r="A45" s="1534" t="s">
        <v>1807</v>
      </c>
      <c r="B45" s="1538" t="s">
        <v>1719</v>
      </c>
      <c r="C45" s="1528">
        <v>19610</v>
      </c>
      <c r="D45" s="1528">
        <v>18090</v>
      </c>
      <c r="E45" s="1528">
        <v>17970</v>
      </c>
      <c r="F45" s="1542"/>
      <c r="M45" s="1528" t="s">
        <v>1875</v>
      </c>
      <c r="N45" s="1528" t="s">
        <v>1876</v>
      </c>
      <c r="P45" s="1528" t="s">
        <v>1877</v>
      </c>
    </row>
    <row r="46" spans="1:16" ht="14.25" customHeight="1" thickBot="1">
      <c r="A46" s="1534" t="s">
        <v>1807</v>
      </c>
      <c r="B46" s="1538" t="s">
        <v>1729</v>
      </c>
      <c r="C46" s="1528">
        <v>21660</v>
      </c>
      <c r="D46" s="1528">
        <v>19190</v>
      </c>
      <c r="E46" s="1528">
        <v>19790</v>
      </c>
      <c r="F46" s="1542"/>
      <c r="M46" s="1528" t="s">
        <v>1878</v>
      </c>
      <c r="N46" s="1528" t="s">
        <v>1879</v>
      </c>
      <c r="P46" s="1528" t="s">
        <v>1880</v>
      </c>
    </row>
    <row r="47" spans="1:16" ht="14.25" customHeight="1" thickBot="1">
      <c r="A47" s="1534" t="s">
        <v>1807</v>
      </c>
      <c r="B47" s="1538" t="s">
        <v>1739</v>
      </c>
      <c r="C47" s="1528">
        <v>18220</v>
      </c>
      <c r="D47" s="1528"/>
      <c r="E47" s="1528">
        <v>17220</v>
      </c>
      <c r="F47" s="1542"/>
      <c r="M47" s="1528" t="s">
        <v>1881</v>
      </c>
      <c r="N47" s="1528" t="s">
        <v>1882</v>
      </c>
    </row>
    <row r="48" spans="1:16" ht="14.25" customHeight="1" thickBot="1">
      <c r="A48" s="1534" t="s">
        <v>1807</v>
      </c>
      <c r="B48" s="1539" t="s">
        <v>1748</v>
      </c>
      <c r="C48" s="1540">
        <v>19430</v>
      </c>
      <c r="D48" s="1540"/>
      <c r="E48" s="1540">
        <v>17830</v>
      </c>
      <c r="F48" s="1545"/>
      <c r="M48" s="1528" t="s">
        <v>1883</v>
      </c>
      <c r="N48" s="1528" t="s">
        <v>1884</v>
      </c>
    </row>
    <row r="49" spans="1:14" ht="14.25" customHeight="1" thickBot="1">
      <c r="A49" s="1534" t="s">
        <v>1487</v>
      </c>
      <c r="B49" s="1535" t="s">
        <v>1885</v>
      </c>
      <c r="C49" s="1535">
        <v>17090</v>
      </c>
      <c r="D49" s="1535">
        <v>16950</v>
      </c>
      <c r="E49" s="1535">
        <v>16310</v>
      </c>
      <c r="F49" s="1536">
        <v>4540</v>
      </c>
      <c r="M49" s="1528" t="s">
        <v>1886</v>
      </c>
      <c r="N49" s="1528" t="s">
        <v>1887</v>
      </c>
    </row>
    <row r="50" spans="1:14" ht="14.25" customHeight="1" thickBot="1">
      <c r="A50" s="1534" t="s">
        <v>1487</v>
      </c>
      <c r="B50" s="1528" t="s">
        <v>1555</v>
      </c>
      <c r="C50" s="1528">
        <v>19040</v>
      </c>
      <c r="D50" s="1528">
        <v>16960</v>
      </c>
      <c r="E50" s="1528">
        <v>14800</v>
      </c>
      <c r="F50" s="1542">
        <v>3940</v>
      </c>
    </row>
    <row r="51" spans="1:14" ht="14.25" customHeight="1" thickBot="1">
      <c r="A51" s="1534" t="s">
        <v>1487</v>
      </c>
      <c r="B51" s="1528" t="s">
        <v>1568</v>
      </c>
      <c r="C51" s="1528">
        <v>17040</v>
      </c>
      <c r="D51" s="1528">
        <v>16930</v>
      </c>
      <c r="E51" s="1528">
        <v>15030</v>
      </c>
      <c r="F51" s="1542">
        <v>4120</v>
      </c>
    </row>
    <row r="52" spans="1:14" ht="14.25" customHeight="1" thickBot="1">
      <c r="A52" s="1534" t="s">
        <v>1487</v>
      </c>
      <c r="B52" s="1528" t="s">
        <v>1581</v>
      </c>
      <c r="C52" s="1528">
        <v>17110</v>
      </c>
      <c r="D52" s="1528">
        <v>17750</v>
      </c>
      <c r="E52" s="1528">
        <v>17310</v>
      </c>
      <c r="F52" s="1542">
        <v>3220</v>
      </c>
    </row>
    <row r="53" spans="1:14" ht="14.25" customHeight="1" thickBot="1">
      <c r="A53" s="1534" t="s">
        <v>1487</v>
      </c>
      <c r="B53" s="1528" t="s">
        <v>1593</v>
      </c>
      <c r="C53" s="1528">
        <v>17810</v>
      </c>
      <c r="D53" s="1528">
        <v>17260</v>
      </c>
      <c r="E53" s="1528">
        <v>17090</v>
      </c>
      <c r="F53" s="1542">
        <v>3520</v>
      </c>
    </row>
    <row r="54" spans="1:14" ht="14.25" customHeight="1" thickBot="1">
      <c r="A54" s="1534" t="s">
        <v>1487</v>
      </c>
      <c r="B54" s="1528" t="s">
        <v>1604</v>
      </c>
      <c r="C54" s="1528">
        <v>17410</v>
      </c>
      <c r="D54" s="1528">
        <v>16780</v>
      </c>
      <c r="E54" s="1528">
        <v>16370</v>
      </c>
      <c r="F54" s="1542">
        <v>3410</v>
      </c>
    </row>
    <row r="55" spans="1:14" ht="14.25" customHeight="1" thickBot="1">
      <c r="A55" s="1534" t="s">
        <v>1487</v>
      </c>
      <c r="B55" s="1528" t="s">
        <v>1615</v>
      </c>
      <c r="C55" s="1528">
        <v>16930</v>
      </c>
      <c r="D55" s="1528">
        <v>14720</v>
      </c>
      <c r="E55" s="1528">
        <v>15000</v>
      </c>
      <c r="F55" s="1542">
        <v>3710</v>
      </c>
    </row>
    <row r="56" spans="1:14" ht="14.25" customHeight="1" thickBot="1">
      <c r="A56" s="1534" t="s">
        <v>1487</v>
      </c>
      <c r="B56" s="1528" t="s">
        <v>1626</v>
      </c>
      <c r="C56" s="1528">
        <v>14930</v>
      </c>
      <c r="D56" s="1528">
        <v>15850</v>
      </c>
      <c r="E56" s="1528">
        <v>14320</v>
      </c>
      <c r="F56" s="1542">
        <v>3960</v>
      </c>
    </row>
    <row r="57" spans="1:14" ht="14.25" customHeight="1" thickBot="1">
      <c r="A57" s="1534" t="s">
        <v>1487</v>
      </c>
      <c r="B57" s="1528" t="s">
        <v>1638</v>
      </c>
      <c r="C57" s="1528">
        <v>16160</v>
      </c>
      <c r="D57" s="1528">
        <v>16190</v>
      </c>
      <c r="E57" s="1528">
        <v>15650</v>
      </c>
      <c r="F57" s="1542">
        <v>4200</v>
      </c>
    </row>
    <row r="58" spans="1:14" ht="14.25" customHeight="1" thickBot="1">
      <c r="A58" s="1534" t="s">
        <v>1487</v>
      </c>
      <c r="B58" s="1528" t="s">
        <v>1648</v>
      </c>
      <c r="C58" s="1528">
        <v>16360</v>
      </c>
      <c r="D58" s="1528">
        <v>14050</v>
      </c>
      <c r="E58" s="1528">
        <v>16070</v>
      </c>
      <c r="F58" s="1542">
        <v>3990</v>
      </c>
    </row>
    <row r="59" spans="1:14" ht="14.25" customHeight="1" thickBot="1">
      <c r="A59" s="1534" t="s">
        <v>1487</v>
      </c>
      <c r="B59" s="1528" t="s">
        <v>1658</v>
      </c>
      <c r="C59" s="1528">
        <v>14160</v>
      </c>
      <c r="D59" s="1528">
        <v>16620</v>
      </c>
      <c r="E59" s="1528">
        <v>13940</v>
      </c>
      <c r="F59" s="1542">
        <v>4260</v>
      </c>
    </row>
    <row r="60" spans="1:14" ht="14.25" customHeight="1" thickBot="1">
      <c r="A60" s="1534" t="s">
        <v>1487</v>
      </c>
      <c r="B60" s="1528" t="s">
        <v>1668</v>
      </c>
      <c r="C60" s="1528">
        <v>16750</v>
      </c>
      <c r="D60" s="1528">
        <v>13910</v>
      </c>
      <c r="E60" s="1528">
        <v>16550</v>
      </c>
      <c r="F60" s="1542">
        <v>4550</v>
      </c>
    </row>
    <row r="61" spans="1:14" ht="14.25" customHeight="1" thickBot="1">
      <c r="A61" s="1534" t="s">
        <v>1487</v>
      </c>
      <c r="B61" s="1528" t="s">
        <v>1678</v>
      </c>
      <c r="C61" s="1528">
        <v>14000</v>
      </c>
      <c r="D61" s="1528">
        <v>14550</v>
      </c>
      <c r="E61" s="1528">
        <v>13860</v>
      </c>
      <c r="F61" s="1546"/>
    </row>
    <row r="62" spans="1:14" ht="14.25" customHeight="1" thickBot="1">
      <c r="A62" s="1534" t="s">
        <v>1487</v>
      </c>
      <c r="B62" s="1528" t="s">
        <v>1689</v>
      </c>
      <c r="C62" s="1528">
        <v>14660</v>
      </c>
      <c r="D62" s="1528">
        <v>17450</v>
      </c>
      <c r="E62" s="1528">
        <v>14470</v>
      </c>
      <c r="F62" s="1546"/>
    </row>
    <row r="63" spans="1:14" ht="14.25" customHeight="1" thickBot="1">
      <c r="A63" s="1534" t="s">
        <v>1487</v>
      </c>
      <c r="B63" s="1528" t="s">
        <v>1700</v>
      </c>
      <c r="C63" s="1528">
        <v>17610</v>
      </c>
      <c r="D63" s="1528">
        <v>16500</v>
      </c>
      <c r="E63" s="1528">
        <v>17330</v>
      </c>
      <c r="F63" s="1546"/>
    </row>
    <row r="64" spans="1:14" ht="14.25" customHeight="1" thickBot="1">
      <c r="A64" s="1534" t="s">
        <v>1487</v>
      </c>
      <c r="B64" s="1528" t="s">
        <v>1710</v>
      </c>
      <c r="C64" s="1528">
        <v>16590</v>
      </c>
      <c r="D64" s="1528">
        <v>15130</v>
      </c>
      <c r="E64" s="1528">
        <v>16420</v>
      </c>
      <c r="F64" s="1546"/>
    </row>
    <row r="65" spans="1:6" s="1522" customFormat="1" ht="14.25" customHeight="1" thickBot="1">
      <c r="A65" s="1534" t="s">
        <v>1487</v>
      </c>
      <c r="B65" s="1528" t="s">
        <v>1720</v>
      </c>
      <c r="C65" s="1528">
        <v>15220</v>
      </c>
      <c r="D65" s="1528">
        <v>14660</v>
      </c>
      <c r="E65" s="1528">
        <v>15060</v>
      </c>
      <c r="F65" s="1542"/>
    </row>
    <row r="66" spans="1:6" s="1522" customFormat="1" ht="14.25" customHeight="1" thickBot="1">
      <c r="A66" s="1534" t="s">
        <v>1487</v>
      </c>
      <c r="B66" s="1528" t="s">
        <v>1730</v>
      </c>
      <c r="C66" s="1528">
        <v>14720</v>
      </c>
      <c r="D66" s="1528">
        <v>15970</v>
      </c>
      <c r="E66" s="1528">
        <v>14610</v>
      </c>
      <c r="F66" s="1542"/>
    </row>
    <row r="67" spans="1:6" s="1522" customFormat="1" ht="14.25" customHeight="1" thickBot="1">
      <c r="A67" s="1534" t="s">
        <v>1487</v>
      </c>
      <c r="B67" s="1528" t="s">
        <v>1740</v>
      </c>
      <c r="C67" s="1528">
        <v>16080</v>
      </c>
      <c r="D67" s="1528">
        <v>14840</v>
      </c>
      <c r="E67" s="1528">
        <v>15630</v>
      </c>
      <c r="F67" s="1542"/>
    </row>
    <row r="68" spans="1:6" s="1522" customFormat="1" ht="14.25" customHeight="1" thickBot="1">
      <c r="A68" s="1534" t="s">
        <v>1487</v>
      </c>
      <c r="B68" s="1528" t="s">
        <v>1749</v>
      </c>
      <c r="C68" s="1528">
        <v>14940</v>
      </c>
      <c r="D68" s="1528">
        <v>18000</v>
      </c>
      <c r="E68" s="1528">
        <v>14040</v>
      </c>
      <c r="F68" s="1542"/>
    </row>
    <row r="69" spans="1:6" s="1522" customFormat="1" ht="14.25" customHeight="1" thickBot="1">
      <c r="A69" s="1534" t="s">
        <v>1487</v>
      </c>
      <c r="B69" s="1528" t="s">
        <v>1758</v>
      </c>
      <c r="C69" s="1528">
        <v>18810</v>
      </c>
      <c r="D69" s="1528">
        <v>15100</v>
      </c>
      <c r="E69" s="1528">
        <v>14710</v>
      </c>
      <c r="F69" s="1542"/>
    </row>
    <row r="70" spans="1:6" s="1522" customFormat="1" ht="14.25" customHeight="1" thickBot="1">
      <c r="A70" s="1534" t="s">
        <v>1487</v>
      </c>
      <c r="B70" s="1528" t="s">
        <v>1766</v>
      </c>
      <c r="C70" s="1528">
        <v>18270</v>
      </c>
      <c r="D70" s="1528"/>
      <c r="E70" s="1528"/>
      <c r="F70" s="1542"/>
    </row>
    <row r="71" spans="1:6" s="1522" customFormat="1" ht="14.25" customHeight="1" thickBot="1">
      <c r="A71" s="1534" t="s">
        <v>1487</v>
      </c>
      <c r="B71" s="1528" t="s">
        <v>1773</v>
      </c>
      <c r="C71" s="1528">
        <v>15230</v>
      </c>
      <c r="D71" s="1528"/>
      <c r="E71" s="1528"/>
      <c r="F71" s="1542"/>
    </row>
    <row r="72" spans="1:6" s="1522" customFormat="1" ht="14.25" customHeight="1" thickBot="1">
      <c r="A72" s="1534" t="s">
        <v>1487</v>
      </c>
      <c r="B72" s="1528" t="s">
        <v>1780</v>
      </c>
      <c r="C72" s="1528"/>
      <c r="D72" s="1528"/>
      <c r="E72" s="1528"/>
      <c r="F72" s="1542">
        <v>4120</v>
      </c>
    </row>
    <row r="73" spans="1:6" s="1522" customFormat="1" ht="14.25" customHeight="1" thickBot="1">
      <c r="A73" s="1534" t="s">
        <v>1487</v>
      </c>
      <c r="B73" s="1528" t="s">
        <v>1787</v>
      </c>
      <c r="C73" s="1528"/>
      <c r="D73" s="1528"/>
      <c r="E73" s="1528"/>
      <c r="F73" s="1542">
        <v>3930</v>
      </c>
    </row>
    <row r="74" spans="1:6" s="1522" customFormat="1" ht="14.25" customHeight="1" thickBot="1">
      <c r="A74" s="1534" t="s">
        <v>1487</v>
      </c>
      <c r="B74" s="1528" t="s">
        <v>1794</v>
      </c>
      <c r="C74" s="1528"/>
      <c r="D74" s="1528"/>
      <c r="E74" s="1528"/>
      <c r="F74" s="1542">
        <v>4060</v>
      </c>
    </row>
    <row r="75" spans="1:6" s="1522" customFormat="1" ht="14.25" customHeight="1" thickBot="1">
      <c r="A75" s="1534" t="s">
        <v>1487</v>
      </c>
      <c r="B75" s="1540" t="s">
        <v>1801</v>
      </c>
      <c r="C75" s="1540"/>
      <c r="D75" s="1540"/>
      <c r="E75" s="1540"/>
      <c r="F75" s="1545">
        <v>3750</v>
      </c>
    </row>
    <row r="76" spans="1:6" s="1522" customFormat="1" ht="14.25" customHeight="1" thickBot="1">
      <c r="A76" s="1534" t="s">
        <v>1888</v>
      </c>
      <c r="B76" s="1535" t="s">
        <v>1889</v>
      </c>
      <c r="C76" s="1535">
        <v>14690</v>
      </c>
      <c r="D76" s="1535">
        <v>14640</v>
      </c>
      <c r="E76" s="1535">
        <v>14590</v>
      </c>
      <c r="F76" s="1536">
        <v>3060</v>
      </c>
    </row>
    <row r="77" spans="1:6" s="1522" customFormat="1" ht="14.25" customHeight="1" thickBot="1">
      <c r="A77" s="1534" t="s">
        <v>1888</v>
      </c>
      <c r="B77" s="1528" t="s">
        <v>1556</v>
      </c>
      <c r="C77" s="1528">
        <v>12550</v>
      </c>
      <c r="D77" s="1528">
        <v>12480</v>
      </c>
      <c r="E77" s="1528">
        <v>12450</v>
      </c>
      <c r="F77" s="1542">
        <v>2590</v>
      </c>
    </row>
    <row r="78" spans="1:6" s="1522" customFormat="1" ht="14.25" customHeight="1" thickBot="1">
      <c r="A78" s="1534" t="s">
        <v>1888</v>
      </c>
      <c r="B78" s="1528" t="s">
        <v>1569</v>
      </c>
      <c r="C78" s="1528">
        <v>14360</v>
      </c>
      <c r="D78" s="1528">
        <v>14320</v>
      </c>
      <c r="E78" s="1528">
        <v>12510</v>
      </c>
      <c r="F78" s="1542">
        <v>2700</v>
      </c>
    </row>
    <row r="79" spans="1:6" s="1522" customFormat="1" ht="14.25" customHeight="1" thickBot="1">
      <c r="A79" s="1534" t="s">
        <v>1888</v>
      </c>
      <c r="B79" s="1528" t="s">
        <v>1582</v>
      </c>
      <c r="C79" s="1528">
        <v>12590</v>
      </c>
      <c r="D79" s="1528">
        <v>12540</v>
      </c>
      <c r="E79" s="1528">
        <v>12350</v>
      </c>
      <c r="F79" s="1542">
        <v>2740</v>
      </c>
    </row>
    <row r="80" spans="1:6" s="1522" customFormat="1" ht="14.25" customHeight="1" thickBot="1">
      <c r="A80" s="1534" t="s">
        <v>1888</v>
      </c>
      <c r="B80" s="1528" t="s">
        <v>1594</v>
      </c>
      <c r="C80" s="1528">
        <v>12450</v>
      </c>
      <c r="D80" s="1528">
        <v>12370</v>
      </c>
      <c r="E80" s="1528">
        <v>10790</v>
      </c>
      <c r="F80" s="1542">
        <v>2290</v>
      </c>
    </row>
    <row r="81" spans="1:6" s="1522" customFormat="1" ht="14.25" customHeight="1" thickBot="1">
      <c r="A81" s="1534" t="s">
        <v>1888</v>
      </c>
      <c r="B81" s="1528" t="s">
        <v>1605</v>
      </c>
      <c r="C81" s="1528">
        <v>14210</v>
      </c>
      <c r="D81" s="1528">
        <v>14150</v>
      </c>
      <c r="E81" s="1528">
        <v>12730</v>
      </c>
      <c r="F81" s="1542">
        <v>2240</v>
      </c>
    </row>
    <row r="82" spans="1:6" s="1522" customFormat="1" ht="14.25" customHeight="1" thickBot="1">
      <c r="A82" s="1534" t="s">
        <v>1888</v>
      </c>
      <c r="B82" s="1528" t="s">
        <v>1616</v>
      </c>
      <c r="C82" s="1528">
        <v>10860</v>
      </c>
      <c r="D82" s="1528">
        <v>10820</v>
      </c>
      <c r="E82" s="1528">
        <v>14720</v>
      </c>
      <c r="F82" s="1542">
        <v>2490</v>
      </c>
    </row>
    <row r="83" spans="1:6" s="1522" customFormat="1" ht="14.25" customHeight="1" thickBot="1">
      <c r="A83" s="1534" t="s">
        <v>1888</v>
      </c>
      <c r="B83" s="1528" t="s">
        <v>1627</v>
      </c>
      <c r="C83" s="1528">
        <v>12810</v>
      </c>
      <c r="D83" s="1528">
        <v>12760</v>
      </c>
      <c r="E83" s="1528">
        <v>14830</v>
      </c>
      <c r="F83" s="1542">
        <v>2450</v>
      </c>
    </row>
    <row r="84" spans="1:6" s="1522" customFormat="1" ht="14.25" customHeight="1" thickBot="1">
      <c r="A84" s="1534" t="s">
        <v>1888</v>
      </c>
      <c r="B84" s="1528" t="s">
        <v>1639</v>
      </c>
      <c r="C84" s="1528">
        <v>14950</v>
      </c>
      <c r="D84" s="1528">
        <v>14810</v>
      </c>
      <c r="E84" s="1528">
        <v>12590</v>
      </c>
      <c r="F84" s="1542">
        <v>2540</v>
      </c>
    </row>
    <row r="85" spans="1:6" s="1522" customFormat="1" ht="14.25" customHeight="1" thickBot="1">
      <c r="A85" s="1534" t="s">
        <v>1888</v>
      </c>
      <c r="B85" s="1528" t="s">
        <v>1649</v>
      </c>
      <c r="C85" s="1528">
        <v>14960</v>
      </c>
      <c r="D85" s="1528">
        <v>14890</v>
      </c>
      <c r="E85" s="1528">
        <v>12840</v>
      </c>
      <c r="F85" s="1542">
        <v>2840</v>
      </c>
    </row>
    <row r="86" spans="1:6" s="1522" customFormat="1" ht="14.25" customHeight="1" thickBot="1">
      <c r="A86" s="1534" t="s">
        <v>1888</v>
      </c>
      <c r="B86" s="1528" t="s">
        <v>1659</v>
      </c>
      <c r="C86" s="1528">
        <v>12730</v>
      </c>
      <c r="D86" s="1528">
        <v>12660</v>
      </c>
      <c r="E86" s="1528">
        <v>13310</v>
      </c>
      <c r="F86" s="1542">
        <v>3140</v>
      </c>
    </row>
    <row r="87" spans="1:6" s="1522" customFormat="1" ht="14.25" customHeight="1" thickBot="1">
      <c r="A87" s="1534" t="s">
        <v>1888</v>
      </c>
      <c r="B87" s="1528" t="s">
        <v>1669</v>
      </c>
      <c r="C87" s="1528">
        <v>12940</v>
      </c>
      <c r="D87" s="1528">
        <v>12890</v>
      </c>
      <c r="E87" s="1528">
        <v>11580</v>
      </c>
      <c r="F87" s="1546"/>
    </row>
    <row r="88" spans="1:6" s="1522" customFormat="1" ht="14.25" customHeight="1" thickBot="1">
      <c r="A88" s="1534" t="s">
        <v>1888</v>
      </c>
      <c r="B88" s="1528" t="s">
        <v>1679</v>
      </c>
      <c r="C88" s="1528">
        <v>13430</v>
      </c>
      <c r="D88" s="1528">
        <v>13360</v>
      </c>
      <c r="E88" s="1528">
        <v>12790</v>
      </c>
      <c r="F88" s="1546"/>
    </row>
    <row r="89" spans="1:6" s="1522" customFormat="1" ht="14.25" customHeight="1" thickBot="1">
      <c r="A89" s="1534" t="s">
        <v>1888</v>
      </c>
      <c r="B89" s="1528" t="s">
        <v>1690</v>
      </c>
      <c r="C89" s="1528">
        <v>11680</v>
      </c>
      <c r="D89" s="1528">
        <v>11630</v>
      </c>
      <c r="E89" s="1528">
        <v>11320</v>
      </c>
      <c r="F89" s="1546"/>
    </row>
    <row r="90" spans="1:6" s="1522" customFormat="1" ht="14.25" customHeight="1" thickBot="1">
      <c r="A90" s="1534" t="s">
        <v>1888</v>
      </c>
      <c r="B90" s="1528" t="s">
        <v>1701</v>
      </c>
      <c r="C90" s="1528">
        <v>12890</v>
      </c>
      <c r="D90" s="1528">
        <v>12820</v>
      </c>
      <c r="E90" s="1528">
        <v>12710</v>
      </c>
      <c r="F90" s="1546"/>
    </row>
    <row r="91" spans="1:6" s="1522" customFormat="1" ht="14.25" customHeight="1" thickBot="1">
      <c r="A91" s="1534" t="s">
        <v>1888</v>
      </c>
      <c r="B91" s="1528" t="s">
        <v>1711</v>
      </c>
      <c r="C91" s="1528">
        <v>11410</v>
      </c>
      <c r="D91" s="1528">
        <v>11360</v>
      </c>
      <c r="E91" s="1528">
        <v>12670</v>
      </c>
      <c r="F91" s="1546"/>
    </row>
    <row r="92" spans="1:6" s="1522" customFormat="1" ht="14.25" customHeight="1" thickBot="1">
      <c r="A92" s="1534" t="s">
        <v>1888</v>
      </c>
      <c r="B92" s="1528" t="s">
        <v>1721</v>
      </c>
      <c r="C92" s="1528">
        <v>12770</v>
      </c>
      <c r="D92" s="1528">
        <v>12740</v>
      </c>
      <c r="E92" s="1528">
        <v>11970</v>
      </c>
      <c r="F92" s="1546"/>
    </row>
    <row r="93" spans="1:6" s="1522" customFormat="1" ht="14.25" customHeight="1" thickBot="1">
      <c r="A93" s="1534" t="s">
        <v>1888</v>
      </c>
      <c r="B93" s="1528" t="s">
        <v>1731</v>
      </c>
      <c r="C93" s="1528">
        <v>12740</v>
      </c>
      <c r="D93" s="1528">
        <v>12700</v>
      </c>
      <c r="E93" s="1528">
        <v>12540</v>
      </c>
      <c r="F93" s="1546"/>
    </row>
    <row r="94" spans="1:6" s="1522" customFormat="1" ht="14.25" customHeight="1" thickBot="1">
      <c r="A94" s="1534" t="s">
        <v>1888</v>
      </c>
      <c r="B94" s="1528" t="s">
        <v>1741</v>
      </c>
      <c r="C94" s="1528">
        <v>12020</v>
      </c>
      <c r="D94" s="1528">
        <v>11990</v>
      </c>
      <c r="E94" s="1528">
        <v>13110</v>
      </c>
      <c r="F94" s="1546"/>
    </row>
    <row r="95" spans="1:6" s="1522" customFormat="1" ht="14.25" customHeight="1" thickBot="1">
      <c r="A95" s="1534" t="s">
        <v>1888</v>
      </c>
      <c r="B95" s="1528" t="s">
        <v>1750</v>
      </c>
      <c r="C95" s="1528">
        <v>12620</v>
      </c>
      <c r="D95" s="1528">
        <v>12580</v>
      </c>
      <c r="E95" s="1528">
        <v>13160</v>
      </c>
      <c r="F95" s="1542"/>
    </row>
    <row r="96" spans="1:6" s="1522" customFormat="1" ht="14.25" customHeight="1" thickBot="1">
      <c r="A96" s="1534" t="s">
        <v>1888</v>
      </c>
      <c r="B96" s="1528" t="s">
        <v>1759</v>
      </c>
      <c r="C96" s="1528">
        <v>13200</v>
      </c>
      <c r="D96" s="1528">
        <v>13150</v>
      </c>
      <c r="E96" s="1528">
        <v>12900</v>
      </c>
      <c r="F96" s="1542"/>
    </row>
    <row r="97" spans="1:6" s="1522" customFormat="1" ht="14.25" customHeight="1" thickBot="1">
      <c r="A97" s="1534" t="s">
        <v>1888</v>
      </c>
      <c r="B97" s="1528" t="s">
        <v>1767</v>
      </c>
      <c r="C97" s="1528">
        <v>13270</v>
      </c>
      <c r="D97" s="1528">
        <v>13210</v>
      </c>
      <c r="E97" s="1528">
        <v>11080</v>
      </c>
      <c r="F97" s="1542"/>
    </row>
    <row r="98" spans="1:6" s="1522" customFormat="1" ht="14.25" customHeight="1" thickBot="1">
      <c r="A98" s="1534" t="s">
        <v>1888</v>
      </c>
      <c r="B98" s="1528" t="s">
        <v>1774</v>
      </c>
      <c r="C98" s="1528">
        <v>13010</v>
      </c>
      <c r="D98" s="1528">
        <v>12930</v>
      </c>
      <c r="E98" s="1528">
        <v>12840</v>
      </c>
      <c r="F98" s="1542"/>
    </row>
    <row r="99" spans="1:6" s="1522" customFormat="1" ht="14.25" customHeight="1" thickBot="1">
      <c r="A99" s="1534" t="s">
        <v>1888</v>
      </c>
      <c r="B99" s="1528" t="s">
        <v>1781</v>
      </c>
      <c r="C99" s="1528">
        <v>11190</v>
      </c>
      <c r="D99" s="1528">
        <v>11130</v>
      </c>
      <c r="E99" s="1528"/>
      <c r="F99" s="1542"/>
    </row>
    <row r="100" spans="1:6" s="1522" customFormat="1" ht="14.25" customHeight="1" thickBot="1">
      <c r="A100" s="1534" t="s">
        <v>1888</v>
      </c>
      <c r="B100" s="1528" t="s">
        <v>1788</v>
      </c>
      <c r="C100" s="1528">
        <v>14280</v>
      </c>
      <c r="D100" s="1528">
        <v>14180</v>
      </c>
      <c r="E100" s="1528"/>
      <c r="F100" s="1542"/>
    </row>
    <row r="101" spans="1:6" s="1522" customFormat="1" ht="14.25" customHeight="1" thickBot="1">
      <c r="A101" s="1534" t="s">
        <v>1888</v>
      </c>
      <c r="B101" s="1528" t="s">
        <v>1795</v>
      </c>
      <c r="C101" s="1528">
        <v>12960</v>
      </c>
      <c r="D101" s="1528">
        <v>12890</v>
      </c>
      <c r="E101" s="1528"/>
      <c r="F101" s="1542"/>
    </row>
    <row r="102" spans="1:6" s="1522" customFormat="1" ht="14.25" customHeight="1" thickBot="1">
      <c r="A102" s="1534" t="s">
        <v>1888</v>
      </c>
      <c r="B102" s="1528" t="s">
        <v>1802</v>
      </c>
      <c r="C102" s="1528"/>
      <c r="D102" s="1528"/>
      <c r="E102" s="1528"/>
      <c r="F102" s="1542">
        <v>3100</v>
      </c>
    </row>
    <row r="103" spans="1:6" s="1522" customFormat="1" ht="14.25" customHeight="1" thickBot="1">
      <c r="A103" s="1534" t="s">
        <v>1888</v>
      </c>
      <c r="B103" s="1528" t="s">
        <v>1809</v>
      </c>
      <c r="C103" s="1528"/>
      <c r="D103" s="1528"/>
      <c r="E103" s="1528"/>
      <c r="F103" s="1542">
        <v>2320</v>
      </c>
    </row>
    <row r="104" spans="1:6" s="1522" customFormat="1" ht="14.25" customHeight="1" thickBot="1">
      <c r="A104" s="1534" t="s">
        <v>1888</v>
      </c>
      <c r="B104" s="1528" t="s">
        <v>1814</v>
      </c>
      <c r="C104" s="1528"/>
      <c r="D104" s="1528"/>
      <c r="E104" s="1528"/>
      <c r="F104" s="1542">
        <v>2320</v>
      </c>
    </row>
    <row r="105" spans="1:6" s="1522" customFormat="1" ht="14.25" customHeight="1" thickBot="1">
      <c r="A105" s="1534" t="s">
        <v>1888</v>
      </c>
      <c r="B105" s="1528" t="s">
        <v>1818</v>
      </c>
      <c r="C105" s="1528"/>
      <c r="D105" s="1528"/>
      <c r="E105" s="1528"/>
      <c r="F105" s="1542">
        <v>2320</v>
      </c>
    </row>
    <row r="106" spans="1:6" s="1522" customFormat="1" ht="14.25" customHeight="1" thickBot="1">
      <c r="A106" s="1534" t="s">
        <v>1888</v>
      </c>
      <c r="B106" s="1528" t="s">
        <v>1823</v>
      </c>
      <c r="C106" s="1528"/>
      <c r="D106" s="1528"/>
      <c r="E106" s="1528"/>
      <c r="F106" s="1542">
        <v>2320</v>
      </c>
    </row>
    <row r="107" spans="1:6" s="1522" customFormat="1" ht="14.25" customHeight="1" thickBot="1">
      <c r="A107" s="1534" t="s">
        <v>1888</v>
      </c>
      <c r="B107" s="1528" t="s">
        <v>1828</v>
      </c>
      <c r="C107" s="1528"/>
      <c r="D107" s="1528"/>
      <c r="E107" s="1528"/>
      <c r="F107" s="1542">
        <v>2280</v>
      </c>
    </row>
    <row r="108" spans="1:6" s="1522" customFormat="1" ht="14.25" customHeight="1" thickBot="1">
      <c r="A108" s="1534" t="s">
        <v>1888</v>
      </c>
      <c r="B108" s="1528" t="s">
        <v>1833</v>
      </c>
      <c r="C108" s="1528"/>
      <c r="D108" s="1528"/>
      <c r="E108" s="1528"/>
      <c r="F108" s="1542">
        <v>2280</v>
      </c>
    </row>
    <row r="109" spans="1:6" s="1522" customFormat="1" ht="14.25" customHeight="1" thickBot="1">
      <c r="A109" s="1534" t="s">
        <v>1888</v>
      </c>
      <c r="B109" s="1540" t="s">
        <v>1838</v>
      </c>
      <c r="C109" s="1540"/>
      <c r="D109" s="1540"/>
      <c r="E109" s="1540"/>
      <c r="F109" s="1545">
        <v>2280</v>
      </c>
    </row>
    <row r="110" spans="1:6" s="1522" customFormat="1" ht="14.25" customHeight="1" thickBot="1">
      <c r="A110" s="1534" t="s">
        <v>366</v>
      </c>
      <c r="B110" s="1535" t="s">
        <v>1890</v>
      </c>
      <c r="C110" s="1535">
        <v>10520</v>
      </c>
      <c r="D110" s="1535">
        <v>10490</v>
      </c>
      <c r="E110" s="1535">
        <v>10760</v>
      </c>
      <c r="F110" s="1536">
        <v>2160</v>
      </c>
    </row>
    <row r="111" spans="1:6" s="1522" customFormat="1" ht="14.25" customHeight="1" thickBot="1">
      <c r="A111" s="1534" t="s">
        <v>366</v>
      </c>
      <c r="B111" s="1528" t="s">
        <v>1557</v>
      </c>
      <c r="C111" s="1528">
        <v>10090</v>
      </c>
      <c r="D111" s="1528">
        <v>10060</v>
      </c>
      <c r="E111" s="1528">
        <v>10300</v>
      </c>
      <c r="F111" s="1542">
        <v>2010</v>
      </c>
    </row>
    <row r="112" spans="1:6" s="1522" customFormat="1" ht="14.25" customHeight="1" thickBot="1">
      <c r="A112" s="1534" t="s">
        <v>366</v>
      </c>
      <c r="B112" s="1528" t="s">
        <v>1570</v>
      </c>
      <c r="C112" s="1528">
        <v>9910</v>
      </c>
      <c r="D112" s="1528">
        <v>9850</v>
      </c>
      <c r="E112" s="1528">
        <v>9960</v>
      </c>
      <c r="F112" s="1542">
        <v>2090</v>
      </c>
    </row>
    <row r="113" spans="1:6" s="1522" customFormat="1" ht="14.25" customHeight="1" thickBot="1">
      <c r="A113" s="1534" t="s">
        <v>366</v>
      </c>
      <c r="B113" s="1528" t="s">
        <v>1583</v>
      </c>
      <c r="C113" s="1528">
        <v>11430</v>
      </c>
      <c r="D113" s="1528">
        <v>11400</v>
      </c>
      <c r="E113" s="1528">
        <v>11710</v>
      </c>
      <c r="F113" s="1542">
        <v>2050</v>
      </c>
    </row>
    <row r="114" spans="1:6" s="1522" customFormat="1" ht="14.25" customHeight="1" thickBot="1">
      <c r="A114" s="1534" t="s">
        <v>366</v>
      </c>
      <c r="B114" s="1528" t="s">
        <v>1595</v>
      </c>
      <c r="C114" s="1528">
        <v>11390</v>
      </c>
      <c r="D114" s="1528">
        <v>11350</v>
      </c>
      <c r="E114" s="1528">
        <v>11640</v>
      </c>
      <c r="F114" s="1542">
        <v>1620</v>
      </c>
    </row>
    <row r="115" spans="1:6" s="1522" customFormat="1" ht="14.25" customHeight="1" thickBot="1">
      <c r="A115" s="1534" t="s">
        <v>366</v>
      </c>
      <c r="B115" s="1528" t="s">
        <v>1606</v>
      </c>
      <c r="C115" s="1528">
        <v>9930</v>
      </c>
      <c r="D115" s="1528">
        <v>9900</v>
      </c>
      <c r="E115" s="1528">
        <v>10160</v>
      </c>
      <c r="F115" s="1542">
        <v>1580</v>
      </c>
    </row>
    <row r="116" spans="1:6" s="1522" customFormat="1" ht="14.25" customHeight="1" thickBot="1">
      <c r="A116" s="1534" t="s">
        <v>366</v>
      </c>
      <c r="B116" s="1528" t="s">
        <v>1617</v>
      </c>
      <c r="C116" s="1528">
        <v>9150</v>
      </c>
      <c r="D116" s="1528">
        <v>9120</v>
      </c>
      <c r="E116" s="1528">
        <v>9380</v>
      </c>
      <c r="F116" s="1542">
        <v>1750</v>
      </c>
    </row>
    <row r="117" spans="1:6" s="1522" customFormat="1" ht="14.25" customHeight="1" thickBot="1">
      <c r="A117" s="1534" t="s">
        <v>366</v>
      </c>
      <c r="B117" s="1528" t="s">
        <v>1628</v>
      </c>
      <c r="C117" s="1528">
        <v>10680</v>
      </c>
      <c r="D117" s="1528">
        <v>10650</v>
      </c>
      <c r="E117" s="1528">
        <v>10970</v>
      </c>
      <c r="F117" s="1542">
        <v>1730</v>
      </c>
    </row>
    <row r="118" spans="1:6" s="1522" customFormat="1" ht="14.25" customHeight="1" thickBot="1">
      <c r="A118" s="1534" t="s">
        <v>366</v>
      </c>
      <c r="B118" s="1528" t="s">
        <v>1640</v>
      </c>
      <c r="C118" s="1528">
        <v>10080</v>
      </c>
      <c r="D118" s="1528">
        <v>10050</v>
      </c>
      <c r="E118" s="1528">
        <v>10350</v>
      </c>
      <c r="F118" s="1542">
        <v>1920</v>
      </c>
    </row>
    <row r="119" spans="1:6" s="1522" customFormat="1" ht="14.25" customHeight="1" thickBot="1">
      <c r="A119" s="1534" t="s">
        <v>366</v>
      </c>
      <c r="B119" s="1528" t="s">
        <v>1650</v>
      </c>
      <c r="C119" s="1528">
        <v>9450</v>
      </c>
      <c r="D119" s="1528">
        <v>9410</v>
      </c>
      <c r="E119" s="1528">
        <v>9680</v>
      </c>
      <c r="F119" s="1542">
        <v>1880</v>
      </c>
    </row>
    <row r="120" spans="1:6" s="1522" customFormat="1" ht="14.25" customHeight="1" thickBot="1">
      <c r="A120" s="1534" t="s">
        <v>366</v>
      </c>
      <c r="B120" s="1528" t="s">
        <v>1660</v>
      </c>
      <c r="C120" s="1528">
        <v>8730</v>
      </c>
      <c r="D120" s="1528">
        <v>8700</v>
      </c>
      <c r="E120" s="1528">
        <v>8950</v>
      </c>
      <c r="F120" s="1542">
        <v>1830</v>
      </c>
    </row>
    <row r="121" spans="1:6" s="1522" customFormat="1" ht="14.25" customHeight="1" thickBot="1">
      <c r="A121" s="1534" t="s">
        <v>366</v>
      </c>
      <c r="B121" s="1528" t="s">
        <v>1670</v>
      </c>
      <c r="C121" s="1528">
        <v>10070</v>
      </c>
      <c r="D121" s="1528">
        <v>10040</v>
      </c>
      <c r="E121" s="1528">
        <v>10270</v>
      </c>
      <c r="F121" s="1542">
        <v>1960</v>
      </c>
    </row>
    <row r="122" spans="1:6" s="1522" customFormat="1" ht="14.25" customHeight="1" thickBot="1">
      <c r="A122" s="1534" t="s">
        <v>366</v>
      </c>
      <c r="B122" s="1528" t="s">
        <v>1680</v>
      </c>
      <c r="C122" s="1528">
        <v>10500</v>
      </c>
      <c r="D122" s="1528">
        <v>10470</v>
      </c>
      <c r="E122" s="1528">
        <v>10780</v>
      </c>
      <c r="F122" s="1542">
        <v>2180</v>
      </c>
    </row>
    <row r="123" spans="1:6" s="1522" customFormat="1" ht="14.25" customHeight="1" thickBot="1">
      <c r="A123" s="1534" t="s">
        <v>366</v>
      </c>
      <c r="B123" s="1528" t="s">
        <v>1691</v>
      </c>
      <c r="C123" s="1528">
        <v>10390</v>
      </c>
      <c r="D123" s="1528">
        <v>10360</v>
      </c>
      <c r="E123" s="1528">
        <v>10660</v>
      </c>
      <c r="F123" s="1542">
        <v>2040</v>
      </c>
    </row>
    <row r="124" spans="1:6" s="1522" customFormat="1" ht="14.25" customHeight="1" thickBot="1">
      <c r="A124" s="1534" t="s">
        <v>366</v>
      </c>
      <c r="B124" s="1528" t="s">
        <v>1702</v>
      </c>
      <c r="C124" s="1528">
        <v>10390</v>
      </c>
      <c r="D124" s="1528">
        <v>10360</v>
      </c>
      <c r="E124" s="1528">
        <v>10680</v>
      </c>
      <c r="F124" s="1546"/>
    </row>
    <row r="125" spans="1:6" s="1522" customFormat="1" ht="14.25" customHeight="1" thickBot="1">
      <c r="A125" s="1534" t="s">
        <v>366</v>
      </c>
      <c r="B125" s="1528" t="s">
        <v>1712</v>
      </c>
      <c r="C125" s="1528">
        <v>10440</v>
      </c>
      <c r="D125" s="1528">
        <v>10410</v>
      </c>
      <c r="E125" s="1528">
        <v>10710</v>
      </c>
      <c r="F125" s="1546"/>
    </row>
    <row r="126" spans="1:6" s="1522" customFormat="1" ht="14.25" customHeight="1" thickBot="1">
      <c r="A126" s="1534" t="s">
        <v>366</v>
      </c>
      <c r="B126" s="1528" t="s">
        <v>1722</v>
      </c>
      <c r="C126" s="1528">
        <v>10780</v>
      </c>
      <c r="D126" s="1528">
        <v>10750</v>
      </c>
      <c r="E126" s="1528">
        <v>11080</v>
      </c>
      <c r="F126" s="1546"/>
    </row>
    <row r="127" spans="1:6" s="1522" customFormat="1" ht="14.25" customHeight="1" thickBot="1">
      <c r="A127" s="1534" t="s">
        <v>366</v>
      </c>
      <c r="B127" s="1528" t="s">
        <v>1732</v>
      </c>
      <c r="C127" s="1528">
        <v>10100</v>
      </c>
      <c r="D127" s="1528">
        <v>10070</v>
      </c>
      <c r="E127" s="1528">
        <v>10350</v>
      </c>
      <c r="F127" s="1546"/>
    </row>
    <row r="128" spans="1:6" s="1522" customFormat="1" ht="14.25" customHeight="1" thickBot="1">
      <c r="A128" s="1534" t="s">
        <v>366</v>
      </c>
      <c r="B128" s="1528" t="s">
        <v>1742</v>
      </c>
      <c r="C128" s="1528">
        <v>9200</v>
      </c>
      <c r="D128" s="1528">
        <v>9160</v>
      </c>
      <c r="E128" s="1528">
        <v>9660</v>
      </c>
      <c r="F128" s="1546"/>
    </row>
    <row r="129" spans="1:6" s="1522" customFormat="1" ht="14.25" customHeight="1" thickBot="1">
      <c r="A129" s="1534" t="s">
        <v>366</v>
      </c>
      <c r="B129" s="1528" t="s">
        <v>1751</v>
      </c>
      <c r="C129" s="1528">
        <v>10340</v>
      </c>
      <c r="D129" s="1528">
        <v>10310</v>
      </c>
      <c r="E129" s="1528">
        <v>10580</v>
      </c>
      <c r="F129" s="1546"/>
    </row>
    <row r="130" spans="1:6" s="1522" customFormat="1" ht="14.25" customHeight="1" thickBot="1">
      <c r="A130" s="1534" t="s">
        <v>366</v>
      </c>
      <c r="B130" s="1528" t="s">
        <v>1760</v>
      </c>
      <c r="C130" s="1528">
        <v>9680</v>
      </c>
      <c r="D130" s="1528">
        <v>9660</v>
      </c>
      <c r="E130" s="1528">
        <v>9950</v>
      </c>
      <c r="F130" s="1546"/>
    </row>
    <row r="131" spans="1:6" s="1522" customFormat="1" ht="14.25" customHeight="1" thickBot="1">
      <c r="A131" s="1534" t="s">
        <v>366</v>
      </c>
      <c r="B131" s="1528" t="s">
        <v>1768</v>
      </c>
      <c r="C131" s="1528">
        <v>9540</v>
      </c>
      <c r="D131" s="1528">
        <v>9510</v>
      </c>
      <c r="E131" s="1528">
        <v>9790</v>
      </c>
      <c r="F131" s="1546"/>
    </row>
    <row r="132" spans="1:6" s="1522" customFormat="1" ht="14.25" customHeight="1" thickBot="1">
      <c r="A132" s="1534" t="s">
        <v>366</v>
      </c>
      <c r="B132" s="1528" t="s">
        <v>1775</v>
      </c>
      <c r="C132" s="1528">
        <v>9320</v>
      </c>
      <c r="D132" s="1528">
        <v>9290</v>
      </c>
      <c r="E132" s="1528">
        <v>9570</v>
      </c>
      <c r="F132" s="1546"/>
    </row>
    <row r="133" spans="1:6" s="1522" customFormat="1" ht="14.25" customHeight="1" thickBot="1">
      <c r="A133" s="1534" t="s">
        <v>366</v>
      </c>
      <c r="B133" s="1528" t="s">
        <v>1782</v>
      </c>
      <c r="C133" s="1528">
        <v>10310</v>
      </c>
      <c r="D133" s="1528">
        <v>10280</v>
      </c>
      <c r="E133" s="1528">
        <v>10530</v>
      </c>
      <c r="F133" s="1546"/>
    </row>
    <row r="134" spans="1:6" s="1522" customFormat="1" ht="14.25" customHeight="1" thickBot="1">
      <c r="A134" s="1534" t="s">
        <v>366</v>
      </c>
      <c r="B134" s="1528" t="s">
        <v>1789</v>
      </c>
      <c r="C134" s="1528">
        <v>10370</v>
      </c>
      <c r="D134" s="1528">
        <v>10310</v>
      </c>
      <c r="E134" s="1528">
        <v>10240</v>
      </c>
      <c r="F134" s="1542">
        <v>2060</v>
      </c>
    </row>
    <row r="135" spans="1:6" s="1522" customFormat="1" ht="14.25" customHeight="1" thickBot="1">
      <c r="A135" s="1534" t="s">
        <v>366</v>
      </c>
      <c r="B135" s="1528" t="s">
        <v>1796</v>
      </c>
      <c r="C135" s="1528">
        <v>9300</v>
      </c>
      <c r="D135" s="1528">
        <v>9270</v>
      </c>
      <c r="E135" s="1528">
        <v>9350</v>
      </c>
      <c r="F135" s="1546"/>
    </row>
    <row r="136" spans="1:6" s="1522" customFormat="1" ht="14.25" customHeight="1" thickBot="1">
      <c r="A136" s="1534" t="s">
        <v>366</v>
      </c>
      <c r="B136" s="1528" t="s">
        <v>1803</v>
      </c>
      <c r="C136" s="1528">
        <v>10160</v>
      </c>
      <c r="D136" s="1528">
        <v>10110</v>
      </c>
      <c r="E136" s="1528">
        <v>10080</v>
      </c>
      <c r="F136" s="1546"/>
    </row>
    <row r="137" spans="1:6" s="1522" customFormat="1" ht="14.25" customHeight="1" thickBot="1">
      <c r="A137" s="1534" t="s">
        <v>366</v>
      </c>
      <c r="B137" s="1528" t="s">
        <v>1810</v>
      </c>
      <c r="C137" s="1528">
        <v>9200</v>
      </c>
      <c r="D137" s="1528">
        <v>9170</v>
      </c>
      <c r="E137" s="1528">
        <v>9450</v>
      </c>
      <c r="F137" s="1546"/>
    </row>
    <row r="138" spans="1:6" s="1522" customFormat="1" ht="14.25" customHeight="1" thickBot="1">
      <c r="A138" s="1534" t="s">
        <v>366</v>
      </c>
      <c r="B138" s="1528" t="s">
        <v>1815</v>
      </c>
      <c r="C138" s="1528">
        <v>9690</v>
      </c>
      <c r="D138" s="1528">
        <v>9660</v>
      </c>
      <c r="E138" s="1528">
        <v>9840</v>
      </c>
      <c r="F138" s="1546"/>
    </row>
    <row r="139" spans="1:6" s="1522" customFormat="1" ht="14.25" customHeight="1" thickBot="1">
      <c r="A139" s="1534" t="s">
        <v>366</v>
      </c>
      <c r="B139" s="1528" t="s">
        <v>1819</v>
      </c>
      <c r="C139" s="1528">
        <v>10290</v>
      </c>
      <c r="D139" s="1528">
        <v>10260</v>
      </c>
      <c r="E139" s="1528">
        <v>10550</v>
      </c>
      <c r="F139" s="1542">
        <v>1700</v>
      </c>
    </row>
    <row r="140" spans="1:6" s="1522" customFormat="1" ht="14.25" customHeight="1" thickBot="1">
      <c r="A140" s="1534" t="s">
        <v>366</v>
      </c>
      <c r="B140" s="1528" t="s">
        <v>1824</v>
      </c>
      <c r="C140" s="1528">
        <v>9740</v>
      </c>
      <c r="D140" s="1528">
        <v>9710</v>
      </c>
      <c r="E140" s="1528">
        <v>10000</v>
      </c>
      <c r="F140" s="1542">
        <v>2000</v>
      </c>
    </row>
    <row r="141" spans="1:6" s="1522" customFormat="1" ht="14.25" customHeight="1" thickBot="1">
      <c r="A141" s="1534" t="s">
        <v>366</v>
      </c>
      <c r="B141" s="1528" t="s">
        <v>1829</v>
      </c>
      <c r="C141" s="1528">
        <v>9810</v>
      </c>
      <c r="D141" s="1528">
        <v>9770</v>
      </c>
      <c r="E141" s="1528">
        <v>10060</v>
      </c>
      <c r="F141" s="1546"/>
    </row>
    <row r="142" spans="1:6" s="1522" customFormat="1" ht="14.25" customHeight="1" thickBot="1">
      <c r="A142" s="1534" t="s">
        <v>366</v>
      </c>
      <c r="B142" s="1528" t="s">
        <v>1834</v>
      </c>
      <c r="C142" s="1528">
        <v>9300</v>
      </c>
      <c r="D142" s="1528">
        <v>9270</v>
      </c>
      <c r="E142" s="1528">
        <v>9530</v>
      </c>
      <c r="F142" s="1546"/>
    </row>
    <row r="143" spans="1:6" s="1522" customFormat="1" ht="14.25" customHeight="1" thickBot="1">
      <c r="A143" s="1534" t="s">
        <v>366</v>
      </c>
      <c r="B143" s="1528" t="s">
        <v>1839</v>
      </c>
      <c r="C143" s="1528">
        <v>10080</v>
      </c>
      <c r="D143" s="1528">
        <v>10050</v>
      </c>
      <c r="E143" s="1528">
        <v>10340</v>
      </c>
      <c r="F143" s="1546"/>
    </row>
    <row r="144" spans="1:6" s="1522" customFormat="1" ht="14.25" customHeight="1" thickBot="1">
      <c r="A144" s="1534" t="s">
        <v>366</v>
      </c>
      <c r="B144" s="1528" t="s">
        <v>1843</v>
      </c>
      <c r="C144" s="1528">
        <v>9820</v>
      </c>
      <c r="D144" s="1528">
        <v>9750</v>
      </c>
      <c r="E144" s="1528">
        <v>9900</v>
      </c>
      <c r="F144" s="1546"/>
    </row>
    <row r="145" spans="1:6" s="1522" customFormat="1" ht="14.25" customHeight="1" thickBot="1">
      <c r="A145" s="1534" t="s">
        <v>366</v>
      </c>
      <c r="B145" s="1528" t="s">
        <v>1847</v>
      </c>
      <c r="C145" s="1528"/>
      <c r="D145" s="1528"/>
      <c r="E145" s="1528"/>
      <c r="F145" s="1542">
        <v>1740</v>
      </c>
    </row>
    <row r="146" spans="1:6" s="1522" customFormat="1" ht="14.25" customHeight="1" thickBot="1">
      <c r="A146" s="1534" t="s">
        <v>366</v>
      </c>
      <c r="B146" s="1528" t="s">
        <v>1851</v>
      </c>
      <c r="C146" s="1528"/>
      <c r="D146" s="1528"/>
      <c r="E146" s="1528"/>
      <c r="F146" s="1542">
        <v>1740</v>
      </c>
    </row>
    <row r="147" spans="1:6" s="1522" customFormat="1" ht="14.25" customHeight="1" thickBot="1">
      <c r="A147" s="1534" t="s">
        <v>366</v>
      </c>
      <c r="B147" s="1528" t="s">
        <v>1855</v>
      </c>
      <c r="C147" s="1528"/>
      <c r="D147" s="1528"/>
      <c r="E147" s="1528"/>
      <c r="F147" s="1542">
        <v>1740</v>
      </c>
    </row>
    <row r="148" spans="1:6" s="1522" customFormat="1" ht="14.25" customHeight="1" thickBot="1">
      <c r="A148" s="1534" t="s">
        <v>366</v>
      </c>
      <c r="B148" s="1528" t="s">
        <v>1859</v>
      </c>
      <c r="C148" s="1528"/>
      <c r="D148" s="1528"/>
      <c r="E148" s="1528"/>
      <c r="F148" s="1542">
        <v>1740</v>
      </c>
    </row>
    <row r="149" spans="1:6" s="1522" customFormat="1" ht="14.25" customHeight="1" thickBot="1">
      <c r="A149" s="1534" t="s">
        <v>366</v>
      </c>
      <c r="B149" s="1528" t="s">
        <v>1863</v>
      </c>
      <c r="C149" s="1528"/>
      <c r="D149" s="1528"/>
      <c r="E149" s="1528"/>
      <c r="F149" s="1542">
        <v>1740</v>
      </c>
    </row>
    <row r="150" spans="1:6" s="1522" customFormat="1" ht="14.25" customHeight="1" thickBot="1">
      <c r="A150" s="1534" t="s">
        <v>366</v>
      </c>
      <c r="B150" s="1528" t="s">
        <v>1866</v>
      </c>
      <c r="C150" s="1528"/>
      <c r="D150" s="1528"/>
      <c r="E150" s="1528"/>
      <c r="F150" s="1542">
        <v>1610</v>
      </c>
    </row>
    <row r="151" spans="1:6" s="1522" customFormat="1" ht="14.25" customHeight="1" thickBot="1">
      <c r="A151" s="1534" t="s">
        <v>366</v>
      </c>
      <c r="B151" s="1528" t="s">
        <v>1869</v>
      </c>
      <c r="C151" s="1528"/>
      <c r="D151" s="1528"/>
      <c r="E151" s="1528"/>
      <c r="F151" s="1542">
        <v>1610</v>
      </c>
    </row>
    <row r="152" spans="1:6" s="1522" customFormat="1" ht="14.25" customHeight="1" thickBot="1">
      <c r="A152" s="1534" t="s">
        <v>366</v>
      </c>
      <c r="B152" s="1528" t="s">
        <v>1872</v>
      </c>
      <c r="C152" s="1528"/>
      <c r="D152" s="1528"/>
      <c r="E152" s="1528"/>
      <c r="F152" s="1542">
        <v>1610</v>
      </c>
    </row>
    <row r="153" spans="1:6" s="1522" customFormat="1" ht="14.25" customHeight="1" thickBot="1">
      <c r="A153" s="1534" t="s">
        <v>366</v>
      </c>
      <c r="B153" s="1528" t="s">
        <v>1875</v>
      </c>
      <c r="C153" s="1528"/>
      <c r="D153" s="1528"/>
      <c r="E153" s="1528"/>
      <c r="F153" s="1542">
        <v>1610</v>
      </c>
    </row>
    <row r="154" spans="1:6" s="1522" customFormat="1" ht="14.25" customHeight="1" thickBot="1">
      <c r="A154" s="1534" t="s">
        <v>366</v>
      </c>
      <c r="B154" s="1528" t="s">
        <v>1878</v>
      </c>
      <c r="C154" s="1528"/>
      <c r="D154" s="1528"/>
      <c r="E154" s="1528"/>
      <c r="F154" s="1542">
        <v>1610</v>
      </c>
    </row>
    <row r="155" spans="1:6" s="1522" customFormat="1" ht="14.25" customHeight="1" thickBot="1">
      <c r="A155" s="1534" t="s">
        <v>366</v>
      </c>
      <c r="B155" s="1528" t="s">
        <v>1881</v>
      </c>
      <c r="C155" s="1528"/>
      <c r="D155" s="1528"/>
      <c r="E155" s="1528"/>
      <c r="F155" s="1542">
        <v>1800</v>
      </c>
    </row>
    <row r="156" spans="1:6" s="1522" customFormat="1" ht="14.25" customHeight="1" thickBot="1">
      <c r="A156" s="1534" t="s">
        <v>366</v>
      </c>
      <c r="B156" s="1528" t="s">
        <v>1883</v>
      </c>
      <c r="C156" s="1528"/>
      <c r="D156" s="1528"/>
      <c r="E156" s="1528"/>
      <c r="F156" s="1542">
        <v>1910</v>
      </c>
    </row>
    <row r="157" spans="1:6" s="1522" customFormat="1" ht="14.25" customHeight="1" thickBot="1">
      <c r="A157" s="1534" t="s">
        <v>366</v>
      </c>
      <c r="B157" s="1540" t="s">
        <v>1886</v>
      </c>
      <c r="C157" s="1540"/>
      <c r="D157" s="1540"/>
      <c r="E157" s="1540"/>
      <c r="F157" s="1545">
        <v>1500</v>
      </c>
    </row>
    <row r="158" spans="1:6" s="1522" customFormat="1" ht="14.25" customHeight="1" thickBot="1">
      <c r="A158" s="1534" t="s">
        <v>1891</v>
      </c>
      <c r="B158" s="1535" t="s">
        <v>1892</v>
      </c>
      <c r="C158" s="1535">
        <v>8170</v>
      </c>
      <c r="D158" s="1535">
        <v>8140</v>
      </c>
      <c r="E158" s="1535">
        <v>8590</v>
      </c>
      <c r="F158" s="1536">
        <v>1450</v>
      </c>
    </row>
    <row r="159" spans="1:6" s="1522" customFormat="1" ht="14.25" customHeight="1" thickBot="1">
      <c r="A159" s="1534" t="s">
        <v>1891</v>
      </c>
      <c r="B159" s="1528" t="s">
        <v>1558</v>
      </c>
      <c r="C159" s="1528">
        <v>7410</v>
      </c>
      <c r="D159" s="1528">
        <v>7370</v>
      </c>
      <c r="E159" s="1528">
        <v>8030</v>
      </c>
      <c r="F159" s="1542">
        <v>1510</v>
      </c>
    </row>
    <row r="160" spans="1:6" s="1522" customFormat="1" ht="14.25" customHeight="1" thickBot="1">
      <c r="A160" s="1534" t="s">
        <v>1891</v>
      </c>
      <c r="B160" s="1528" t="s">
        <v>1571</v>
      </c>
      <c r="C160" s="1528">
        <v>7240</v>
      </c>
      <c r="D160" s="1528">
        <v>7210</v>
      </c>
      <c r="E160" s="1528">
        <v>7860</v>
      </c>
      <c r="F160" s="1542">
        <v>1370</v>
      </c>
    </row>
    <row r="161" spans="1:6" s="1522" customFormat="1" ht="14.25" customHeight="1" thickBot="1">
      <c r="A161" s="1534" t="s">
        <v>1891</v>
      </c>
      <c r="B161" s="1528" t="s">
        <v>1584</v>
      </c>
      <c r="C161" s="1528">
        <v>7720</v>
      </c>
      <c r="D161" s="1528">
        <v>7690</v>
      </c>
      <c r="E161" s="1528">
        <v>8200</v>
      </c>
      <c r="F161" s="1542">
        <v>1190</v>
      </c>
    </row>
    <row r="162" spans="1:6" s="1522" customFormat="1" ht="14.25" customHeight="1" thickBot="1">
      <c r="A162" s="1534" t="s">
        <v>1891</v>
      </c>
      <c r="B162" s="1528" t="s">
        <v>1596</v>
      </c>
      <c r="C162" s="1528">
        <v>6900</v>
      </c>
      <c r="D162" s="1528">
        <v>6870</v>
      </c>
      <c r="E162" s="1528">
        <v>7500</v>
      </c>
      <c r="F162" s="1542">
        <v>1390</v>
      </c>
    </row>
    <row r="163" spans="1:6" s="1522" customFormat="1" ht="14.25" customHeight="1" thickBot="1">
      <c r="A163" s="1534" t="s">
        <v>1891</v>
      </c>
      <c r="B163" s="1528" t="s">
        <v>1607</v>
      </c>
      <c r="C163" s="1528">
        <v>7120</v>
      </c>
      <c r="D163" s="1528">
        <v>7090</v>
      </c>
      <c r="E163" s="1528">
        <v>7690</v>
      </c>
      <c r="F163" s="1542">
        <v>1230</v>
      </c>
    </row>
    <row r="164" spans="1:6" s="1522" customFormat="1" ht="14.25" customHeight="1" thickBot="1">
      <c r="A164" s="1534" t="s">
        <v>1891</v>
      </c>
      <c r="B164" s="1528" t="s">
        <v>1618</v>
      </c>
      <c r="C164" s="1528">
        <v>6560</v>
      </c>
      <c r="D164" s="1528">
        <v>6530</v>
      </c>
      <c r="E164" s="1528">
        <v>7110</v>
      </c>
      <c r="F164" s="1542">
        <v>1340</v>
      </c>
    </row>
    <row r="165" spans="1:6" s="1522" customFormat="1" ht="14.25" customHeight="1" thickBot="1">
      <c r="A165" s="1534" t="s">
        <v>1891</v>
      </c>
      <c r="B165" s="1528" t="s">
        <v>1629</v>
      </c>
      <c r="C165" s="1528">
        <v>7450</v>
      </c>
      <c r="D165" s="1528">
        <v>7430</v>
      </c>
      <c r="E165" s="1528">
        <v>8110</v>
      </c>
      <c r="F165" s="1542">
        <v>1290</v>
      </c>
    </row>
    <row r="166" spans="1:6" s="1522" customFormat="1" ht="14.25" customHeight="1" thickBot="1">
      <c r="A166" s="1534" t="s">
        <v>1891</v>
      </c>
      <c r="B166" s="1528" t="s">
        <v>1641</v>
      </c>
      <c r="C166" s="1528">
        <v>7490</v>
      </c>
      <c r="D166" s="1528">
        <v>7460</v>
      </c>
      <c r="E166" s="1528">
        <v>8150</v>
      </c>
      <c r="F166" s="1542">
        <v>1350</v>
      </c>
    </row>
    <row r="167" spans="1:6" s="1522" customFormat="1" ht="14.25" customHeight="1" thickBot="1">
      <c r="A167" s="1534" t="s">
        <v>1891</v>
      </c>
      <c r="B167" s="1528" t="s">
        <v>1651</v>
      </c>
      <c r="C167" s="1528">
        <v>7540</v>
      </c>
      <c r="D167" s="1528">
        <v>7510</v>
      </c>
      <c r="E167" s="1528">
        <v>8030</v>
      </c>
      <c r="F167" s="1546"/>
    </row>
    <row r="168" spans="1:6" s="1522" customFormat="1" ht="14.25" customHeight="1" thickBot="1">
      <c r="A168" s="1534" t="s">
        <v>1891</v>
      </c>
      <c r="B168" s="1528" t="s">
        <v>1661</v>
      </c>
      <c r="C168" s="1528">
        <v>7210</v>
      </c>
      <c r="D168" s="1528">
        <v>7180</v>
      </c>
      <c r="E168" s="1528">
        <v>7830</v>
      </c>
      <c r="F168" s="1546"/>
    </row>
    <row r="169" spans="1:6" s="1522" customFormat="1" ht="14.25" customHeight="1" thickBot="1">
      <c r="A169" s="1534" t="s">
        <v>1891</v>
      </c>
      <c r="B169" s="1528" t="s">
        <v>1671</v>
      </c>
      <c r="C169" s="1528">
        <v>7040</v>
      </c>
      <c r="D169" s="1528">
        <v>7020</v>
      </c>
      <c r="E169" s="1528">
        <v>7670</v>
      </c>
      <c r="F169" s="1546"/>
    </row>
    <row r="170" spans="1:6" s="1522" customFormat="1" ht="14.25" customHeight="1" thickBot="1">
      <c r="A170" s="1534" t="s">
        <v>1891</v>
      </c>
      <c r="B170" s="1528" t="s">
        <v>1681</v>
      </c>
      <c r="C170" s="1528">
        <v>8040</v>
      </c>
      <c r="D170" s="1528">
        <v>7190</v>
      </c>
      <c r="E170" s="1528">
        <v>7850</v>
      </c>
      <c r="F170" s="1546"/>
    </row>
    <row r="171" spans="1:6" s="1522" customFormat="1" ht="14.25" customHeight="1" thickBot="1">
      <c r="A171" s="1534" t="s">
        <v>1891</v>
      </c>
      <c r="B171" s="1528" t="s">
        <v>1692</v>
      </c>
      <c r="C171" s="1528">
        <v>7860</v>
      </c>
      <c r="D171" s="1528">
        <v>7720</v>
      </c>
      <c r="E171" s="1528">
        <v>8150</v>
      </c>
      <c r="F171" s="1542">
        <v>1110</v>
      </c>
    </row>
    <row r="172" spans="1:6" s="1522" customFormat="1" ht="14.25" customHeight="1" thickBot="1">
      <c r="A172" s="1534" t="s">
        <v>1891</v>
      </c>
      <c r="B172" s="1528" t="s">
        <v>1703</v>
      </c>
      <c r="C172" s="1528">
        <v>7210</v>
      </c>
      <c r="D172" s="1528">
        <v>7170</v>
      </c>
      <c r="E172" s="1528">
        <v>7320</v>
      </c>
      <c r="F172" s="1546"/>
    </row>
    <row r="173" spans="1:6" s="1522" customFormat="1" ht="14.25" customHeight="1" thickBot="1">
      <c r="A173" s="1534" t="s">
        <v>1891</v>
      </c>
      <c r="B173" s="1528" t="s">
        <v>1713</v>
      </c>
      <c r="C173" s="1528">
        <v>6860</v>
      </c>
      <c r="D173" s="1528">
        <v>6810</v>
      </c>
      <c r="E173" s="1528">
        <v>7440</v>
      </c>
      <c r="F173" s="1546"/>
    </row>
    <row r="174" spans="1:6" s="1522" customFormat="1" ht="14.25" customHeight="1" thickBot="1">
      <c r="A174" s="1534" t="s">
        <v>1891</v>
      </c>
      <c r="B174" s="1528" t="s">
        <v>1723</v>
      </c>
      <c r="C174" s="1528">
        <v>7120</v>
      </c>
      <c r="D174" s="1528">
        <v>7090</v>
      </c>
      <c r="E174" s="1528">
        <v>7500</v>
      </c>
      <c r="F174" s="1542">
        <v>1490</v>
      </c>
    </row>
    <row r="175" spans="1:6" s="1522" customFormat="1" ht="14.25" customHeight="1" thickBot="1">
      <c r="A175" s="1534" t="s">
        <v>1891</v>
      </c>
      <c r="B175" s="1528" t="s">
        <v>1733</v>
      </c>
      <c r="C175" s="1528">
        <v>7850</v>
      </c>
      <c r="D175" s="1528">
        <v>7820</v>
      </c>
      <c r="E175" s="1528">
        <v>8120</v>
      </c>
      <c r="F175" s="1542">
        <v>1530</v>
      </c>
    </row>
    <row r="176" spans="1:6" s="1522" customFormat="1" ht="14.25" customHeight="1" thickBot="1">
      <c r="A176" s="1534" t="s">
        <v>1891</v>
      </c>
      <c r="B176" s="1528" t="s">
        <v>1743</v>
      </c>
      <c r="C176" s="1528">
        <v>7620</v>
      </c>
      <c r="D176" s="1528">
        <v>7570</v>
      </c>
      <c r="E176" s="1528">
        <v>7990</v>
      </c>
      <c r="F176" s="1542">
        <v>1480</v>
      </c>
    </row>
    <row r="177" spans="1:6" s="1522" customFormat="1" ht="14.25" customHeight="1" thickBot="1">
      <c r="A177" s="1534" t="s">
        <v>1891</v>
      </c>
      <c r="B177" s="1528" t="s">
        <v>1752</v>
      </c>
      <c r="C177" s="1528">
        <v>8590</v>
      </c>
      <c r="D177" s="1528">
        <v>8570</v>
      </c>
      <c r="E177" s="1528">
        <v>8740</v>
      </c>
      <c r="F177" s="1542">
        <v>1540</v>
      </c>
    </row>
    <row r="178" spans="1:6" s="1522" customFormat="1" ht="14.25" customHeight="1" thickBot="1">
      <c r="A178" s="1534" t="s">
        <v>1891</v>
      </c>
      <c r="B178" s="1528" t="s">
        <v>1761</v>
      </c>
      <c r="C178" s="1528">
        <v>7510</v>
      </c>
      <c r="D178" s="1528">
        <v>7470</v>
      </c>
      <c r="E178" s="1528">
        <v>8090</v>
      </c>
      <c r="F178" s="1542">
        <v>1320</v>
      </c>
    </row>
    <row r="179" spans="1:6" s="1522" customFormat="1" ht="14.25" customHeight="1" thickBot="1">
      <c r="A179" s="1534" t="s">
        <v>1891</v>
      </c>
      <c r="B179" s="1528" t="s">
        <v>1769</v>
      </c>
      <c r="C179" s="1528">
        <v>6380</v>
      </c>
      <c r="D179" s="1528">
        <v>6340</v>
      </c>
      <c r="E179" s="1528">
        <v>6810</v>
      </c>
      <c r="F179" s="1546"/>
    </row>
    <row r="180" spans="1:6" s="1522" customFormat="1" ht="14.25" customHeight="1" thickBot="1">
      <c r="A180" s="1534" t="s">
        <v>1891</v>
      </c>
      <c r="B180" s="1528" t="s">
        <v>1776</v>
      </c>
      <c r="C180" s="1528">
        <v>7830</v>
      </c>
      <c r="D180" s="1528">
        <v>7800</v>
      </c>
      <c r="E180" s="1528">
        <v>7780</v>
      </c>
      <c r="F180" s="1542">
        <v>1440</v>
      </c>
    </row>
    <row r="181" spans="1:6" s="1522" customFormat="1" ht="14.25" customHeight="1" thickBot="1">
      <c r="A181" s="1534" t="s">
        <v>1891</v>
      </c>
      <c r="B181" s="1528" t="s">
        <v>1783</v>
      </c>
      <c r="C181" s="1528">
        <v>7110</v>
      </c>
      <c r="D181" s="1528">
        <v>7080</v>
      </c>
      <c r="E181" s="1528">
        <v>7730</v>
      </c>
      <c r="F181" s="1542">
        <v>1350</v>
      </c>
    </row>
    <row r="182" spans="1:6" s="1522" customFormat="1" ht="14.25" customHeight="1" thickBot="1">
      <c r="A182" s="1534" t="s">
        <v>1891</v>
      </c>
      <c r="B182" s="1528" t="s">
        <v>1790</v>
      </c>
      <c r="C182" s="1528">
        <v>7310</v>
      </c>
      <c r="D182" s="1528">
        <v>7280</v>
      </c>
      <c r="E182" s="1528">
        <v>7950</v>
      </c>
      <c r="F182" s="1542">
        <v>1220</v>
      </c>
    </row>
    <row r="183" spans="1:6" s="1522" customFormat="1" ht="14.25" customHeight="1" thickBot="1">
      <c r="A183" s="1534" t="s">
        <v>1891</v>
      </c>
      <c r="B183" s="1528" t="s">
        <v>1797</v>
      </c>
      <c r="C183" s="1528">
        <v>7470</v>
      </c>
      <c r="D183" s="1528">
        <v>7440</v>
      </c>
      <c r="E183" s="1528">
        <v>7880</v>
      </c>
      <c r="F183" s="1546"/>
    </row>
    <row r="184" spans="1:6" s="1522" customFormat="1" ht="14.25" customHeight="1" thickBot="1">
      <c r="A184" s="1534" t="s">
        <v>1891</v>
      </c>
      <c r="B184" s="1528" t="s">
        <v>1804</v>
      </c>
      <c r="C184" s="1528">
        <v>6960</v>
      </c>
      <c r="D184" s="1528">
        <v>6930</v>
      </c>
      <c r="E184" s="1528">
        <v>7570</v>
      </c>
      <c r="F184" s="1546"/>
    </row>
    <row r="185" spans="1:6" s="1522" customFormat="1" ht="14.25" customHeight="1" thickBot="1">
      <c r="A185" s="1534" t="s">
        <v>1891</v>
      </c>
      <c r="B185" s="1528" t="s">
        <v>1811</v>
      </c>
      <c r="C185" s="1528">
        <v>7260</v>
      </c>
      <c r="D185" s="1528">
        <v>7230</v>
      </c>
      <c r="E185" s="1528">
        <v>7710</v>
      </c>
      <c r="F185" s="1542">
        <v>1360</v>
      </c>
    </row>
    <row r="186" spans="1:6" s="1522" customFormat="1" ht="14.25" customHeight="1" thickBot="1">
      <c r="A186" s="1534" t="s">
        <v>1891</v>
      </c>
      <c r="B186" s="1528" t="s">
        <v>1816</v>
      </c>
      <c r="C186" s="1528"/>
      <c r="D186" s="1528"/>
      <c r="E186" s="1528"/>
      <c r="F186" s="1542">
        <v>1560</v>
      </c>
    </row>
    <row r="187" spans="1:6" s="1522" customFormat="1" ht="14.25" customHeight="1" thickBot="1">
      <c r="A187" s="1534" t="s">
        <v>1891</v>
      </c>
      <c r="B187" s="1528" t="s">
        <v>1820</v>
      </c>
      <c r="C187" s="1528"/>
      <c r="D187" s="1528"/>
      <c r="E187" s="1528"/>
      <c r="F187" s="1542">
        <v>1560</v>
      </c>
    </row>
    <row r="188" spans="1:6" s="1522" customFormat="1" ht="14.25" customHeight="1" thickBot="1">
      <c r="A188" s="1534" t="s">
        <v>1891</v>
      </c>
      <c r="B188" s="1528" t="s">
        <v>1825</v>
      </c>
      <c r="C188" s="1528"/>
      <c r="D188" s="1528"/>
      <c r="E188" s="1528"/>
      <c r="F188" s="1542">
        <v>1560</v>
      </c>
    </row>
    <row r="189" spans="1:6" s="1522" customFormat="1" ht="14.25" customHeight="1" thickBot="1">
      <c r="A189" s="1534" t="s">
        <v>1891</v>
      </c>
      <c r="B189" s="1528" t="s">
        <v>1830</v>
      </c>
      <c r="C189" s="1528"/>
      <c r="D189" s="1528"/>
      <c r="E189" s="1528"/>
      <c r="F189" s="1542">
        <v>1320</v>
      </c>
    </row>
    <row r="190" spans="1:6" s="1522" customFormat="1" ht="14.25" customHeight="1" thickBot="1">
      <c r="A190" s="1534" t="s">
        <v>1891</v>
      </c>
      <c r="B190" s="1528" t="s">
        <v>1835</v>
      </c>
      <c r="C190" s="1528"/>
      <c r="D190" s="1528"/>
      <c r="E190" s="1528"/>
      <c r="F190" s="1542">
        <v>1320</v>
      </c>
    </row>
    <row r="191" spans="1:6" s="1522" customFormat="1" ht="14.25" customHeight="1" thickBot="1">
      <c r="A191" s="1534" t="s">
        <v>1891</v>
      </c>
      <c r="B191" s="1528" t="s">
        <v>1840</v>
      </c>
      <c r="C191" s="1528"/>
      <c r="D191" s="1528"/>
      <c r="E191" s="1528"/>
      <c r="F191" s="1542">
        <v>1320</v>
      </c>
    </row>
    <row r="192" spans="1:6" s="1522" customFormat="1" ht="14.25" customHeight="1" thickBot="1">
      <c r="A192" s="1534" t="s">
        <v>1891</v>
      </c>
      <c r="B192" s="1528" t="s">
        <v>1844</v>
      </c>
      <c r="C192" s="1528"/>
      <c r="D192" s="1528"/>
      <c r="E192" s="1528"/>
      <c r="F192" s="1542">
        <v>1100</v>
      </c>
    </row>
    <row r="193" spans="1:6" s="1522" customFormat="1" ht="14.25" customHeight="1" thickBot="1">
      <c r="A193" s="1534" t="s">
        <v>1891</v>
      </c>
      <c r="B193" s="1528" t="s">
        <v>1848</v>
      </c>
      <c r="C193" s="1528"/>
      <c r="D193" s="1528"/>
      <c r="E193" s="1528"/>
      <c r="F193" s="1542">
        <v>1100</v>
      </c>
    </row>
    <row r="194" spans="1:6" s="1522" customFormat="1" ht="14.25" customHeight="1" thickBot="1">
      <c r="A194" s="1534" t="s">
        <v>1891</v>
      </c>
      <c r="B194" s="1528" t="s">
        <v>1852</v>
      </c>
      <c r="C194" s="1528"/>
      <c r="D194" s="1528"/>
      <c r="E194" s="1528"/>
      <c r="F194" s="1542">
        <v>1080</v>
      </c>
    </row>
    <row r="195" spans="1:6" s="1522" customFormat="1" ht="14.25" customHeight="1" thickBot="1">
      <c r="A195" s="1534" t="s">
        <v>1891</v>
      </c>
      <c r="B195" s="1528" t="s">
        <v>1856</v>
      </c>
      <c r="C195" s="1528"/>
      <c r="D195" s="1528"/>
      <c r="E195" s="1528"/>
      <c r="F195" s="1542">
        <v>1270</v>
      </c>
    </row>
    <row r="196" spans="1:6" s="1522" customFormat="1" ht="14.25" customHeight="1" thickBot="1">
      <c r="A196" s="1534" t="s">
        <v>1891</v>
      </c>
      <c r="B196" s="1528" t="s">
        <v>1860</v>
      </c>
      <c r="C196" s="1528"/>
      <c r="D196" s="1528"/>
      <c r="E196" s="1528"/>
      <c r="F196" s="1542">
        <v>1150</v>
      </c>
    </row>
    <row r="197" spans="1:6" s="1522" customFormat="1" ht="14.25" customHeight="1" thickBot="1">
      <c r="A197" s="1534" t="s">
        <v>1891</v>
      </c>
      <c r="B197" s="1528" t="s">
        <v>1864</v>
      </c>
      <c r="C197" s="1528"/>
      <c r="D197" s="1528"/>
      <c r="E197" s="1528"/>
      <c r="F197" s="1542">
        <v>1330</v>
      </c>
    </row>
    <row r="198" spans="1:6" s="1522" customFormat="1" ht="14.25" customHeight="1" thickBot="1">
      <c r="A198" s="1534" t="s">
        <v>1891</v>
      </c>
      <c r="B198" s="1528" t="s">
        <v>1867</v>
      </c>
      <c r="C198" s="1528"/>
      <c r="D198" s="1528"/>
      <c r="E198" s="1528"/>
      <c r="F198" s="1542">
        <v>1170</v>
      </c>
    </row>
    <row r="199" spans="1:6" s="1522" customFormat="1" ht="14.25" customHeight="1" thickBot="1">
      <c r="A199" s="1534" t="s">
        <v>1891</v>
      </c>
      <c r="B199" s="1528" t="s">
        <v>1870</v>
      </c>
      <c r="C199" s="1528"/>
      <c r="D199" s="1528"/>
      <c r="E199" s="1528"/>
      <c r="F199" s="1542">
        <v>1120</v>
      </c>
    </row>
    <row r="200" spans="1:6" s="1522" customFormat="1" ht="14.25" customHeight="1" thickBot="1">
      <c r="A200" s="1534" t="s">
        <v>1891</v>
      </c>
      <c r="B200" s="1528" t="s">
        <v>1873</v>
      </c>
      <c r="C200" s="1528"/>
      <c r="D200" s="1528"/>
      <c r="E200" s="1528"/>
      <c r="F200" s="1542">
        <v>1120</v>
      </c>
    </row>
    <row r="201" spans="1:6" s="1522" customFormat="1" ht="14.25" customHeight="1" thickBot="1">
      <c r="A201" s="1534" t="s">
        <v>1891</v>
      </c>
      <c r="B201" s="1528" t="s">
        <v>1876</v>
      </c>
      <c r="C201" s="1528"/>
      <c r="D201" s="1528"/>
      <c r="E201" s="1528"/>
      <c r="F201" s="1542">
        <v>1540</v>
      </c>
    </row>
    <row r="202" spans="1:6" s="1522" customFormat="1" ht="14.25" customHeight="1" thickBot="1">
      <c r="A202" s="1534" t="s">
        <v>1891</v>
      </c>
      <c r="B202" s="1528" t="s">
        <v>1879</v>
      </c>
      <c r="C202" s="1528"/>
      <c r="D202" s="1528"/>
      <c r="E202" s="1528"/>
      <c r="F202" s="1542">
        <v>1310</v>
      </c>
    </row>
    <row r="203" spans="1:6" s="1522" customFormat="1" ht="14.25" customHeight="1" thickBot="1">
      <c r="A203" s="1534" t="s">
        <v>1891</v>
      </c>
      <c r="B203" s="1528" t="s">
        <v>1882</v>
      </c>
      <c r="C203" s="1528"/>
      <c r="D203" s="1528"/>
      <c r="E203" s="1528"/>
      <c r="F203" s="1542">
        <v>1310</v>
      </c>
    </row>
    <row r="204" spans="1:6" s="1522" customFormat="1" ht="14.25" customHeight="1" thickBot="1">
      <c r="A204" s="1534" t="s">
        <v>1891</v>
      </c>
      <c r="B204" s="1528" t="s">
        <v>1884</v>
      </c>
      <c r="C204" s="1528"/>
      <c r="D204" s="1528"/>
      <c r="E204" s="1528"/>
      <c r="F204" s="1542">
        <v>1080</v>
      </c>
    </row>
    <row r="205" spans="1:6" s="1522" customFormat="1" ht="14.25" customHeight="1" thickBot="1">
      <c r="A205" s="1534" t="s">
        <v>1891</v>
      </c>
      <c r="B205" s="1528" t="s">
        <v>1887</v>
      </c>
      <c r="C205" s="1528"/>
      <c r="D205" s="1528"/>
      <c r="E205" s="1528"/>
      <c r="F205" s="1542">
        <v>1080</v>
      </c>
    </row>
    <row r="206" spans="1:6" s="1522" customFormat="1" ht="14.25" customHeight="1" thickBot="1">
      <c r="A206" s="1534" t="s">
        <v>1893</v>
      </c>
      <c r="B206" s="1535" t="s">
        <v>1894</v>
      </c>
      <c r="C206" s="1535">
        <v>5450</v>
      </c>
      <c r="D206" s="1535">
        <v>5430</v>
      </c>
      <c r="E206" s="1535">
        <v>5700</v>
      </c>
      <c r="F206" s="1536">
        <v>1020</v>
      </c>
    </row>
    <row r="207" spans="1:6" s="1522" customFormat="1" ht="14.25" customHeight="1" thickBot="1">
      <c r="A207" s="1534" t="s">
        <v>1893</v>
      </c>
      <c r="B207" s="1528" t="s">
        <v>1559</v>
      </c>
      <c r="C207" s="1528">
        <v>5860</v>
      </c>
      <c r="D207" s="1528">
        <v>5820</v>
      </c>
      <c r="E207" s="1528">
        <v>6050</v>
      </c>
      <c r="F207" s="1542">
        <v>1080</v>
      </c>
    </row>
    <row r="208" spans="1:6" s="1522" customFormat="1" ht="14.25" customHeight="1" thickBot="1">
      <c r="A208" s="1534" t="s">
        <v>1893</v>
      </c>
      <c r="B208" s="1528" t="s">
        <v>1572</v>
      </c>
      <c r="C208" s="1528">
        <v>4630</v>
      </c>
      <c r="D208" s="1528">
        <v>4600</v>
      </c>
      <c r="E208" s="1528">
        <v>4840</v>
      </c>
      <c r="F208" s="1542">
        <v>900</v>
      </c>
    </row>
    <row r="209" spans="1:6" s="1522" customFormat="1" ht="14.25" customHeight="1" thickBot="1">
      <c r="A209" s="1534" t="s">
        <v>1893</v>
      </c>
      <c r="B209" s="1528" t="s">
        <v>1585</v>
      </c>
      <c r="C209" s="1528">
        <v>5320</v>
      </c>
      <c r="D209" s="1528">
        <v>5270</v>
      </c>
      <c r="E209" s="1528">
        <v>5540</v>
      </c>
      <c r="F209" s="1542">
        <v>980</v>
      </c>
    </row>
    <row r="210" spans="1:6" s="1522" customFormat="1" ht="14.25" customHeight="1" thickBot="1">
      <c r="A210" s="1534" t="s">
        <v>1893</v>
      </c>
      <c r="B210" s="1528" t="s">
        <v>1597</v>
      </c>
      <c r="C210" s="1528">
        <v>5760</v>
      </c>
      <c r="D210" s="1528">
        <v>5710</v>
      </c>
      <c r="E210" s="1528">
        <v>6010</v>
      </c>
      <c r="F210" s="1542">
        <v>870</v>
      </c>
    </row>
    <row r="211" spans="1:6" s="1522" customFormat="1" ht="14.25" customHeight="1" thickBot="1">
      <c r="A211" s="1534" t="s">
        <v>1893</v>
      </c>
      <c r="B211" s="1528" t="s">
        <v>1608</v>
      </c>
      <c r="C211" s="1528">
        <v>4160</v>
      </c>
      <c r="D211" s="1528">
        <v>4100</v>
      </c>
      <c r="E211" s="1528">
        <v>4270</v>
      </c>
      <c r="F211" s="1542">
        <v>790</v>
      </c>
    </row>
    <row r="212" spans="1:6" s="1522" customFormat="1" ht="14.25" customHeight="1" thickBot="1">
      <c r="A212" s="1534" t="s">
        <v>1893</v>
      </c>
      <c r="B212" s="1528" t="s">
        <v>1619</v>
      </c>
      <c r="C212" s="1528">
        <v>4880</v>
      </c>
      <c r="D212" s="1528">
        <v>4850</v>
      </c>
      <c r="E212" s="1528">
        <v>5110</v>
      </c>
      <c r="F212" s="1542">
        <v>940</v>
      </c>
    </row>
    <row r="213" spans="1:6" s="1522" customFormat="1" ht="14.25" customHeight="1" thickBot="1">
      <c r="A213" s="1534" t="s">
        <v>1893</v>
      </c>
      <c r="B213" s="1528" t="s">
        <v>1630</v>
      </c>
      <c r="C213" s="1528">
        <v>4640</v>
      </c>
      <c r="D213" s="1528">
        <v>4590</v>
      </c>
      <c r="E213" s="1528">
        <v>4700</v>
      </c>
      <c r="F213" s="1542">
        <v>1030</v>
      </c>
    </row>
    <row r="214" spans="1:6" s="1522" customFormat="1" ht="14.25" customHeight="1" thickBot="1">
      <c r="A214" s="1534" t="s">
        <v>1893</v>
      </c>
      <c r="B214" s="1528" t="s">
        <v>1642</v>
      </c>
      <c r="C214" s="1528">
        <v>4540</v>
      </c>
      <c r="D214" s="1528">
        <v>4490</v>
      </c>
      <c r="E214" s="1528">
        <v>4610</v>
      </c>
      <c r="F214" s="1546"/>
    </row>
    <row r="215" spans="1:6" s="1522" customFormat="1" ht="14.25" customHeight="1" thickBot="1">
      <c r="A215" s="1534" t="s">
        <v>1893</v>
      </c>
      <c r="B215" s="1528" t="s">
        <v>1652</v>
      </c>
      <c r="C215" s="1528">
        <v>5280</v>
      </c>
      <c r="D215" s="1528">
        <v>5250</v>
      </c>
      <c r="E215" s="1528">
        <v>5520</v>
      </c>
      <c r="F215" s="1542">
        <v>1000</v>
      </c>
    </row>
    <row r="216" spans="1:6" s="1522" customFormat="1" ht="14.25" customHeight="1" thickBot="1">
      <c r="A216" s="1534" t="s">
        <v>1893</v>
      </c>
      <c r="B216" s="1528" t="s">
        <v>1662</v>
      </c>
      <c r="C216" s="1528">
        <v>5100</v>
      </c>
      <c r="D216" s="1528">
        <v>5050</v>
      </c>
      <c r="E216" s="1528">
        <v>5300</v>
      </c>
      <c r="F216" s="1542">
        <v>950</v>
      </c>
    </row>
    <row r="217" spans="1:6" s="1522" customFormat="1" ht="14.25" customHeight="1" thickBot="1">
      <c r="A217" s="1534" t="s">
        <v>1893</v>
      </c>
      <c r="B217" s="1528" t="s">
        <v>1672</v>
      </c>
      <c r="C217" s="1528">
        <v>5370</v>
      </c>
      <c r="D217" s="1528">
        <v>5320</v>
      </c>
      <c r="E217" s="1528">
        <v>5410</v>
      </c>
      <c r="F217" s="1542">
        <v>950</v>
      </c>
    </row>
    <row r="218" spans="1:6" s="1522" customFormat="1" ht="14.25" customHeight="1" thickBot="1">
      <c r="A218" s="1534" t="s">
        <v>1893</v>
      </c>
      <c r="B218" s="1528" t="s">
        <v>1682</v>
      </c>
      <c r="C218" s="1528">
        <v>5540</v>
      </c>
      <c r="D218" s="1528">
        <v>5480</v>
      </c>
      <c r="E218" s="1528">
        <v>5740</v>
      </c>
      <c r="F218" s="1542">
        <v>1020</v>
      </c>
    </row>
    <row r="219" spans="1:6" s="1522" customFormat="1" ht="14.25" customHeight="1" thickBot="1">
      <c r="A219" s="1534" t="s">
        <v>1893</v>
      </c>
      <c r="B219" s="1528" t="s">
        <v>1693</v>
      </c>
      <c r="C219" s="1528">
        <v>5140</v>
      </c>
      <c r="D219" s="1528">
        <v>5100</v>
      </c>
      <c r="E219" s="1528">
        <v>5350</v>
      </c>
      <c r="F219" s="1542">
        <v>1120</v>
      </c>
    </row>
    <row r="220" spans="1:6" s="1522" customFormat="1" ht="14.25" customHeight="1" thickBot="1">
      <c r="A220" s="1534" t="s">
        <v>1893</v>
      </c>
      <c r="B220" s="1528" t="s">
        <v>1704</v>
      </c>
      <c r="C220" s="1528">
        <v>5040</v>
      </c>
      <c r="D220" s="1528">
        <v>5000</v>
      </c>
      <c r="E220" s="1528">
        <v>5240</v>
      </c>
      <c r="F220" s="1542">
        <v>980</v>
      </c>
    </row>
    <row r="221" spans="1:6" s="1522" customFormat="1" ht="14.25" customHeight="1" thickBot="1">
      <c r="A221" s="1534" t="s">
        <v>1893</v>
      </c>
      <c r="B221" s="1528" t="s">
        <v>1714</v>
      </c>
      <c r="C221" s="1547"/>
      <c r="D221" s="1547"/>
      <c r="E221" s="1547"/>
      <c r="F221" s="1542">
        <v>1070</v>
      </c>
    </row>
    <row r="222" spans="1:6" s="1522" customFormat="1" ht="14.25" customHeight="1" thickBot="1">
      <c r="A222" s="1534" t="s">
        <v>1893</v>
      </c>
      <c r="B222" s="1528" t="s">
        <v>1724</v>
      </c>
      <c r="C222" s="1547"/>
      <c r="D222" s="1547"/>
      <c r="E222" s="1547"/>
      <c r="F222" s="1542">
        <v>870</v>
      </c>
    </row>
    <row r="223" spans="1:6" s="1522" customFormat="1" ht="14.25" customHeight="1" thickBot="1">
      <c r="A223" s="1534" t="s">
        <v>1893</v>
      </c>
      <c r="B223" s="1528" t="s">
        <v>1734</v>
      </c>
      <c r="C223" s="1547"/>
      <c r="D223" s="1547"/>
      <c r="E223" s="1547"/>
      <c r="F223" s="1542">
        <v>940</v>
      </c>
    </row>
    <row r="224" spans="1:6" s="1522" customFormat="1" ht="14.25" customHeight="1" thickBot="1">
      <c r="A224" s="1534" t="s">
        <v>1893</v>
      </c>
      <c r="B224" s="1528" t="s">
        <v>1744</v>
      </c>
      <c r="C224" s="1547"/>
      <c r="D224" s="1547"/>
      <c r="E224" s="1547"/>
      <c r="F224" s="1542">
        <v>990</v>
      </c>
    </row>
    <row r="225" spans="1:6" s="1522" customFormat="1" ht="14.25" customHeight="1" thickBot="1">
      <c r="A225" s="1534" t="s">
        <v>1893</v>
      </c>
      <c r="B225" s="1528" t="s">
        <v>1753</v>
      </c>
      <c r="C225" s="1528">
        <v>5730</v>
      </c>
      <c r="D225" s="1528">
        <v>5680</v>
      </c>
      <c r="E225" s="1528">
        <v>6020</v>
      </c>
      <c r="F225" s="1542">
        <v>1000</v>
      </c>
    </row>
    <row r="226" spans="1:6" s="1522" customFormat="1" ht="14.25" customHeight="1" thickBot="1">
      <c r="A226" s="1534" t="s">
        <v>1893</v>
      </c>
      <c r="B226" s="1528" t="s">
        <v>1762</v>
      </c>
      <c r="C226" s="1528">
        <v>4970</v>
      </c>
      <c r="D226" s="1528">
        <v>4940</v>
      </c>
      <c r="E226" s="1528">
        <v>5180</v>
      </c>
      <c r="F226" s="1542">
        <v>960</v>
      </c>
    </row>
    <row r="227" spans="1:6" s="1522" customFormat="1" ht="14.25" customHeight="1" thickBot="1">
      <c r="A227" s="1534" t="s">
        <v>1893</v>
      </c>
      <c r="B227" s="1528" t="s">
        <v>1770</v>
      </c>
      <c r="C227" s="1528">
        <v>5550</v>
      </c>
      <c r="D227" s="1528">
        <v>5500</v>
      </c>
      <c r="E227" s="1528">
        <v>5780</v>
      </c>
      <c r="F227" s="1542">
        <v>940</v>
      </c>
    </row>
    <row r="228" spans="1:6" s="1522" customFormat="1" ht="14.25" customHeight="1" thickBot="1">
      <c r="A228" s="1534" t="s">
        <v>1893</v>
      </c>
      <c r="B228" s="1528" t="s">
        <v>1777</v>
      </c>
      <c r="C228" s="1528">
        <v>5460</v>
      </c>
      <c r="D228" s="1528">
        <v>5420</v>
      </c>
      <c r="E228" s="1528">
        <v>5690</v>
      </c>
      <c r="F228" s="1542">
        <v>910</v>
      </c>
    </row>
    <row r="229" spans="1:6" s="1522" customFormat="1" ht="14.25" customHeight="1" thickBot="1">
      <c r="A229" s="1534" t="s">
        <v>1893</v>
      </c>
      <c r="B229" s="1528" t="s">
        <v>1784</v>
      </c>
      <c r="C229" s="1528">
        <v>5310</v>
      </c>
      <c r="D229" s="1528">
        <v>5270</v>
      </c>
      <c r="E229" s="1528">
        <v>5510</v>
      </c>
      <c r="F229" s="1546"/>
    </row>
    <row r="230" spans="1:6" s="1522" customFormat="1" ht="14.25" customHeight="1" thickBot="1">
      <c r="A230" s="1534" t="s">
        <v>1893</v>
      </c>
      <c r="B230" s="1528" t="s">
        <v>1791</v>
      </c>
      <c r="C230" s="1528">
        <v>4540</v>
      </c>
      <c r="D230" s="1528">
        <v>4500</v>
      </c>
      <c r="E230" s="1528">
        <v>4730</v>
      </c>
      <c r="F230" s="1546"/>
    </row>
    <row r="231" spans="1:6" s="1522" customFormat="1" ht="14.25" customHeight="1" thickBot="1">
      <c r="A231" s="1534" t="s">
        <v>1893</v>
      </c>
      <c r="B231" s="1528" t="s">
        <v>1798</v>
      </c>
      <c r="C231" s="1528">
        <v>4480</v>
      </c>
      <c r="D231" s="1528">
        <v>4410</v>
      </c>
      <c r="E231" s="1528">
        <v>4640</v>
      </c>
      <c r="F231" s="1546"/>
    </row>
    <row r="232" spans="1:6" s="1522" customFormat="1" ht="14.25" customHeight="1" thickBot="1">
      <c r="A232" s="1534" t="s">
        <v>1893</v>
      </c>
      <c r="B232" s="1528" t="s">
        <v>1805</v>
      </c>
      <c r="C232" s="1528">
        <v>5670</v>
      </c>
      <c r="D232" s="1528">
        <v>5600</v>
      </c>
      <c r="E232" s="1528">
        <v>5890</v>
      </c>
      <c r="F232" s="1542">
        <v>1150</v>
      </c>
    </row>
    <row r="233" spans="1:6" s="1522" customFormat="1" ht="14.25" customHeight="1" thickBot="1">
      <c r="A233" s="1534" t="s">
        <v>1893</v>
      </c>
      <c r="B233" s="1528" t="s">
        <v>1812</v>
      </c>
      <c r="C233" s="1528">
        <v>4590</v>
      </c>
      <c r="D233" s="1528">
        <v>4500</v>
      </c>
      <c r="E233" s="1528">
        <v>4600</v>
      </c>
      <c r="F233" s="1546"/>
    </row>
    <row r="234" spans="1:6" s="1522" customFormat="1" ht="14.25" customHeight="1" thickBot="1">
      <c r="A234" s="1534" t="s">
        <v>1893</v>
      </c>
      <c r="B234" s="1528" t="s">
        <v>2891</v>
      </c>
      <c r="C234" s="1528">
        <v>3990</v>
      </c>
      <c r="D234" s="1528">
        <v>3950</v>
      </c>
      <c r="E234" s="1528">
        <v>4180</v>
      </c>
      <c r="F234" s="1546"/>
    </row>
    <row r="235" spans="1:6" s="1522" customFormat="1" ht="14.25" customHeight="1" thickBot="1">
      <c r="A235" s="1534" t="s">
        <v>1893</v>
      </c>
      <c r="B235" s="1528" t="s">
        <v>1821</v>
      </c>
      <c r="C235" s="1528">
        <v>5590</v>
      </c>
      <c r="D235" s="1528">
        <v>5540</v>
      </c>
      <c r="E235" s="1528">
        <v>5810</v>
      </c>
      <c r="F235" s="1542">
        <v>970</v>
      </c>
    </row>
    <row r="236" spans="1:6" s="1522" customFormat="1" ht="14.25" customHeight="1" thickBot="1">
      <c r="A236" s="1534" t="s">
        <v>1893</v>
      </c>
      <c r="B236" s="1528" t="s">
        <v>1826</v>
      </c>
      <c r="C236" s="1528"/>
      <c r="D236" s="1528"/>
      <c r="E236" s="1528"/>
      <c r="F236" s="1542">
        <v>1020</v>
      </c>
    </row>
    <row r="237" spans="1:6" s="1522" customFormat="1" ht="14.25" customHeight="1" thickBot="1">
      <c r="A237" s="1534" t="s">
        <v>1893</v>
      </c>
      <c r="B237" s="1528" t="s">
        <v>1831</v>
      </c>
      <c r="C237" s="1528"/>
      <c r="D237" s="1528"/>
      <c r="E237" s="1528"/>
      <c r="F237" s="1542">
        <v>960</v>
      </c>
    </row>
    <row r="238" spans="1:6" s="1522" customFormat="1" ht="14.25" customHeight="1" thickBot="1">
      <c r="A238" s="1534" t="s">
        <v>1893</v>
      </c>
      <c r="B238" s="1528" t="s">
        <v>1836</v>
      </c>
      <c r="C238" s="1528"/>
      <c r="D238" s="1528"/>
      <c r="E238" s="1528"/>
      <c r="F238" s="1542">
        <v>960</v>
      </c>
    </row>
    <row r="239" spans="1:6" s="1522" customFormat="1" ht="14.25" customHeight="1" thickBot="1">
      <c r="A239" s="1534" t="s">
        <v>1893</v>
      </c>
      <c r="B239" s="1528" t="s">
        <v>1841</v>
      </c>
      <c r="C239" s="1528"/>
      <c r="D239" s="1528"/>
      <c r="E239" s="1528"/>
      <c r="F239" s="1542">
        <v>960</v>
      </c>
    </row>
    <row r="240" spans="1:6" s="1522" customFormat="1" ht="14.25" customHeight="1" thickBot="1">
      <c r="A240" s="1534" t="s">
        <v>1893</v>
      </c>
      <c r="B240" s="1528" t="s">
        <v>1845</v>
      </c>
      <c r="C240" s="1528"/>
      <c r="D240" s="1528"/>
      <c r="E240" s="1528"/>
      <c r="F240" s="1542">
        <v>990</v>
      </c>
    </row>
    <row r="241" spans="1:6" s="1522" customFormat="1" ht="14.25" customHeight="1" thickBot="1">
      <c r="A241" s="1534" t="s">
        <v>1893</v>
      </c>
      <c r="B241" s="1528" t="s">
        <v>1849</v>
      </c>
      <c r="C241" s="1528"/>
      <c r="D241" s="1528"/>
      <c r="E241" s="1528"/>
      <c r="F241" s="1542">
        <v>1000</v>
      </c>
    </row>
    <row r="242" spans="1:6" s="1522" customFormat="1" ht="14.25" customHeight="1" thickBot="1">
      <c r="A242" s="1534" t="s">
        <v>1893</v>
      </c>
      <c r="B242" s="1528" t="s">
        <v>1853</v>
      </c>
      <c r="C242" s="1528"/>
      <c r="D242" s="1528"/>
      <c r="E242" s="1528"/>
      <c r="F242" s="1542">
        <v>980</v>
      </c>
    </row>
    <row r="243" spans="1:6" s="1522" customFormat="1" ht="14.25" customHeight="1" thickBot="1">
      <c r="A243" s="1534" t="s">
        <v>1893</v>
      </c>
      <c r="B243" s="1528" t="s">
        <v>1857</v>
      </c>
      <c r="C243" s="1528"/>
      <c r="D243" s="1528"/>
      <c r="E243" s="1528"/>
      <c r="F243" s="1542">
        <v>970</v>
      </c>
    </row>
    <row r="244" spans="1:6" s="1522" customFormat="1" ht="14.25" customHeight="1" thickBot="1">
      <c r="A244" s="1534" t="s">
        <v>1893</v>
      </c>
      <c r="B244" s="1540" t="s">
        <v>1861</v>
      </c>
      <c r="C244" s="1540"/>
      <c r="D244" s="1540"/>
      <c r="E244" s="1540"/>
      <c r="F244" s="1545">
        <v>970</v>
      </c>
    </row>
    <row r="245" spans="1:6" s="1522" customFormat="1" ht="14.25" customHeight="1" thickBot="1">
      <c r="A245" s="1534" t="s">
        <v>1895</v>
      </c>
      <c r="B245" s="1535" t="s">
        <v>1896</v>
      </c>
      <c r="C245" s="1535">
        <v>4050</v>
      </c>
      <c r="D245" s="1535">
        <v>4020</v>
      </c>
      <c r="E245" s="1535">
        <v>4160</v>
      </c>
      <c r="F245" s="1536">
        <v>840</v>
      </c>
    </row>
    <row r="246" spans="1:6" s="1522" customFormat="1" ht="14.25" customHeight="1" thickBot="1">
      <c r="A246" s="1534" t="s">
        <v>1895</v>
      </c>
      <c r="B246" s="1528" t="s">
        <v>1560</v>
      </c>
      <c r="C246" s="1528">
        <v>4010</v>
      </c>
      <c r="D246" s="1528">
        <v>3960</v>
      </c>
      <c r="E246" s="1528">
        <v>4130</v>
      </c>
      <c r="F246" s="1542">
        <v>840</v>
      </c>
    </row>
    <row r="247" spans="1:6" s="1522" customFormat="1" ht="14.25" customHeight="1" thickBot="1">
      <c r="A247" s="1534" t="s">
        <v>1895</v>
      </c>
      <c r="B247" s="1528" t="s">
        <v>1897</v>
      </c>
      <c r="C247" s="1528">
        <v>3170</v>
      </c>
      <c r="D247" s="1528">
        <v>3140</v>
      </c>
      <c r="E247" s="1528">
        <v>3270</v>
      </c>
      <c r="F247" s="1542">
        <v>640</v>
      </c>
    </row>
    <row r="248" spans="1:6" s="1522" customFormat="1" ht="14.25" customHeight="1" thickBot="1">
      <c r="A248" s="1534" t="s">
        <v>1895</v>
      </c>
      <c r="B248" s="1528" t="s">
        <v>1898</v>
      </c>
      <c r="C248" s="1528">
        <v>3140</v>
      </c>
      <c r="D248" s="1528">
        <v>3120</v>
      </c>
      <c r="E248" s="1528">
        <v>3240</v>
      </c>
      <c r="F248" s="1542">
        <v>620</v>
      </c>
    </row>
    <row r="249" spans="1:6" s="1522" customFormat="1" ht="14.25" customHeight="1" thickBot="1">
      <c r="A249" s="1534" t="s">
        <v>1895</v>
      </c>
      <c r="B249" s="1528" t="s">
        <v>1598</v>
      </c>
      <c r="C249" s="1528">
        <v>3200</v>
      </c>
      <c r="D249" s="1528">
        <v>3100</v>
      </c>
      <c r="E249" s="1528">
        <v>3230</v>
      </c>
      <c r="F249" s="1542">
        <v>750</v>
      </c>
    </row>
    <row r="250" spans="1:6" s="1522" customFormat="1" ht="14.25" customHeight="1" thickBot="1">
      <c r="A250" s="1534" t="s">
        <v>1895</v>
      </c>
      <c r="B250" s="1528" t="s">
        <v>1609</v>
      </c>
      <c r="C250" s="1528">
        <v>4060</v>
      </c>
      <c r="D250" s="1528">
        <v>4000</v>
      </c>
      <c r="E250" s="1528">
        <v>4140</v>
      </c>
      <c r="F250" s="1542">
        <v>790</v>
      </c>
    </row>
    <row r="251" spans="1:6" s="1522" customFormat="1" ht="14.25" customHeight="1" thickBot="1">
      <c r="A251" s="1534" t="s">
        <v>1895</v>
      </c>
      <c r="B251" s="1528" t="s">
        <v>1620</v>
      </c>
      <c r="C251" s="1528">
        <v>3990</v>
      </c>
      <c r="D251" s="1528">
        <v>3970</v>
      </c>
      <c r="E251" s="1528">
        <v>4110</v>
      </c>
      <c r="F251" s="1542">
        <v>730</v>
      </c>
    </row>
    <row r="252" spans="1:6" s="1522" customFormat="1" ht="14.25" customHeight="1" thickBot="1">
      <c r="A252" s="1534" t="s">
        <v>1895</v>
      </c>
      <c r="B252" s="1528" t="s">
        <v>1631</v>
      </c>
      <c r="C252" s="1528">
        <v>3560</v>
      </c>
      <c r="D252" s="1528">
        <v>3530</v>
      </c>
      <c r="E252" s="1528">
        <v>3650</v>
      </c>
      <c r="F252" s="1542">
        <v>750</v>
      </c>
    </row>
    <row r="253" spans="1:6" s="1522" customFormat="1" ht="14.25" customHeight="1" thickBot="1">
      <c r="A253" s="1534" t="s">
        <v>1895</v>
      </c>
      <c r="B253" s="1528" t="s">
        <v>1643</v>
      </c>
      <c r="C253" s="1528">
        <v>3780</v>
      </c>
      <c r="D253" s="1528">
        <v>3750</v>
      </c>
      <c r="E253" s="1528">
        <v>3870</v>
      </c>
      <c r="F253" s="1542">
        <v>770</v>
      </c>
    </row>
    <row r="254" spans="1:6" s="1522" customFormat="1" ht="14.25" customHeight="1" thickBot="1">
      <c r="A254" s="1534" t="s">
        <v>1895</v>
      </c>
      <c r="B254" s="1528" t="s">
        <v>1653</v>
      </c>
      <c r="C254" s="1547"/>
      <c r="D254" s="1547"/>
      <c r="E254" s="1547"/>
      <c r="F254" s="1542">
        <v>740</v>
      </c>
    </row>
    <row r="255" spans="1:6" s="1522" customFormat="1" ht="14.25" customHeight="1" thickBot="1">
      <c r="A255" s="1534" t="s">
        <v>1895</v>
      </c>
      <c r="B255" s="1528" t="s">
        <v>1663</v>
      </c>
      <c r="C255" s="1547"/>
      <c r="D255" s="1547"/>
      <c r="E255" s="1547"/>
      <c r="F255" s="1542">
        <v>760</v>
      </c>
    </row>
    <row r="256" spans="1:6" s="1522" customFormat="1" ht="14.25" customHeight="1" thickBot="1">
      <c r="A256" s="1534" t="s">
        <v>1895</v>
      </c>
      <c r="B256" s="1528" t="s">
        <v>1673</v>
      </c>
      <c r="C256" s="1528">
        <v>3760</v>
      </c>
      <c r="D256" s="1528">
        <v>3730</v>
      </c>
      <c r="E256" s="1528">
        <v>3870</v>
      </c>
      <c r="F256" s="1542">
        <v>830</v>
      </c>
    </row>
    <row r="257" spans="1:6" s="1522" customFormat="1" ht="14.25" customHeight="1" thickBot="1">
      <c r="A257" s="1534" t="s">
        <v>1895</v>
      </c>
      <c r="B257" s="1528" t="s">
        <v>1683</v>
      </c>
      <c r="C257" s="1528">
        <v>3570</v>
      </c>
      <c r="D257" s="1528">
        <v>3540</v>
      </c>
      <c r="E257" s="1528">
        <v>3650</v>
      </c>
      <c r="F257" s="1542">
        <v>790</v>
      </c>
    </row>
    <row r="258" spans="1:6" s="1522" customFormat="1" ht="14.25" customHeight="1" thickBot="1">
      <c r="A258" s="1534" t="s">
        <v>1895</v>
      </c>
      <c r="B258" s="1528" t="s">
        <v>1694</v>
      </c>
      <c r="C258" s="1528">
        <v>3410</v>
      </c>
      <c r="D258" s="1528">
        <v>3380</v>
      </c>
      <c r="E258" s="1528">
        <v>3500</v>
      </c>
      <c r="F258" s="1542">
        <v>830</v>
      </c>
    </row>
    <row r="259" spans="1:6" s="1522" customFormat="1" ht="14.25" customHeight="1" thickBot="1">
      <c r="A259" s="1534" t="s">
        <v>1895</v>
      </c>
      <c r="B259" s="1528" t="s">
        <v>1705</v>
      </c>
      <c r="C259" s="1528">
        <v>3870</v>
      </c>
      <c r="D259" s="1528">
        <v>3840</v>
      </c>
      <c r="E259" s="1528">
        <v>3970</v>
      </c>
      <c r="F259" s="1542">
        <v>830</v>
      </c>
    </row>
    <row r="260" spans="1:6" s="1522" customFormat="1" ht="14.25" customHeight="1" thickBot="1">
      <c r="A260" s="1534" t="s">
        <v>1895</v>
      </c>
      <c r="B260" s="1528" t="s">
        <v>1715</v>
      </c>
      <c r="C260" s="1528">
        <v>3700</v>
      </c>
      <c r="D260" s="1528">
        <v>3660</v>
      </c>
      <c r="E260" s="1528">
        <v>3810</v>
      </c>
      <c r="F260" s="1542">
        <v>790</v>
      </c>
    </row>
    <row r="261" spans="1:6" s="1522" customFormat="1" ht="14.25" customHeight="1" thickBot="1">
      <c r="A261" s="1534" t="s">
        <v>1895</v>
      </c>
      <c r="B261" s="1528" t="s">
        <v>1725</v>
      </c>
      <c r="C261" s="1528">
        <v>3470</v>
      </c>
      <c r="D261" s="1528">
        <v>3430</v>
      </c>
      <c r="E261" s="1528">
        <v>3640</v>
      </c>
      <c r="F261" s="1542">
        <v>760</v>
      </c>
    </row>
    <row r="262" spans="1:6" s="1522" customFormat="1" ht="14.25" customHeight="1" thickBot="1">
      <c r="A262" s="1534" t="s">
        <v>1895</v>
      </c>
      <c r="B262" s="1528" t="s">
        <v>1735</v>
      </c>
      <c r="C262" s="1528">
        <v>3510</v>
      </c>
      <c r="D262" s="1528">
        <v>3470</v>
      </c>
      <c r="E262" s="1528">
        <v>3680</v>
      </c>
      <c r="F262" s="1546"/>
    </row>
    <row r="263" spans="1:6" s="1522" customFormat="1" ht="14.25" customHeight="1" thickBot="1">
      <c r="A263" s="1534" t="s">
        <v>1895</v>
      </c>
      <c r="B263" s="1528" t="s">
        <v>1745</v>
      </c>
      <c r="C263" s="1528">
        <v>3960</v>
      </c>
      <c r="D263" s="1528">
        <v>3930</v>
      </c>
      <c r="E263" s="1528">
        <v>4070</v>
      </c>
      <c r="F263" s="1542">
        <v>830</v>
      </c>
    </row>
    <row r="264" spans="1:6" s="1522" customFormat="1" ht="14.25" customHeight="1" thickBot="1">
      <c r="A264" s="1534" t="s">
        <v>1895</v>
      </c>
      <c r="B264" s="1528" t="s">
        <v>1754</v>
      </c>
      <c r="C264" s="1528">
        <v>4010</v>
      </c>
      <c r="D264" s="1528">
        <v>3980</v>
      </c>
      <c r="E264" s="1528">
        <v>4150</v>
      </c>
      <c r="F264" s="1542">
        <v>760</v>
      </c>
    </row>
    <row r="265" spans="1:6" s="1522" customFormat="1" ht="14.25" customHeight="1" thickBot="1">
      <c r="A265" s="1534" t="s">
        <v>1895</v>
      </c>
      <c r="B265" s="1528" t="s">
        <v>1763</v>
      </c>
      <c r="C265" s="1528">
        <v>3910</v>
      </c>
      <c r="D265" s="1528">
        <v>3890</v>
      </c>
      <c r="E265" s="1528">
        <v>4040</v>
      </c>
      <c r="F265" s="1542">
        <v>780</v>
      </c>
    </row>
    <row r="266" spans="1:6" s="1522" customFormat="1" ht="14.25" customHeight="1" thickBot="1">
      <c r="A266" s="1534" t="s">
        <v>1895</v>
      </c>
      <c r="B266" s="1528" t="s">
        <v>1771</v>
      </c>
      <c r="C266" s="1528">
        <v>3930</v>
      </c>
      <c r="D266" s="1528">
        <v>3900</v>
      </c>
      <c r="E266" s="1528">
        <v>4080</v>
      </c>
      <c r="F266" s="1542">
        <v>770</v>
      </c>
    </row>
    <row r="267" spans="1:6" s="1522" customFormat="1" ht="14.25" customHeight="1" thickBot="1">
      <c r="A267" s="1534" t="s">
        <v>1895</v>
      </c>
      <c r="B267" s="1528" t="s">
        <v>1778</v>
      </c>
      <c r="C267" s="1528">
        <v>3800</v>
      </c>
      <c r="D267" s="1528">
        <v>3780</v>
      </c>
      <c r="E267" s="1528">
        <v>3930</v>
      </c>
      <c r="F267" s="1546"/>
    </row>
    <row r="268" spans="1:6" s="1522" customFormat="1" ht="14.25" customHeight="1" thickBot="1">
      <c r="A268" s="1534" t="s">
        <v>1895</v>
      </c>
      <c r="B268" s="1528" t="s">
        <v>1785</v>
      </c>
      <c r="C268" s="1528">
        <v>3460</v>
      </c>
      <c r="D268" s="1528">
        <v>3430</v>
      </c>
      <c r="E268" s="1528">
        <v>3560</v>
      </c>
      <c r="F268" s="1542">
        <v>840</v>
      </c>
    </row>
    <row r="269" spans="1:6" s="1522" customFormat="1" ht="14.25" customHeight="1" thickBot="1">
      <c r="A269" s="1534" t="s">
        <v>1895</v>
      </c>
      <c r="B269" s="1528" t="s">
        <v>1792</v>
      </c>
      <c r="C269" s="1528">
        <v>3210</v>
      </c>
      <c r="D269" s="1528">
        <v>3190</v>
      </c>
      <c r="E269" s="1528">
        <v>3310</v>
      </c>
      <c r="F269" s="1542">
        <v>730</v>
      </c>
    </row>
    <row r="270" spans="1:6" s="1522" customFormat="1" ht="14.25" customHeight="1" thickBot="1">
      <c r="A270" s="1534" t="s">
        <v>1895</v>
      </c>
      <c r="B270" s="1528" t="s">
        <v>1799</v>
      </c>
      <c r="C270" s="1528">
        <v>3240</v>
      </c>
      <c r="D270" s="1528">
        <v>3210</v>
      </c>
      <c r="E270" s="1528">
        <v>3390</v>
      </c>
      <c r="F270" s="1542">
        <v>820</v>
      </c>
    </row>
    <row r="271" spans="1:6" s="1522" customFormat="1" ht="14.25" customHeight="1" thickBot="1">
      <c r="A271" s="1534" t="s">
        <v>1895</v>
      </c>
      <c r="B271" s="1528" t="s">
        <v>1806</v>
      </c>
      <c r="C271" s="1528">
        <v>3300</v>
      </c>
      <c r="D271" s="1528">
        <v>3270</v>
      </c>
      <c r="E271" s="1528">
        <v>3380</v>
      </c>
      <c r="F271" s="1542">
        <v>750</v>
      </c>
    </row>
    <row r="272" spans="1:6" s="1522" customFormat="1" ht="14.25" customHeight="1" thickBot="1">
      <c r="A272" s="1534" t="s">
        <v>1895</v>
      </c>
      <c r="B272" s="1528" t="s">
        <v>1813</v>
      </c>
      <c r="C272" s="1547"/>
      <c r="D272" s="1547"/>
      <c r="E272" s="1547"/>
      <c r="F272" s="1542">
        <v>740</v>
      </c>
    </row>
    <row r="273" spans="1:6" s="1522" customFormat="1" ht="14.25" customHeight="1" thickBot="1">
      <c r="A273" s="1534" t="s">
        <v>1895</v>
      </c>
      <c r="B273" s="1528" t="s">
        <v>1817</v>
      </c>
      <c r="C273" s="1528">
        <v>3130</v>
      </c>
      <c r="D273" s="1528">
        <v>3100</v>
      </c>
      <c r="E273" s="1528">
        <v>3230</v>
      </c>
      <c r="F273" s="1542">
        <v>700</v>
      </c>
    </row>
    <row r="274" spans="1:6" s="1522" customFormat="1" ht="14.25" customHeight="1" thickBot="1">
      <c r="A274" s="1534" t="s">
        <v>1895</v>
      </c>
      <c r="B274" s="1528" t="s">
        <v>1822</v>
      </c>
      <c r="C274" s="1528">
        <v>3460</v>
      </c>
      <c r="D274" s="1528">
        <v>3430</v>
      </c>
      <c r="E274" s="1528">
        <v>3560</v>
      </c>
      <c r="F274" s="1542">
        <v>690</v>
      </c>
    </row>
    <row r="275" spans="1:6" s="1522" customFormat="1" ht="14.25" customHeight="1" thickBot="1">
      <c r="A275" s="1534" t="s">
        <v>1895</v>
      </c>
      <c r="B275" s="1528" t="s">
        <v>1827</v>
      </c>
      <c r="C275" s="1528">
        <v>4040</v>
      </c>
      <c r="D275" s="1528">
        <v>4020</v>
      </c>
      <c r="E275" s="1528">
        <v>4160</v>
      </c>
      <c r="F275" s="1542">
        <v>820</v>
      </c>
    </row>
    <row r="276" spans="1:6" s="1522" customFormat="1" ht="14.25" customHeight="1" thickBot="1">
      <c r="A276" s="1534" t="s">
        <v>1895</v>
      </c>
      <c r="B276" s="1528" t="s">
        <v>1832</v>
      </c>
      <c r="C276" s="1528">
        <v>3270</v>
      </c>
      <c r="D276" s="1528">
        <v>3240</v>
      </c>
      <c r="E276" s="1528">
        <v>3350</v>
      </c>
      <c r="F276" s="1542">
        <v>680</v>
      </c>
    </row>
    <row r="277" spans="1:6" s="1522" customFormat="1" ht="14.25" customHeight="1" thickBot="1">
      <c r="A277" s="1534" t="s">
        <v>1895</v>
      </c>
      <c r="B277" s="1528" t="s">
        <v>1837</v>
      </c>
      <c r="C277" s="1528">
        <v>2930</v>
      </c>
      <c r="D277" s="1528">
        <v>2900</v>
      </c>
      <c r="E277" s="1528">
        <v>3000</v>
      </c>
      <c r="F277" s="1542">
        <v>640</v>
      </c>
    </row>
    <row r="278" spans="1:6" s="1522" customFormat="1" ht="14.25" customHeight="1" thickBot="1">
      <c r="A278" s="1534" t="s">
        <v>1895</v>
      </c>
      <c r="B278" s="1528" t="s">
        <v>1842</v>
      </c>
      <c r="C278" s="1528">
        <v>4080</v>
      </c>
      <c r="D278" s="1528">
        <v>4030</v>
      </c>
      <c r="E278" s="1528">
        <v>4140</v>
      </c>
      <c r="F278" s="1542">
        <v>850</v>
      </c>
    </row>
    <row r="279" spans="1:6" s="1522" customFormat="1" ht="14.25" customHeight="1" thickBot="1">
      <c r="A279" s="1534" t="s">
        <v>1895</v>
      </c>
      <c r="B279" s="1528" t="s">
        <v>1846</v>
      </c>
      <c r="C279" s="1528"/>
      <c r="D279" s="1528"/>
      <c r="E279" s="1528"/>
      <c r="F279" s="1542">
        <v>760</v>
      </c>
    </row>
    <row r="280" spans="1:6" s="1522" customFormat="1" ht="14.25" customHeight="1" thickBot="1">
      <c r="A280" s="1534" t="s">
        <v>1895</v>
      </c>
      <c r="B280" s="1528" t="s">
        <v>1850</v>
      </c>
      <c r="C280" s="1528"/>
      <c r="D280" s="1528"/>
      <c r="E280" s="1528"/>
      <c r="F280" s="1542">
        <v>760</v>
      </c>
    </row>
    <row r="281" spans="1:6" s="1522" customFormat="1" ht="14.25" customHeight="1" thickBot="1">
      <c r="A281" s="1534" t="s">
        <v>1895</v>
      </c>
      <c r="B281" s="1528" t="s">
        <v>1854</v>
      </c>
      <c r="C281" s="1528"/>
      <c r="D281" s="1528"/>
      <c r="E281" s="1528"/>
      <c r="F281" s="1542">
        <v>780</v>
      </c>
    </row>
    <row r="282" spans="1:6" s="1522" customFormat="1" ht="14.25" customHeight="1" thickBot="1">
      <c r="A282" s="1534" t="s">
        <v>1895</v>
      </c>
      <c r="B282" s="1528" t="s">
        <v>1858</v>
      </c>
      <c r="C282" s="1528"/>
      <c r="D282" s="1528"/>
      <c r="E282" s="1528"/>
      <c r="F282" s="1542">
        <v>730</v>
      </c>
    </row>
    <row r="283" spans="1:6" s="1522" customFormat="1" ht="14.25" customHeight="1" thickBot="1">
      <c r="A283" s="1534" t="s">
        <v>1895</v>
      </c>
      <c r="B283" s="1528" t="s">
        <v>1862</v>
      </c>
      <c r="C283" s="1528"/>
      <c r="D283" s="1528"/>
      <c r="E283" s="1528"/>
      <c r="F283" s="1542">
        <v>770</v>
      </c>
    </row>
    <row r="284" spans="1:6" s="1522" customFormat="1" ht="14.25" customHeight="1" thickBot="1">
      <c r="A284" s="1534" t="s">
        <v>1895</v>
      </c>
      <c r="B284" s="1528" t="s">
        <v>1865</v>
      </c>
      <c r="C284" s="1528"/>
      <c r="D284" s="1528"/>
      <c r="E284" s="1528"/>
      <c r="F284" s="1542">
        <v>640</v>
      </c>
    </row>
    <row r="285" spans="1:6" s="1522" customFormat="1" ht="14.25" customHeight="1" thickBot="1">
      <c r="A285" s="1534" t="s">
        <v>1895</v>
      </c>
      <c r="B285" s="1528" t="s">
        <v>1868</v>
      </c>
      <c r="C285" s="1528"/>
      <c r="D285" s="1528"/>
      <c r="E285" s="1528"/>
      <c r="F285" s="1542">
        <v>640</v>
      </c>
    </row>
    <row r="286" spans="1:6" s="1522" customFormat="1" ht="14.25" customHeight="1" thickBot="1">
      <c r="A286" s="1534" t="s">
        <v>1895</v>
      </c>
      <c r="B286" s="1528" t="s">
        <v>1871</v>
      </c>
      <c r="C286" s="1528"/>
      <c r="D286" s="1528"/>
      <c r="E286" s="1528"/>
      <c r="F286" s="1542">
        <v>850</v>
      </c>
    </row>
    <row r="287" spans="1:6" s="1522" customFormat="1" ht="14.25" customHeight="1" thickBot="1">
      <c r="A287" s="1534" t="s">
        <v>1895</v>
      </c>
      <c r="B287" s="1528" t="s">
        <v>1874</v>
      </c>
      <c r="C287" s="1528"/>
      <c r="D287" s="1528"/>
      <c r="E287" s="1528"/>
      <c r="F287" s="1542">
        <v>760</v>
      </c>
    </row>
    <row r="288" spans="1:6" s="1522" customFormat="1" ht="14.25" customHeight="1" thickBot="1">
      <c r="A288" s="1534" t="s">
        <v>1895</v>
      </c>
      <c r="B288" s="1528" t="s">
        <v>1877</v>
      </c>
      <c r="C288" s="1528"/>
      <c r="D288" s="1528"/>
      <c r="E288" s="1528"/>
      <c r="F288" s="1542">
        <v>830</v>
      </c>
    </row>
    <row r="289" spans="1:6" s="1522" customFormat="1" ht="14.25" customHeight="1" thickBot="1">
      <c r="A289" s="1534" t="s">
        <v>1895</v>
      </c>
      <c r="B289" s="1540" t="s">
        <v>1880</v>
      </c>
      <c r="C289" s="1540"/>
      <c r="D289" s="1540"/>
      <c r="E289" s="1540"/>
      <c r="F289" s="1545">
        <v>680</v>
      </c>
    </row>
    <row r="290" spans="1:6" s="1522" customFormat="1" ht="14.25" customHeight="1" thickBot="1">
      <c r="A290" s="1534" t="s">
        <v>1899</v>
      </c>
      <c r="B290" s="1535" t="s">
        <v>1900</v>
      </c>
      <c r="C290" s="1535">
        <v>2770</v>
      </c>
      <c r="D290" s="1535">
        <v>2740</v>
      </c>
      <c r="E290" s="1535">
        <v>2720</v>
      </c>
      <c r="F290" s="1548"/>
    </row>
    <row r="291" spans="1:6" s="1522" customFormat="1" ht="14.25" customHeight="1" thickBot="1">
      <c r="A291" s="1534" t="s">
        <v>1899</v>
      </c>
      <c r="B291" s="1528" t="s">
        <v>1561</v>
      </c>
      <c r="C291" s="1528">
        <v>2670</v>
      </c>
      <c r="D291" s="1528">
        <v>2640</v>
      </c>
      <c r="E291" s="1528">
        <v>2620</v>
      </c>
      <c r="F291" s="1546"/>
    </row>
    <row r="292" spans="1:6" s="1522" customFormat="1" ht="14.25" customHeight="1" thickBot="1">
      <c r="A292" s="1534" t="s">
        <v>1899</v>
      </c>
      <c r="B292" s="1528" t="s">
        <v>1901</v>
      </c>
      <c r="C292" s="1528">
        <v>2180</v>
      </c>
      <c r="D292" s="1528">
        <v>2140</v>
      </c>
      <c r="E292" s="1528">
        <v>2120</v>
      </c>
      <c r="F292" s="1542">
        <v>490</v>
      </c>
    </row>
    <row r="293" spans="1:6" s="1522" customFormat="1" ht="14.25" customHeight="1" thickBot="1">
      <c r="A293" s="1534" t="s">
        <v>1899</v>
      </c>
      <c r="B293" s="1528" t="s">
        <v>1902</v>
      </c>
      <c r="C293" s="1528"/>
      <c r="D293" s="1528"/>
      <c r="E293" s="1528"/>
      <c r="F293" s="1542">
        <v>470</v>
      </c>
    </row>
    <row r="294" spans="1:6" s="1522" customFormat="1" ht="14.25" customHeight="1" thickBot="1">
      <c r="A294" s="1534" t="s">
        <v>1899</v>
      </c>
      <c r="B294" s="1528" t="s">
        <v>1903</v>
      </c>
      <c r="C294" s="1528">
        <v>2730</v>
      </c>
      <c r="D294" s="1528">
        <v>2700</v>
      </c>
      <c r="E294" s="1528">
        <v>2680</v>
      </c>
      <c r="F294" s="1542">
        <v>490</v>
      </c>
    </row>
    <row r="295" spans="1:6" s="1522" customFormat="1" ht="14.25" customHeight="1" thickBot="1">
      <c r="A295" s="1534" t="s">
        <v>1899</v>
      </c>
      <c r="B295" s="1528" t="s">
        <v>1599</v>
      </c>
      <c r="C295" s="1528">
        <v>2380</v>
      </c>
      <c r="D295" s="1528">
        <v>2350</v>
      </c>
      <c r="E295" s="1528">
        <v>2330</v>
      </c>
      <c r="F295" s="1542">
        <v>530</v>
      </c>
    </row>
    <row r="296" spans="1:6" s="1522" customFormat="1" ht="14.25" customHeight="1" thickBot="1">
      <c r="A296" s="1534" t="s">
        <v>1899</v>
      </c>
      <c r="B296" s="1528" t="s">
        <v>1610</v>
      </c>
      <c r="C296" s="1528">
        <v>2650</v>
      </c>
      <c r="D296" s="1528">
        <v>2620</v>
      </c>
      <c r="E296" s="1528">
        <v>2590</v>
      </c>
      <c r="F296" s="1542">
        <v>590</v>
      </c>
    </row>
    <row r="297" spans="1:6" s="1522" customFormat="1" ht="14.25" customHeight="1" thickBot="1">
      <c r="A297" s="1534" t="s">
        <v>1899</v>
      </c>
      <c r="B297" s="1528" t="s">
        <v>1621</v>
      </c>
      <c r="C297" s="1528">
        <v>2700</v>
      </c>
      <c r="D297" s="1528">
        <v>2670</v>
      </c>
      <c r="E297" s="1528">
        <v>2650</v>
      </c>
      <c r="F297" s="1542">
        <v>630</v>
      </c>
    </row>
    <row r="298" spans="1:6" s="1522" customFormat="1" ht="14.25" customHeight="1" thickBot="1">
      <c r="A298" s="1534" t="s">
        <v>1899</v>
      </c>
      <c r="B298" s="1528" t="s">
        <v>1632</v>
      </c>
      <c r="C298" s="1528">
        <v>2650</v>
      </c>
      <c r="D298" s="1528">
        <v>2620</v>
      </c>
      <c r="E298" s="1528">
        <v>2590</v>
      </c>
      <c r="F298" s="1542">
        <v>640</v>
      </c>
    </row>
    <row r="299" spans="1:6" s="1522" customFormat="1" ht="14.25" customHeight="1" thickBot="1">
      <c r="A299" s="1534" t="s">
        <v>1899</v>
      </c>
      <c r="B299" s="1528" t="s">
        <v>1644</v>
      </c>
      <c r="C299" s="1528">
        <v>2500</v>
      </c>
      <c r="D299" s="1528">
        <v>2480</v>
      </c>
      <c r="E299" s="1528">
        <v>2460</v>
      </c>
      <c r="F299" s="1546"/>
    </row>
    <row r="300" spans="1:6" s="1522" customFormat="1" ht="14.25" customHeight="1" thickBot="1">
      <c r="A300" s="1534" t="s">
        <v>1899</v>
      </c>
      <c r="B300" s="1528" t="s">
        <v>1654</v>
      </c>
      <c r="C300" s="1528">
        <v>2760</v>
      </c>
      <c r="D300" s="1528">
        <v>2730</v>
      </c>
      <c r="E300" s="1528">
        <v>2700</v>
      </c>
      <c r="F300" s="1542">
        <v>630</v>
      </c>
    </row>
    <row r="301" spans="1:6" s="1522" customFormat="1" ht="14.25" customHeight="1" thickBot="1">
      <c r="A301" s="1534" t="s">
        <v>1899</v>
      </c>
      <c r="B301" s="1528" t="s">
        <v>1664</v>
      </c>
      <c r="C301" s="1528">
        <v>2510</v>
      </c>
      <c r="D301" s="1528">
        <v>2480</v>
      </c>
      <c r="E301" s="1528">
        <v>2460</v>
      </c>
      <c r="F301" s="1546"/>
    </row>
    <row r="302" spans="1:6" s="1522" customFormat="1" ht="14.25" customHeight="1" thickBot="1">
      <c r="A302" s="1534" t="s">
        <v>1899</v>
      </c>
      <c r="B302" s="1528" t="s">
        <v>1674</v>
      </c>
      <c r="C302" s="1528">
        <v>2480</v>
      </c>
      <c r="D302" s="1528">
        <v>2450</v>
      </c>
      <c r="E302" s="1528">
        <v>2420</v>
      </c>
      <c r="F302" s="1542">
        <v>600</v>
      </c>
    </row>
    <row r="303" spans="1:6" s="1522" customFormat="1" ht="14.25" customHeight="1" thickBot="1">
      <c r="A303" s="1534" t="s">
        <v>1899</v>
      </c>
      <c r="B303" s="1528" t="s">
        <v>1684</v>
      </c>
      <c r="C303" s="1528">
        <v>2270</v>
      </c>
      <c r="D303" s="1528">
        <v>2240</v>
      </c>
      <c r="E303" s="1528">
        <v>2210</v>
      </c>
      <c r="F303" s="1542">
        <v>540</v>
      </c>
    </row>
    <row r="304" spans="1:6" s="1522" customFormat="1" ht="14.25" customHeight="1" thickBot="1">
      <c r="A304" s="1534" t="s">
        <v>1899</v>
      </c>
      <c r="B304" s="1528" t="s">
        <v>1695</v>
      </c>
      <c r="C304" s="1528">
        <v>2310</v>
      </c>
      <c r="D304" s="1528">
        <v>2290</v>
      </c>
      <c r="E304" s="1528">
        <v>2270</v>
      </c>
      <c r="F304" s="1546"/>
    </row>
    <row r="305" spans="1:6" s="1522" customFormat="1" ht="14.25" customHeight="1" thickBot="1">
      <c r="A305" s="1534" t="s">
        <v>1899</v>
      </c>
      <c r="B305" s="1528" t="s">
        <v>1706</v>
      </c>
      <c r="C305" s="1528">
        <v>2490</v>
      </c>
      <c r="D305" s="1528">
        <v>2470</v>
      </c>
      <c r="E305" s="1528">
        <v>2440</v>
      </c>
      <c r="F305" s="1542">
        <v>560</v>
      </c>
    </row>
    <row r="306" spans="1:6" s="1522" customFormat="1" ht="14.25" customHeight="1" thickBot="1">
      <c r="A306" s="1534" t="s">
        <v>1899</v>
      </c>
      <c r="B306" s="1528" t="s">
        <v>1716</v>
      </c>
      <c r="C306" s="1528">
        <v>2420</v>
      </c>
      <c r="D306" s="1528">
        <v>2400</v>
      </c>
      <c r="E306" s="1528">
        <v>2380</v>
      </c>
      <c r="F306" s="1546"/>
    </row>
    <row r="307" spans="1:6" s="1522" customFormat="1" ht="14.25" customHeight="1" thickBot="1">
      <c r="A307" s="1534" t="s">
        <v>1899</v>
      </c>
      <c r="B307" s="1528" t="s">
        <v>1726</v>
      </c>
      <c r="C307" s="1528">
        <v>2770</v>
      </c>
      <c r="D307" s="1528">
        <v>2740</v>
      </c>
      <c r="E307" s="1528">
        <v>2710</v>
      </c>
      <c r="F307" s="1542">
        <v>650</v>
      </c>
    </row>
    <row r="308" spans="1:6" s="1522" customFormat="1" ht="14.25" customHeight="1" thickBot="1">
      <c r="A308" s="1534" t="s">
        <v>1899</v>
      </c>
      <c r="B308" s="1528" t="s">
        <v>1736</v>
      </c>
      <c r="C308" s="1528">
        <v>2610</v>
      </c>
      <c r="D308" s="1528">
        <v>2580</v>
      </c>
      <c r="E308" s="1528">
        <v>2550</v>
      </c>
      <c r="F308" s="1542">
        <v>580</v>
      </c>
    </row>
    <row r="309" spans="1:6" s="1522" customFormat="1" ht="14.25" customHeight="1" thickBot="1">
      <c r="A309" s="1534" t="s">
        <v>1899</v>
      </c>
      <c r="B309" s="1528" t="s">
        <v>1746</v>
      </c>
      <c r="C309" s="1528">
        <v>2690</v>
      </c>
      <c r="D309" s="1528">
        <v>2670</v>
      </c>
      <c r="E309" s="1528">
        <v>2650</v>
      </c>
      <c r="F309" s="1546"/>
    </row>
    <row r="310" spans="1:6" s="1522" customFormat="1" ht="14.25" customHeight="1" thickBot="1">
      <c r="A310" s="1534" t="s">
        <v>1899</v>
      </c>
      <c r="B310" s="1528" t="s">
        <v>1755</v>
      </c>
      <c r="C310" s="1528">
        <v>2360</v>
      </c>
      <c r="D310" s="1528">
        <v>2330</v>
      </c>
      <c r="E310" s="1528">
        <v>2310</v>
      </c>
      <c r="F310" s="1542">
        <v>560</v>
      </c>
    </row>
    <row r="311" spans="1:6" s="1522" customFormat="1" ht="14.25" customHeight="1" thickBot="1">
      <c r="A311" s="1534" t="s">
        <v>1899</v>
      </c>
      <c r="B311" s="1528" t="s">
        <v>1764</v>
      </c>
      <c r="C311" s="1528">
        <v>1970</v>
      </c>
      <c r="D311" s="1528">
        <v>1950</v>
      </c>
      <c r="E311" s="1528">
        <v>1920</v>
      </c>
      <c r="F311" s="1542">
        <v>470</v>
      </c>
    </row>
    <row r="312" spans="1:6" s="1522" customFormat="1" ht="14.25" customHeight="1" thickBot="1">
      <c r="A312" s="1534" t="s">
        <v>1899</v>
      </c>
      <c r="B312" s="1528" t="s">
        <v>1772</v>
      </c>
      <c r="C312" s="1528">
        <v>2230</v>
      </c>
      <c r="D312" s="1528">
        <v>2200</v>
      </c>
      <c r="E312" s="1528">
        <v>2170</v>
      </c>
      <c r="F312" s="1542">
        <v>460</v>
      </c>
    </row>
    <row r="313" spans="1:6" s="1522" customFormat="1" ht="14.25" customHeight="1" thickBot="1">
      <c r="A313" s="1534" t="s">
        <v>1899</v>
      </c>
      <c r="B313" s="1528" t="s">
        <v>1779</v>
      </c>
      <c r="C313" s="1528">
        <v>2770</v>
      </c>
      <c r="D313" s="1528">
        <v>2740</v>
      </c>
      <c r="E313" s="1528">
        <v>2710</v>
      </c>
      <c r="F313" s="1542">
        <v>610</v>
      </c>
    </row>
    <row r="314" spans="1:6" s="1522" customFormat="1" ht="14.25" customHeight="1" thickBot="1">
      <c r="A314" s="1534" t="s">
        <v>1899</v>
      </c>
      <c r="B314" s="1528" t="s">
        <v>1786</v>
      </c>
      <c r="C314" s="1528"/>
      <c r="D314" s="1528"/>
      <c r="E314" s="1528"/>
      <c r="F314" s="1542">
        <v>490</v>
      </c>
    </row>
    <row r="315" spans="1:6" s="1522" customFormat="1" ht="14.25" customHeight="1" thickBot="1">
      <c r="A315" s="1534" t="s">
        <v>1899</v>
      </c>
      <c r="B315" s="1528" t="s">
        <v>1793</v>
      </c>
      <c r="C315" s="1528"/>
      <c r="D315" s="1528"/>
      <c r="E315" s="1528"/>
      <c r="F315" s="1542">
        <v>520</v>
      </c>
    </row>
    <row r="316" spans="1:6" s="1522" customFormat="1" ht="14.25" customHeight="1" thickBot="1">
      <c r="A316" s="1534" t="s">
        <v>1899</v>
      </c>
      <c r="B316" s="1540" t="s">
        <v>1800</v>
      </c>
      <c r="C316" s="1540"/>
      <c r="D316" s="1540"/>
      <c r="E316" s="1540"/>
      <c r="F316" s="1545">
        <v>460</v>
      </c>
    </row>
    <row r="317" spans="1:6" s="1522" customFormat="1" ht="14.25" customHeight="1" thickBot="1">
      <c r="A317" s="1534" t="s">
        <v>1686</v>
      </c>
      <c r="B317" s="1535" t="s">
        <v>1904</v>
      </c>
      <c r="C317" s="1535">
        <v>1200</v>
      </c>
      <c r="D317" s="1535">
        <v>1180</v>
      </c>
      <c r="E317" s="1535">
        <v>1160</v>
      </c>
      <c r="F317" s="1536">
        <v>370</v>
      </c>
    </row>
    <row r="318" spans="1:6" s="1522" customFormat="1" ht="14.25" customHeight="1" thickBot="1">
      <c r="A318" s="1534" t="s">
        <v>1686</v>
      </c>
      <c r="B318" s="1528" t="s">
        <v>1905</v>
      </c>
      <c r="C318" s="1528">
        <v>1090</v>
      </c>
      <c r="D318" s="1528">
        <v>1060</v>
      </c>
      <c r="E318" s="1528">
        <v>1040</v>
      </c>
      <c r="F318" s="1546"/>
    </row>
    <row r="319" spans="1:6" s="1522" customFormat="1" ht="14.25" customHeight="1" thickBot="1">
      <c r="A319" s="1534" t="s">
        <v>1686</v>
      </c>
      <c r="B319" s="1528" t="s">
        <v>1906</v>
      </c>
      <c r="C319" s="1528">
        <v>1520</v>
      </c>
      <c r="D319" s="1528">
        <v>1470</v>
      </c>
      <c r="E319" s="1528">
        <v>1440</v>
      </c>
      <c r="F319" s="1542">
        <v>370</v>
      </c>
    </row>
    <row r="320" spans="1:6" s="1522" customFormat="1" ht="14.25" customHeight="1" thickBot="1">
      <c r="A320" s="1534" t="s">
        <v>1686</v>
      </c>
      <c r="B320" s="1528" t="s">
        <v>1588</v>
      </c>
      <c r="C320" s="1528">
        <v>1360</v>
      </c>
      <c r="D320" s="1528">
        <v>1300</v>
      </c>
      <c r="E320" s="1528">
        <v>1270</v>
      </c>
      <c r="F320" s="1546"/>
    </row>
    <row r="321" spans="1:6" s="1522" customFormat="1" ht="14.25" customHeight="1" thickBot="1">
      <c r="A321" s="1534" t="s">
        <v>1686</v>
      </c>
      <c r="B321" s="1528" t="s">
        <v>1600</v>
      </c>
      <c r="C321" s="1528">
        <v>1750</v>
      </c>
      <c r="D321" s="1528">
        <v>1690</v>
      </c>
      <c r="E321" s="1528">
        <v>1660</v>
      </c>
      <c r="F321" s="1546"/>
    </row>
    <row r="322" spans="1:6" s="1522" customFormat="1" ht="14.25" customHeight="1" thickBot="1">
      <c r="A322" s="1534" t="s">
        <v>1686</v>
      </c>
      <c r="B322" s="1528" t="s">
        <v>1611</v>
      </c>
      <c r="C322" s="1528">
        <v>1650</v>
      </c>
      <c r="D322" s="1528">
        <v>1610</v>
      </c>
      <c r="E322" s="1528">
        <v>1580</v>
      </c>
      <c r="F322" s="1542">
        <v>500</v>
      </c>
    </row>
    <row r="323" spans="1:6" s="1522" customFormat="1" ht="14.25" customHeight="1" thickBot="1">
      <c r="A323" s="1534" t="s">
        <v>1686</v>
      </c>
      <c r="B323" s="1528" t="s">
        <v>1622</v>
      </c>
      <c r="C323" s="1528">
        <v>1780</v>
      </c>
      <c r="D323" s="1528">
        <v>1740</v>
      </c>
      <c r="E323" s="1528">
        <v>1720</v>
      </c>
      <c r="F323" s="1546"/>
    </row>
    <row r="324" spans="1:6" s="1522" customFormat="1" ht="14.25" customHeight="1" thickBot="1">
      <c r="A324" s="1534" t="s">
        <v>1686</v>
      </c>
      <c r="B324" s="1528" t="s">
        <v>1633</v>
      </c>
      <c r="C324" s="1528">
        <v>1650</v>
      </c>
      <c r="D324" s="1528">
        <v>1610</v>
      </c>
      <c r="E324" s="1528">
        <v>1580</v>
      </c>
      <c r="F324" s="1546"/>
    </row>
    <row r="325" spans="1:6" s="1522" customFormat="1" ht="14.25" customHeight="1" thickBot="1">
      <c r="A325" s="1534" t="s">
        <v>1686</v>
      </c>
      <c r="B325" s="1528" t="s">
        <v>1645</v>
      </c>
      <c r="C325" s="1528">
        <v>1330</v>
      </c>
      <c r="D325" s="1528">
        <v>1270</v>
      </c>
      <c r="E325" s="1528">
        <v>1240</v>
      </c>
      <c r="F325" s="1542">
        <v>430</v>
      </c>
    </row>
    <row r="326" spans="1:6" s="1522" customFormat="1" ht="14.25" customHeight="1" thickBot="1">
      <c r="A326" s="1534" t="s">
        <v>1686</v>
      </c>
      <c r="B326" s="1528" t="s">
        <v>1655</v>
      </c>
      <c r="C326" s="1528">
        <v>1470</v>
      </c>
      <c r="D326" s="1528">
        <v>1430</v>
      </c>
      <c r="E326" s="1528">
        <v>1400</v>
      </c>
      <c r="F326" s="1546"/>
    </row>
    <row r="327" spans="1:6" s="1522" customFormat="1" ht="14.25" customHeight="1" thickBot="1">
      <c r="A327" s="1534" t="s">
        <v>1686</v>
      </c>
      <c r="B327" s="1528" t="s">
        <v>1665</v>
      </c>
      <c r="C327" s="1528">
        <v>1420</v>
      </c>
      <c r="D327" s="1528">
        <v>1380</v>
      </c>
      <c r="E327" s="1528">
        <v>1360</v>
      </c>
      <c r="F327" s="1542">
        <v>420</v>
      </c>
    </row>
    <row r="328" spans="1:6" s="1522" customFormat="1" ht="14.25" customHeight="1" thickBot="1">
      <c r="A328" s="1534" t="s">
        <v>1686</v>
      </c>
      <c r="B328" s="1528" t="s">
        <v>1675</v>
      </c>
      <c r="C328" s="1528">
        <v>1400</v>
      </c>
      <c r="D328" s="1528">
        <v>1360</v>
      </c>
      <c r="E328" s="1528">
        <v>1330</v>
      </c>
      <c r="F328" s="1542">
        <v>460</v>
      </c>
    </row>
    <row r="329" spans="1:6" s="1522" customFormat="1" ht="14.25" customHeight="1" thickBot="1">
      <c r="A329" s="1534" t="s">
        <v>1686</v>
      </c>
      <c r="B329" s="1528" t="s">
        <v>1685</v>
      </c>
      <c r="C329" s="1528">
        <v>1640</v>
      </c>
      <c r="D329" s="1528">
        <v>1610</v>
      </c>
      <c r="E329" s="1528">
        <v>1580</v>
      </c>
      <c r="F329" s="1542">
        <v>410</v>
      </c>
    </row>
    <row r="330" spans="1:6" s="1522" customFormat="1" ht="14.25" customHeight="1" thickBot="1">
      <c r="A330" s="1534" t="s">
        <v>1686</v>
      </c>
      <c r="B330" s="1528" t="s">
        <v>1696</v>
      </c>
      <c r="C330" s="1528">
        <v>1260</v>
      </c>
      <c r="D330" s="1528">
        <v>1220</v>
      </c>
      <c r="E330" s="1528">
        <v>1200</v>
      </c>
      <c r="F330" s="1546"/>
    </row>
    <row r="331" spans="1:6" s="1522" customFormat="1" ht="14.25" customHeight="1" thickBot="1">
      <c r="A331" s="1534" t="s">
        <v>1686</v>
      </c>
      <c r="B331" s="1528" t="s">
        <v>1707</v>
      </c>
      <c r="C331" s="1528">
        <v>1620</v>
      </c>
      <c r="D331" s="1528">
        <v>1560</v>
      </c>
      <c r="E331" s="1528">
        <v>1530</v>
      </c>
      <c r="F331" s="1542">
        <v>490</v>
      </c>
    </row>
    <row r="332" spans="1:6" s="1522" customFormat="1" ht="14.25" customHeight="1" thickBot="1">
      <c r="A332" s="1534" t="s">
        <v>1686</v>
      </c>
      <c r="B332" s="1528" t="s">
        <v>1717</v>
      </c>
      <c r="C332" s="1528">
        <v>1520</v>
      </c>
      <c r="D332" s="1528">
        <v>1470</v>
      </c>
      <c r="E332" s="1528">
        <v>1440</v>
      </c>
      <c r="F332" s="1542">
        <v>440</v>
      </c>
    </row>
    <row r="333" spans="1:6" s="1522" customFormat="1" ht="14.25" customHeight="1" thickBot="1">
      <c r="A333" s="1534" t="s">
        <v>1686</v>
      </c>
      <c r="B333" s="1528" t="s">
        <v>1727</v>
      </c>
      <c r="C333" s="1528">
        <v>1370</v>
      </c>
      <c r="D333" s="1528">
        <v>1320</v>
      </c>
      <c r="E333" s="1528">
        <v>1300</v>
      </c>
      <c r="F333" s="1542">
        <v>460</v>
      </c>
    </row>
    <row r="334" spans="1:6" s="1522" customFormat="1" ht="14.25" customHeight="1" thickBot="1">
      <c r="A334" s="1534" t="s">
        <v>1686</v>
      </c>
      <c r="B334" s="1528" t="s">
        <v>1737</v>
      </c>
      <c r="C334" s="1528">
        <v>1410</v>
      </c>
      <c r="D334" s="1528">
        <v>1340</v>
      </c>
      <c r="E334" s="1528">
        <v>1310</v>
      </c>
      <c r="F334" s="1542">
        <v>410</v>
      </c>
    </row>
    <row r="335" spans="1:6" s="1522" customFormat="1" ht="14.25" customHeight="1" thickBot="1">
      <c r="A335" s="1534" t="s">
        <v>1686</v>
      </c>
      <c r="B335" s="1528" t="s">
        <v>1747</v>
      </c>
      <c r="C335" s="1528">
        <v>1260</v>
      </c>
      <c r="D335" s="1528">
        <v>1220</v>
      </c>
      <c r="E335" s="1528">
        <v>1200</v>
      </c>
      <c r="F335" s="1546"/>
    </row>
    <row r="336" spans="1:6" s="1522" customFormat="1" ht="14.25" customHeight="1" thickBot="1">
      <c r="A336" s="1534" t="s">
        <v>1686</v>
      </c>
      <c r="B336" s="1528" t="s">
        <v>1756</v>
      </c>
      <c r="C336" s="1528">
        <v>1160</v>
      </c>
      <c r="D336" s="1528">
        <v>1140</v>
      </c>
      <c r="E336" s="1528">
        <v>1120</v>
      </c>
      <c r="F336" s="1542">
        <v>430</v>
      </c>
    </row>
    <row r="337" spans="1:6" s="1522" customFormat="1" ht="14.25" customHeight="1" thickBot="1">
      <c r="A337" s="1534" t="s">
        <v>1686</v>
      </c>
      <c r="B337" s="1540" t="s">
        <v>1765</v>
      </c>
      <c r="C337" s="1540"/>
      <c r="D337" s="1540"/>
      <c r="E337" s="1540"/>
      <c r="F337" s="1545">
        <v>380</v>
      </c>
    </row>
    <row r="338" spans="1:6" s="1522" customFormat="1" ht="14.25" customHeight="1" thickBot="1">
      <c r="A338" s="1534" t="s">
        <v>1697</v>
      </c>
      <c r="B338" s="1535" t="s">
        <v>1907</v>
      </c>
      <c r="C338" s="1535">
        <v>880</v>
      </c>
      <c r="D338" s="1535">
        <v>850</v>
      </c>
      <c r="E338" s="1535">
        <v>830</v>
      </c>
      <c r="F338" s="1548"/>
    </row>
    <row r="339" spans="1:6" s="1522" customFormat="1" ht="14.25" customHeight="1" thickBot="1">
      <c r="A339" s="1534" t="s">
        <v>1697</v>
      </c>
      <c r="B339" s="1528" t="s">
        <v>1908</v>
      </c>
      <c r="C339" s="1528">
        <v>830</v>
      </c>
      <c r="D339" s="1528">
        <v>800</v>
      </c>
      <c r="E339" s="1528">
        <v>780</v>
      </c>
      <c r="F339" s="1546"/>
    </row>
    <row r="340" spans="1:6" s="1522" customFormat="1" ht="14.25" customHeight="1" thickBot="1">
      <c r="A340" s="1534" t="s">
        <v>1697</v>
      </c>
      <c r="B340" s="1528" t="s">
        <v>1909</v>
      </c>
      <c r="C340" s="1528">
        <v>980</v>
      </c>
      <c r="D340" s="1528">
        <v>950</v>
      </c>
      <c r="E340" s="1528">
        <v>920</v>
      </c>
      <c r="F340" s="1546"/>
    </row>
    <row r="341" spans="1:6" s="1522" customFormat="1" ht="14.25" customHeight="1" thickBot="1">
      <c r="A341" s="1534" t="s">
        <v>1697</v>
      </c>
      <c r="B341" s="1528" t="s">
        <v>1910</v>
      </c>
      <c r="C341" s="1528">
        <v>760</v>
      </c>
      <c r="D341" s="1528">
        <v>720</v>
      </c>
      <c r="E341" s="1528">
        <v>690</v>
      </c>
      <c r="F341" s="1542">
        <v>350</v>
      </c>
    </row>
    <row r="342" spans="1:6" s="1522" customFormat="1" ht="14.25" customHeight="1" thickBot="1">
      <c r="A342" s="1534" t="s">
        <v>1697</v>
      </c>
      <c r="B342" s="1528" t="s">
        <v>1601</v>
      </c>
      <c r="C342" s="1528">
        <v>910</v>
      </c>
      <c r="D342" s="1528">
        <v>870</v>
      </c>
      <c r="E342" s="1528">
        <v>850</v>
      </c>
      <c r="F342" s="1542">
        <v>370</v>
      </c>
    </row>
    <row r="343" spans="1:6" s="1522" customFormat="1" ht="14.25" customHeight="1" thickBot="1">
      <c r="A343" s="1534" t="s">
        <v>1697</v>
      </c>
      <c r="B343" s="1528" t="s">
        <v>1612</v>
      </c>
      <c r="C343" s="1528">
        <v>800</v>
      </c>
      <c r="D343" s="1528">
        <v>760</v>
      </c>
      <c r="E343" s="1528">
        <v>730</v>
      </c>
      <c r="F343" s="1542">
        <v>340</v>
      </c>
    </row>
    <row r="344" spans="1:6" s="1522" customFormat="1" ht="14.25" customHeight="1" thickBot="1">
      <c r="A344" s="1534" t="s">
        <v>1697</v>
      </c>
      <c r="B344" s="1540" t="s">
        <v>1623</v>
      </c>
      <c r="C344" s="1540">
        <v>720</v>
      </c>
      <c r="D344" s="1540">
        <v>690</v>
      </c>
      <c r="E344" s="1540">
        <v>660</v>
      </c>
      <c r="F344" s="1545">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9" customWidth="1"/>
    <col min="2" max="2" width="10.25" style="1494" customWidth="1"/>
  </cols>
  <sheetData>
    <row r="1" spans="1:6">
      <c r="A1" s="3961" t="s">
        <v>2504</v>
      </c>
      <c r="B1" s="3961"/>
    </row>
    <row r="2" spans="1:6" ht="14.25" thickBot="1">
      <c r="A2" s="2118"/>
      <c r="B2" s="2118"/>
    </row>
    <row r="3" spans="1:6" ht="14.25" thickBot="1">
      <c r="A3" s="2118"/>
      <c r="B3" s="2118"/>
      <c r="C3" s="2122" t="s">
        <v>2507</v>
      </c>
      <c r="D3" s="2122" t="s">
        <v>2508</v>
      </c>
      <c r="E3" s="2122" t="s">
        <v>2509</v>
      </c>
      <c r="F3" s="2122" t="s">
        <v>2510</v>
      </c>
    </row>
    <row r="4" spans="1:6" ht="14.25" thickBot="1">
      <c r="A4" s="2120" t="s">
        <v>2505</v>
      </c>
      <c r="B4" s="2121" t="s">
        <v>2506</v>
      </c>
      <c r="C4" s="2122"/>
      <c r="D4" s="2122"/>
      <c r="E4" s="2122"/>
      <c r="F4" s="2122"/>
    </row>
    <row r="5" spans="1:6" ht="14.25" thickBot="1">
      <c r="A5" s="1534" t="s">
        <v>2511</v>
      </c>
      <c r="B5" s="1535" t="s">
        <v>2512</v>
      </c>
      <c r="C5" s="2123">
        <v>8.8999999999999996E-2</v>
      </c>
      <c r="D5" s="2123">
        <v>7.3999999999999996E-2</v>
      </c>
      <c r="E5" s="2123">
        <v>7.4999999999999997E-2</v>
      </c>
      <c r="F5" s="2124">
        <v>0.1</v>
      </c>
    </row>
    <row r="6" spans="1:6" ht="14.25" thickBot="1">
      <c r="A6" s="1534" t="s">
        <v>1577</v>
      </c>
      <c r="B6" s="1528" t="s">
        <v>2513</v>
      </c>
      <c r="C6" s="2125">
        <v>0.1</v>
      </c>
      <c r="D6" s="2125">
        <v>9.0999999999999998E-2</v>
      </c>
      <c r="E6" s="2125">
        <v>9.0999999999999998E-2</v>
      </c>
      <c r="F6" s="2126">
        <v>0.1</v>
      </c>
    </row>
    <row r="7" spans="1:6" ht="14.25" thickBot="1">
      <c r="A7" s="1534" t="s">
        <v>1577</v>
      </c>
      <c r="B7" s="1538" t="s">
        <v>1566</v>
      </c>
      <c r="C7" s="2125">
        <v>8.5999999999999993E-2</v>
      </c>
      <c r="D7" s="2125">
        <v>9.6000000000000002E-2</v>
      </c>
      <c r="E7" s="2125">
        <v>7.5999999999999998E-2</v>
      </c>
      <c r="F7" s="2126">
        <v>0.1</v>
      </c>
    </row>
    <row r="8" spans="1:6" ht="14.25" thickBot="1">
      <c r="A8" s="1534" t="s">
        <v>1577</v>
      </c>
      <c r="B8" s="1528" t="s">
        <v>1578</v>
      </c>
      <c r="C8" s="2125">
        <v>9.9000000000000005E-2</v>
      </c>
      <c r="D8" s="2125">
        <v>9.8000000000000004E-2</v>
      </c>
      <c r="E8" s="2125">
        <v>9.8000000000000004E-2</v>
      </c>
      <c r="F8" s="2126">
        <v>0.1</v>
      </c>
    </row>
    <row r="9" spans="1:6" ht="14.25" thickBot="1">
      <c r="A9" s="1544" t="s">
        <v>1577</v>
      </c>
      <c r="B9" s="1539" t="s">
        <v>1590</v>
      </c>
      <c r="C9" s="2127">
        <v>0.05</v>
      </c>
      <c r="D9" s="2135"/>
      <c r="E9" s="2135"/>
      <c r="F9" s="2136"/>
    </row>
    <row r="10" spans="1:6" ht="14.25" thickBot="1">
      <c r="A10" s="1534" t="s">
        <v>1634</v>
      </c>
      <c r="B10" s="1535" t="s">
        <v>2514</v>
      </c>
      <c r="C10" s="2123">
        <v>8.8999999999999996E-2</v>
      </c>
      <c r="D10" s="2123">
        <v>7.2999999999999995E-2</v>
      </c>
      <c r="E10" s="2123">
        <v>8.2000000000000003E-2</v>
      </c>
      <c r="F10" s="2124">
        <v>0.1</v>
      </c>
    </row>
    <row r="11" spans="1:6" ht="14.25" thickBot="1">
      <c r="A11" s="1534" t="s">
        <v>1634</v>
      </c>
      <c r="B11" s="1538" t="s">
        <v>1553</v>
      </c>
      <c r="C11" s="2125">
        <v>8.8999999999999996E-2</v>
      </c>
      <c r="D11" s="2125">
        <v>7.2999999999999995E-2</v>
      </c>
      <c r="E11" s="2125">
        <v>8.2000000000000003E-2</v>
      </c>
      <c r="F11" s="2126">
        <v>0.1</v>
      </c>
    </row>
    <row r="12" spans="1:6" ht="14.25" thickBot="1">
      <c r="A12" s="1534" t="s">
        <v>1634</v>
      </c>
      <c r="B12" s="1538" t="s">
        <v>1488</v>
      </c>
      <c r="C12" s="2125">
        <v>6.0999999999999999E-2</v>
      </c>
      <c r="D12" s="2125">
        <v>7.0999999999999994E-2</v>
      </c>
      <c r="E12" s="2125">
        <v>9.6000000000000002E-2</v>
      </c>
      <c r="F12" s="2126">
        <v>0.1</v>
      </c>
    </row>
    <row r="13" spans="1:6" ht="14.25" thickBot="1">
      <c r="A13" s="1534" t="s">
        <v>1634</v>
      </c>
      <c r="B13" s="1538" t="s">
        <v>1579</v>
      </c>
      <c r="C13" s="2125">
        <v>6.9000000000000006E-2</v>
      </c>
      <c r="D13" s="2125">
        <v>6.5000000000000002E-2</v>
      </c>
      <c r="E13" s="2125">
        <v>6.6000000000000003E-2</v>
      </c>
      <c r="F13" s="2126">
        <v>0.1</v>
      </c>
    </row>
    <row r="14" spans="1:6" ht="14.25" thickBot="1">
      <c r="A14" s="1534" t="s">
        <v>1634</v>
      </c>
      <c r="B14" s="1538" t="s">
        <v>1591</v>
      </c>
      <c r="C14" s="2125">
        <v>0.1</v>
      </c>
      <c r="D14" s="2125">
        <v>6.5000000000000002E-2</v>
      </c>
      <c r="E14" s="2125">
        <v>7.0000000000000007E-2</v>
      </c>
      <c r="F14" s="2126">
        <v>0.1</v>
      </c>
    </row>
    <row r="15" spans="1:6" ht="14.25" thickBot="1">
      <c r="A15" s="1534" t="s">
        <v>1634</v>
      </c>
      <c r="B15" s="1538" t="s">
        <v>1602</v>
      </c>
      <c r="C15" s="2125">
        <v>9.8000000000000004E-2</v>
      </c>
      <c r="D15" s="2125">
        <v>8.8999999999999996E-2</v>
      </c>
      <c r="E15" s="2125">
        <v>8.8999999999999996E-2</v>
      </c>
      <c r="F15" s="2126">
        <v>0.1</v>
      </c>
    </row>
    <row r="16" spans="1:6" ht="14.25" thickBot="1">
      <c r="A16" s="1534" t="s">
        <v>1634</v>
      </c>
      <c r="B16" s="1538" t="s">
        <v>1613</v>
      </c>
      <c r="C16" s="2125">
        <v>7.0000000000000007E-2</v>
      </c>
      <c r="D16" s="2125">
        <v>9.2999999999999999E-2</v>
      </c>
      <c r="E16" s="2125">
        <v>9.6000000000000002E-2</v>
      </c>
      <c r="F16" s="2126">
        <v>0.1</v>
      </c>
    </row>
    <row r="17" spans="1:6" ht="14.25" thickBot="1">
      <c r="A17" s="1534" t="s">
        <v>1634</v>
      </c>
      <c r="B17" s="1538" t="s">
        <v>1624</v>
      </c>
      <c r="C17" s="2125">
        <v>9.5000000000000001E-2</v>
      </c>
      <c r="D17" s="2125">
        <v>0.1</v>
      </c>
      <c r="E17" s="2125">
        <v>0.1</v>
      </c>
      <c r="F17" s="2137"/>
    </row>
    <row r="18" spans="1:6" ht="14.25" thickBot="1">
      <c r="A18" s="1534" t="s">
        <v>1634</v>
      </c>
      <c r="B18" s="1538" t="s">
        <v>1636</v>
      </c>
      <c r="C18" s="2125">
        <v>7.3999999999999996E-2</v>
      </c>
      <c r="D18" s="2125">
        <v>9.9000000000000005E-2</v>
      </c>
      <c r="E18" s="2125">
        <v>0.1</v>
      </c>
      <c r="F18" s="2137"/>
    </row>
    <row r="19" spans="1:6" ht="14.25" thickBot="1">
      <c r="A19" s="1534" t="s">
        <v>1634</v>
      </c>
      <c r="B19" s="1538" t="s">
        <v>1646</v>
      </c>
      <c r="C19" s="2125">
        <v>9.9000000000000005E-2</v>
      </c>
      <c r="D19" s="2125">
        <v>7.5999999999999998E-2</v>
      </c>
      <c r="E19" s="2125">
        <v>8.6999999999999994E-2</v>
      </c>
      <c r="F19" s="2137"/>
    </row>
    <row r="20" spans="1:6" ht="14.25" thickBot="1">
      <c r="A20" s="1534" t="s">
        <v>1634</v>
      </c>
      <c r="B20" s="1538" t="s">
        <v>1656</v>
      </c>
      <c r="C20" s="2125">
        <v>9.8000000000000004E-2</v>
      </c>
      <c r="D20" s="2125">
        <v>8.5000000000000006E-2</v>
      </c>
      <c r="E20" s="2125">
        <v>8.2000000000000003E-2</v>
      </c>
      <c r="F20" s="2137"/>
    </row>
    <row r="21" spans="1:6" ht="14.25" thickBot="1">
      <c r="A21" s="1534" t="s">
        <v>1634</v>
      </c>
      <c r="B21" s="1538" t="s">
        <v>1666</v>
      </c>
      <c r="C21" s="2125">
        <v>6.6000000000000003E-2</v>
      </c>
      <c r="D21" s="2125">
        <v>6.4000000000000001E-2</v>
      </c>
      <c r="E21" s="2125">
        <v>6.5000000000000002E-2</v>
      </c>
      <c r="F21" s="2137"/>
    </row>
    <row r="22" spans="1:6" ht="14.25" thickBot="1">
      <c r="A22" s="1534" t="s">
        <v>1634</v>
      </c>
      <c r="B22" s="1538" t="s">
        <v>2515</v>
      </c>
      <c r="C22" s="2125">
        <v>0.08</v>
      </c>
      <c r="D22" s="2125">
        <v>9.8000000000000004E-2</v>
      </c>
      <c r="E22" s="2125">
        <v>9.8000000000000004E-2</v>
      </c>
      <c r="F22" s="2137"/>
    </row>
    <row r="23" spans="1:6" ht="14.25" thickBot="1">
      <c r="A23" s="1534" t="s">
        <v>1634</v>
      </c>
      <c r="B23" s="1538" t="s">
        <v>1687</v>
      </c>
      <c r="C23" s="2125">
        <v>9.9000000000000005E-2</v>
      </c>
      <c r="D23" s="2125">
        <v>9.8000000000000004E-2</v>
      </c>
      <c r="E23" s="2125">
        <v>9.0999999999999998E-2</v>
      </c>
      <c r="F23" s="2137"/>
    </row>
    <row r="24" spans="1:6" ht="14.25" thickBot="1">
      <c r="A24" s="1534" t="s">
        <v>1634</v>
      </c>
      <c r="B24" s="1538" t="s">
        <v>1698</v>
      </c>
      <c r="C24" s="2125">
        <v>8.8999999999999996E-2</v>
      </c>
      <c r="D24" s="2125">
        <v>9.7000000000000003E-2</v>
      </c>
      <c r="E24" s="2125">
        <v>7.0000000000000007E-2</v>
      </c>
      <c r="F24" s="2137"/>
    </row>
    <row r="25" spans="1:6" ht="14.25" thickBot="1">
      <c r="A25" s="1534" t="s">
        <v>1634</v>
      </c>
      <c r="B25" s="1538" t="s">
        <v>1708</v>
      </c>
      <c r="C25" s="2125">
        <v>8.8999999999999996E-2</v>
      </c>
      <c r="D25" s="2125">
        <v>0.1</v>
      </c>
      <c r="E25" s="2125">
        <v>8.1000000000000003E-2</v>
      </c>
      <c r="F25" s="2137"/>
    </row>
    <row r="26" spans="1:6" ht="14.25" thickBot="1">
      <c r="A26" s="1534" t="s">
        <v>1634</v>
      </c>
      <c r="B26" s="1538" t="s">
        <v>1718</v>
      </c>
      <c r="C26" s="2138"/>
      <c r="D26" s="2125">
        <v>9.6000000000000002E-2</v>
      </c>
      <c r="E26" s="2125">
        <v>9.2999999999999999E-2</v>
      </c>
      <c r="F26" s="2137"/>
    </row>
    <row r="27" spans="1:6" ht="14.25" thickBot="1">
      <c r="A27" s="1534" t="s">
        <v>1634</v>
      </c>
      <c r="B27" s="1538" t="s">
        <v>1728</v>
      </c>
      <c r="C27" s="2138"/>
      <c r="D27" s="2125">
        <v>7.5999999999999998E-2</v>
      </c>
      <c r="E27" s="2125">
        <v>9.1999999999999998E-2</v>
      </c>
      <c r="F27" s="2137"/>
    </row>
    <row r="28" spans="1:6" ht="14.25" thickBot="1">
      <c r="A28" s="1544" t="s">
        <v>1634</v>
      </c>
      <c r="B28" s="1539" t="s">
        <v>1738</v>
      </c>
      <c r="C28" s="2135"/>
      <c r="D28" s="2127">
        <v>7.5999999999999998E-2</v>
      </c>
      <c r="E28" s="2127">
        <v>9.1999999999999998E-2</v>
      </c>
      <c r="F28" s="2136"/>
    </row>
    <row r="29" spans="1:6" ht="14.25" thickBot="1">
      <c r="A29" s="1534" t="s">
        <v>1807</v>
      </c>
      <c r="B29" s="1535" t="s">
        <v>2516</v>
      </c>
      <c r="C29" s="2123">
        <v>6.4000000000000001E-2</v>
      </c>
      <c r="D29" s="2123">
        <v>6.5000000000000002E-2</v>
      </c>
      <c r="E29" s="2123">
        <v>6.9000000000000006E-2</v>
      </c>
      <c r="F29" s="2124">
        <v>0.1</v>
      </c>
    </row>
    <row r="30" spans="1:6" ht="14.25" thickBot="1">
      <c r="A30" s="1534" t="s">
        <v>1807</v>
      </c>
      <c r="B30" s="1538" t="s">
        <v>1554</v>
      </c>
      <c r="C30" s="2125">
        <v>6.4000000000000001E-2</v>
      </c>
      <c r="D30" s="2125">
        <v>9.9000000000000005E-2</v>
      </c>
      <c r="E30" s="2125">
        <v>0.1</v>
      </c>
      <c r="F30" s="2126">
        <v>0.1</v>
      </c>
    </row>
    <row r="31" spans="1:6" ht="14.25" thickBot="1">
      <c r="A31" s="1534" t="s">
        <v>1807</v>
      </c>
      <c r="B31" s="1538" t="s">
        <v>1567</v>
      </c>
      <c r="C31" s="2125">
        <v>0.1</v>
      </c>
      <c r="D31" s="2125">
        <v>9.5000000000000001E-2</v>
      </c>
      <c r="E31" s="2125">
        <v>8.8999999999999996E-2</v>
      </c>
      <c r="F31" s="2126">
        <v>0.1</v>
      </c>
    </row>
    <row r="32" spans="1:6" ht="14.25" thickBot="1">
      <c r="A32" s="1534" t="s">
        <v>1807</v>
      </c>
      <c r="B32" s="1538" t="s">
        <v>1580</v>
      </c>
      <c r="C32" s="2125">
        <v>0.05</v>
      </c>
      <c r="D32" s="2125">
        <v>0.05</v>
      </c>
      <c r="E32" s="2125">
        <v>8.7999999999999995E-2</v>
      </c>
      <c r="F32" s="2126">
        <v>0.1</v>
      </c>
    </row>
    <row r="33" spans="1:6" ht="14.25" thickBot="1">
      <c r="A33" s="1534" t="s">
        <v>1807</v>
      </c>
      <c r="B33" s="1538" t="s">
        <v>1592</v>
      </c>
      <c r="C33" s="2125">
        <v>7.4999999999999997E-2</v>
      </c>
      <c r="D33" s="2125">
        <v>9.4E-2</v>
      </c>
      <c r="E33" s="2125">
        <v>9.7000000000000003E-2</v>
      </c>
      <c r="F33" s="2126">
        <v>0.1</v>
      </c>
    </row>
    <row r="34" spans="1:6" ht="14.25" thickBot="1">
      <c r="A34" s="1534" t="s">
        <v>1807</v>
      </c>
      <c r="B34" s="1538" t="s">
        <v>1603</v>
      </c>
      <c r="C34" s="2125">
        <v>9.8000000000000004E-2</v>
      </c>
      <c r="D34" s="2125">
        <v>8.5999999999999993E-2</v>
      </c>
      <c r="E34" s="2125">
        <v>9.7000000000000003E-2</v>
      </c>
      <c r="F34" s="2126">
        <v>0.1</v>
      </c>
    </row>
    <row r="35" spans="1:6" ht="14.25" thickBot="1">
      <c r="A35" s="1534" t="s">
        <v>1807</v>
      </c>
      <c r="B35" s="1538" t="s">
        <v>1614</v>
      </c>
      <c r="C35" s="2125">
        <v>5.8999999999999997E-2</v>
      </c>
      <c r="D35" s="2125">
        <v>6.5000000000000002E-2</v>
      </c>
      <c r="E35" s="2125">
        <v>7.0000000000000007E-2</v>
      </c>
      <c r="F35" s="2126">
        <v>0.1</v>
      </c>
    </row>
    <row r="36" spans="1:6" ht="14.25" thickBot="1">
      <c r="A36" s="1534" t="s">
        <v>1807</v>
      </c>
      <c r="B36" s="1538" t="s">
        <v>1625</v>
      </c>
      <c r="C36" s="2125">
        <v>6.3E-2</v>
      </c>
      <c r="D36" s="2125">
        <v>0.1</v>
      </c>
      <c r="E36" s="2125">
        <v>0.1</v>
      </c>
      <c r="F36" s="2126">
        <v>0.1</v>
      </c>
    </row>
    <row r="37" spans="1:6" ht="14.25" thickBot="1">
      <c r="A37" s="1534" t="s">
        <v>1807</v>
      </c>
      <c r="B37" s="1538" t="s">
        <v>1637</v>
      </c>
      <c r="C37" s="2125">
        <v>7.3999999999999996E-2</v>
      </c>
      <c r="D37" s="2125">
        <v>0.1</v>
      </c>
      <c r="E37" s="2125">
        <v>0.1</v>
      </c>
      <c r="F37" s="2126">
        <v>0.1</v>
      </c>
    </row>
    <row r="38" spans="1:6" ht="14.25" thickBot="1">
      <c r="A38" s="1534" t="s">
        <v>1807</v>
      </c>
      <c r="B38" s="1538" t="s">
        <v>1647</v>
      </c>
      <c r="C38" s="2125">
        <v>0.1</v>
      </c>
      <c r="D38" s="2125">
        <v>9.6000000000000002E-2</v>
      </c>
      <c r="E38" s="2125">
        <v>9.6000000000000002E-2</v>
      </c>
      <c r="F38" s="2137"/>
    </row>
    <row r="39" spans="1:6" ht="14.25" thickBot="1">
      <c r="A39" s="1534" t="s">
        <v>1807</v>
      </c>
      <c r="B39" s="1538" t="s">
        <v>1657</v>
      </c>
      <c r="C39" s="2125">
        <v>0.1</v>
      </c>
      <c r="D39" s="2125">
        <v>9.6000000000000002E-2</v>
      </c>
      <c r="E39" s="2125">
        <v>9.6000000000000002E-2</v>
      </c>
      <c r="F39" s="2137"/>
    </row>
    <row r="40" spans="1:6" ht="14.25" thickBot="1">
      <c r="A40" s="1534" t="s">
        <v>1807</v>
      </c>
      <c r="B40" s="1538" t="s">
        <v>1667</v>
      </c>
      <c r="C40" s="2125">
        <v>9.6000000000000002E-2</v>
      </c>
      <c r="D40" s="2125">
        <v>0.1</v>
      </c>
      <c r="E40" s="2125">
        <v>9.9000000000000005E-2</v>
      </c>
      <c r="F40" s="2137"/>
    </row>
    <row r="41" spans="1:6" ht="14.25" thickBot="1">
      <c r="A41" s="1534" t="s">
        <v>1807</v>
      </c>
      <c r="B41" s="1538" t="s">
        <v>1677</v>
      </c>
      <c r="C41" s="2125">
        <v>9.6000000000000002E-2</v>
      </c>
      <c r="D41" s="2125">
        <v>9.8000000000000004E-2</v>
      </c>
      <c r="E41" s="2125">
        <v>9.8000000000000004E-2</v>
      </c>
      <c r="F41" s="2137"/>
    </row>
    <row r="42" spans="1:6" ht="14.25" thickBot="1">
      <c r="A42" s="1534" t="s">
        <v>1807</v>
      </c>
      <c r="B42" s="1538" t="s">
        <v>1688</v>
      </c>
      <c r="C42" s="2125">
        <v>0.1</v>
      </c>
      <c r="D42" s="2125">
        <v>8.7999999999999995E-2</v>
      </c>
      <c r="E42" s="2125">
        <v>0.1</v>
      </c>
      <c r="F42" s="2137"/>
    </row>
    <row r="43" spans="1:6" ht="14.25" thickBot="1">
      <c r="A43" s="1534" t="s">
        <v>1807</v>
      </c>
      <c r="B43" s="1538" t="s">
        <v>1699</v>
      </c>
      <c r="C43" s="2125">
        <v>9.8000000000000004E-2</v>
      </c>
      <c r="D43" s="2125">
        <v>9.7000000000000003E-2</v>
      </c>
      <c r="E43" s="2125">
        <v>9.6000000000000002E-2</v>
      </c>
      <c r="F43" s="2137"/>
    </row>
    <row r="44" spans="1:6" ht="14.25" thickBot="1">
      <c r="A44" s="1534" t="s">
        <v>1807</v>
      </c>
      <c r="B44" s="1538" t="s">
        <v>1709</v>
      </c>
      <c r="C44" s="2125">
        <v>8.5999999999999993E-2</v>
      </c>
      <c r="D44" s="2125">
        <v>7.9000000000000001E-2</v>
      </c>
      <c r="E44" s="2125">
        <v>7.0999999999999994E-2</v>
      </c>
      <c r="F44" s="2137"/>
    </row>
    <row r="45" spans="1:6" ht="14.25" thickBot="1">
      <c r="A45" s="1534" t="s">
        <v>1807</v>
      </c>
      <c r="B45" s="1538" t="s">
        <v>1719</v>
      </c>
      <c r="C45" s="2125">
        <v>9.8000000000000004E-2</v>
      </c>
      <c r="D45" s="2125">
        <v>9.6000000000000002E-2</v>
      </c>
      <c r="E45" s="2125">
        <v>9.6000000000000002E-2</v>
      </c>
      <c r="F45" s="2137"/>
    </row>
    <row r="46" spans="1:6" ht="14.25" thickBot="1">
      <c r="A46" s="1534" t="s">
        <v>1807</v>
      </c>
      <c r="B46" s="1538" t="s">
        <v>1729</v>
      </c>
      <c r="C46" s="2125">
        <v>8.5999999999999993E-2</v>
      </c>
      <c r="D46" s="2125">
        <v>9.8000000000000004E-2</v>
      </c>
      <c r="E46" s="2125">
        <v>8.7999999999999995E-2</v>
      </c>
      <c r="F46" s="2137"/>
    </row>
    <row r="47" spans="1:6" ht="14.25" thickBot="1">
      <c r="A47" s="1534" t="s">
        <v>1807</v>
      </c>
      <c r="B47" s="1538" t="s">
        <v>1739</v>
      </c>
      <c r="C47" s="2125">
        <v>9.6000000000000002E-2</v>
      </c>
      <c r="D47" s="2138"/>
      <c r="E47" s="2125">
        <v>6.9000000000000006E-2</v>
      </c>
      <c r="F47" s="2137"/>
    </row>
    <row r="48" spans="1:6" ht="14.25" thickBot="1">
      <c r="A48" s="1544" t="s">
        <v>1807</v>
      </c>
      <c r="B48" s="1539" t="s">
        <v>1748</v>
      </c>
      <c r="C48" s="2127">
        <v>9.8000000000000004E-2</v>
      </c>
      <c r="D48" s="2135"/>
      <c r="E48" s="2127">
        <v>9.5000000000000001E-2</v>
      </c>
      <c r="F48" s="2136"/>
    </row>
    <row r="49" spans="1:6" ht="14.25" thickBot="1">
      <c r="A49" s="1534" t="s">
        <v>1487</v>
      </c>
      <c r="B49" s="1535" t="s">
        <v>2517</v>
      </c>
      <c r="C49" s="2123">
        <v>9.7000000000000003E-2</v>
      </c>
      <c r="D49" s="2123">
        <v>9.5000000000000001E-2</v>
      </c>
      <c r="E49" s="2123">
        <v>9.7000000000000003E-2</v>
      </c>
      <c r="F49" s="2124">
        <v>0.1</v>
      </c>
    </row>
    <row r="50" spans="1:6" ht="14.25" thickBot="1">
      <c r="A50" s="1534" t="s">
        <v>1487</v>
      </c>
      <c r="B50" s="1528" t="s">
        <v>1555</v>
      </c>
      <c r="C50" s="2125">
        <v>7.4999999999999997E-2</v>
      </c>
      <c r="D50" s="2125">
        <v>9.5000000000000001E-2</v>
      </c>
      <c r="E50" s="2125">
        <v>0.1</v>
      </c>
      <c r="F50" s="2126">
        <v>0.1</v>
      </c>
    </row>
    <row r="51" spans="1:6" ht="14.25" thickBot="1">
      <c r="A51" s="1534" t="s">
        <v>1487</v>
      </c>
      <c r="B51" s="1528" t="s">
        <v>1568</v>
      </c>
      <c r="C51" s="2125">
        <v>9.8000000000000004E-2</v>
      </c>
      <c r="D51" s="2125">
        <v>8.8999999999999996E-2</v>
      </c>
      <c r="E51" s="2125">
        <v>0.1</v>
      </c>
      <c r="F51" s="2126">
        <v>0.1</v>
      </c>
    </row>
    <row r="52" spans="1:6" ht="14.25" thickBot="1">
      <c r="A52" s="1534" t="s">
        <v>1487</v>
      </c>
      <c r="B52" s="1528" t="s">
        <v>1581</v>
      </c>
      <c r="C52" s="2125">
        <v>9.8000000000000004E-2</v>
      </c>
      <c r="D52" s="2125">
        <v>9.7000000000000003E-2</v>
      </c>
      <c r="E52" s="2125">
        <v>8.1000000000000003E-2</v>
      </c>
      <c r="F52" s="2126">
        <v>0.1</v>
      </c>
    </row>
    <row r="53" spans="1:6" ht="14.25" thickBot="1">
      <c r="A53" s="1534" t="s">
        <v>1487</v>
      </c>
      <c r="B53" s="1528" t="s">
        <v>1593</v>
      </c>
      <c r="C53" s="2125">
        <v>9.7000000000000003E-2</v>
      </c>
      <c r="D53" s="2125">
        <v>7.5999999999999998E-2</v>
      </c>
      <c r="E53" s="2125">
        <v>7.0999999999999994E-2</v>
      </c>
      <c r="F53" s="2126">
        <v>0.1</v>
      </c>
    </row>
    <row r="54" spans="1:6" ht="14.25" thickBot="1">
      <c r="A54" s="1534" t="s">
        <v>1487</v>
      </c>
      <c r="B54" s="1528" t="s">
        <v>1604</v>
      </c>
      <c r="C54" s="2125">
        <v>7.5999999999999998E-2</v>
      </c>
      <c r="D54" s="2125">
        <v>0.1</v>
      </c>
      <c r="E54" s="2125">
        <v>9.9000000000000005E-2</v>
      </c>
      <c r="F54" s="2126">
        <v>0.1</v>
      </c>
    </row>
    <row r="55" spans="1:6" ht="14.25" thickBot="1">
      <c r="A55" s="1534" t="s">
        <v>1487</v>
      </c>
      <c r="B55" s="1528" t="s">
        <v>1615</v>
      </c>
      <c r="C55" s="2125">
        <v>0.1</v>
      </c>
      <c r="D55" s="2125">
        <v>0.1</v>
      </c>
      <c r="E55" s="2125">
        <v>9.6000000000000002E-2</v>
      </c>
      <c r="F55" s="2126">
        <v>0.1</v>
      </c>
    </row>
    <row r="56" spans="1:6" ht="14.25" thickBot="1">
      <c r="A56" s="1534" t="s">
        <v>1487</v>
      </c>
      <c r="B56" s="1528" t="s">
        <v>1626</v>
      </c>
      <c r="C56" s="2125">
        <v>0.1</v>
      </c>
      <c r="D56" s="2125">
        <v>9.6000000000000002E-2</v>
      </c>
      <c r="E56" s="2125">
        <v>5.1999999999999998E-2</v>
      </c>
      <c r="F56" s="2126">
        <v>0.1</v>
      </c>
    </row>
    <row r="57" spans="1:6" ht="14.25" thickBot="1">
      <c r="A57" s="1534" t="s">
        <v>1487</v>
      </c>
      <c r="B57" s="1528" t="s">
        <v>1638</v>
      </c>
      <c r="C57" s="2125">
        <v>9.7000000000000003E-2</v>
      </c>
      <c r="D57" s="2125">
        <v>9.6000000000000002E-2</v>
      </c>
      <c r="E57" s="2125">
        <v>9.6000000000000002E-2</v>
      </c>
      <c r="F57" s="2126">
        <v>0.1</v>
      </c>
    </row>
    <row r="58" spans="1:6" ht="14.25" thickBot="1">
      <c r="A58" s="1534" t="s">
        <v>1487</v>
      </c>
      <c r="B58" s="1528" t="s">
        <v>1648</v>
      </c>
      <c r="C58" s="2125">
        <v>9.6000000000000002E-2</v>
      </c>
      <c r="D58" s="2125">
        <v>9.9000000000000005E-2</v>
      </c>
      <c r="E58" s="2125">
        <v>9.6000000000000002E-2</v>
      </c>
      <c r="F58" s="2126">
        <v>0.1</v>
      </c>
    </row>
    <row r="59" spans="1:6" ht="14.25" thickBot="1">
      <c r="A59" s="1534" t="s">
        <v>1487</v>
      </c>
      <c r="B59" s="1528" t="s">
        <v>1658</v>
      </c>
      <c r="C59" s="2125">
        <v>7.1999999999999995E-2</v>
      </c>
      <c r="D59" s="2125">
        <v>9.6000000000000002E-2</v>
      </c>
      <c r="E59" s="2125">
        <v>7.0999999999999994E-2</v>
      </c>
      <c r="F59" s="2126">
        <v>0.1</v>
      </c>
    </row>
    <row r="60" spans="1:6" ht="14.25" thickBot="1">
      <c r="A60" s="1534" t="s">
        <v>1487</v>
      </c>
      <c r="B60" s="1528" t="s">
        <v>1668</v>
      </c>
      <c r="C60" s="2125">
        <v>9.6000000000000002E-2</v>
      </c>
      <c r="D60" s="2125">
        <v>8.8999999999999996E-2</v>
      </c>
      <c r="E60" s="2125">
        <v>9.6000000000000002E-2</v>
      </c>
      <c r="F60" s="2126">
        <v>0.1</v>
      </c>
    </row>
    <row r="61" spans="1:6" ht="14.25" thickBot="1">
      <c r="A61" s="1534" t="s">
        <v>1487</v>
      </c>
      <c r="B61" s="1528" t="s">
        <v>1678</v>
      </c>
      <c r="C61" s="2125">
        <v>8.8999999999999996E-2</v>
      </c>
      <c r="D61" s="2125">
        <v>9.8000000000000004E-2</v>
      </c>
      <c r="E61" s="2125">
        <v>8.7999999999999995E-2</v>
      </c>
      <c r="F61" s="2137"/>
    </row>
    <row r="62" spans="1:6" ht="14.25" thickBot="1">
      <c r="A62" s="1534" t="s">
        <v>1487</v>
      </c>
      <c r="B62" s="1528" t="s">
        <v>1689</v>
      </c>
      <c r="C62" s="2125">
        <v>9.8000000000000004E-2</v>
      </c>
      <c r="D62" s="2125">
        <v>9.2999999999999999E-2</v>
      </c>
      <c r="E62" s="2125">
        <v>9.7000000000000003E-2</v>
      </c>
      <c r="F62" s="2137"/>
    </row>
    <row r="63" spans="1:6" ht="14.25" thickBot="1">
      <c r="A63" s="1534" t="s">
        <v>1487</v>
      </c>
      <c r="B63" s="1528" t="s">
        <v>1700</v>
      </c>
      <c r="C63" s="2125">
        <v>9.6000000000000002E-2</v>
      </c>
      <c r="D63" s="2125">
        <v>9.8000000000000004E-2</v>
      </c>
      <c r="E63" s="2125">
        <v>0.09</v>
      </c>
      <c r="F63" s="2137"/>
    </row>
    <row r="64" spans="1:6" ht="14.25" thickBot="1">
      <c r="A64" s="1534" t="s">
        <v>1487</v>
      </c>
      <c r="B64" s="1528" t="s">
        <v>1710</v>
      </c>
      <c r="C64" s="2125">
        <v>9.9000000000000005E-2</v>
      </c>
      <c r="D64" s="2125">
        <v>9.7000000000000003E-2</v>
      </c>
      <c r="E64" s="2125">
        <v>9.9000000000000005E-2</v>
      </c>
      <c r="F64" s="2137"/>
    </row>
    <row r="65" spans="1:6" ht="14.25" thickBot="1">
      <c r="A65" s="1534" t="s">
        <v>1487</v>
      </c>
      <c r="B65" s="1528" t="s">
        <v>1720</v>
      </c>
      <c r="C65" s="2125">
        <v>9.8000000000000004E-2</v>
      </c>
      <c r="D65" s="2125">
        <v>9.6000000000000002E-2</v>
      </c>
      <c r="E65" s="2125">
        <v>9.6000000000000002E-2</v>
      </c>
      <c r="F65" s="2137"/>
    </row>
    <row r="66" spans="1:6" ht="14.25" thickBot="1">
      <c r="A66" s="1534" t="s">
        <v>1487</v>
      </c>
      <c r="B66" s="1528" t="s">
        <v>1730</v>
      </c>
      <c r="C66" s="2125">
        <v>9.6000000000000002E-2</v>
      </c>
      <c r="D66" s="2125">
        <v>9.1999999999999998E-2</v>
      </c>
      <c r="E66" s="2125">
        <v>9.6000000000000002E-2</v>
      </c>
      <c r="F66" s="2137"/>
    </row>
    <row r="67" spans="1:6" ht="14.25" thickBot="1">
      <c r="A67" s="1534" t="s">
        <v>1487</v>
      </c>
      <c r="B67" s="1528" t="s">
        <v>1740</v>
      </c>
      <c r="C67" s="2125">
        <v>9.4E-2</v>
      </c>
      <c r="D67" s="2125">
        <v>0.1</v>
      </c>
      <c r="E67" s="2125">
        <v>8.7999999999999995E-2</v>
      </c>
      <c r="F67" s="2137"/>
    </row>
    <row r="68" spans="1:6" ht="14.25" thickBot="1">
      <c r="A68" s="1534" t="s">
        <v>1487</v>
      </c>
      <c r="B68" s="1528" t="s">
        <v>1749</v>
      </c>
      <c r="C68" s="2125">
        <v>0.1</v>
      </c>
      <c r="D68" s="2125">
        <v>8.7999999999999995E-2</v>
      </c>
      <c r="E68" s="2125">
        <v>9.7000000000000003E-2</v>
      </c>
      <c r="F68" s="2137"/>
    </row>
    <row r="69" spans="1:6" ht="14.25" thickBot="1">
      <c r="A69" s="1534" t="s">
        <v>1487</v>
      </c>
      <c r="B69" s="1528" t="s">
        <v>1758</v>
      </c>
      <c r="C69" s="2125">
        <v>6.4000000000000001E-2</v>
      </c>
      <c r="D69" s="2125">
        <v>0.1</v>
      </c>
      <c r="E69" s="2125">
        <v>0.1</v>
      </c>
      <c r="F69" s="2137"/>
    </row>
    <row r="70" spans="1:6" ht="14.25" thickBot="1">
      <c r="A70" s="1534" t="s">
        <v>1487</v>
      </c>
      <c r="B70" s="1528" t="s">
        <v>1766</v>
      </c>
      <c r="C70" s="2125">
        <v>9.0999999999999998E-2</v>
      </c>
      <c r="D70" s="2138"/>
      <c r="E70" s="2138"/>
      <c r="F70" s="2137"/>
    </row>
    <row r="71" spans="1:6" ht="14.25" thickBot="1">
      <c r="A71" s="1534" t="s">
        <v>1487</v>
      </c>
      <c r="B71" s="1528" t="s">
        <v>1773</v>
      </c>
      <c r="C71" s="2125">
        <v>0.1</v>
      </c>
      <c r="D71" s="2138"/>
      <c r="E71" s="2138"/>
      <c r="F71" s="2137"/>
    </row>
    <row r="72" spans="1:6" ht="14.25" thickBot="1">
      <c r="A72" s="1534" t="s">
        <v>1487</v>
      </c>
      <c r="B72" s="1528" t="s">
        <v>2518</v>
      </c>
      <c r="C72" s="2138"/>
      <c r="D72" s="2138"/>
      <c r="E72" s="2138"/>
      <c r="F72" s="2126">
        <v>0.05</v>
      </c>
    </row>
    <row r="73" spans="1:6" ht="14.25" thickBot="1">
      <c r="A73" s="1534" t="s">
        <v>1487</v>
      </c>
      <c r="B73" s="1528" t="s">
        <v>2519</v>
      </c>
      <c r="C73" s="2138"/>
      <c r="D73" s="2138"/>
      <c r="E73" s="2138"/>
      <c r="F73" s="2126">
        <v>0.05</v>
      </c>
    </row>
    <row r="74" spans="1:6" ht="14.25" thickBot="1">
      <c r="A74" s="1534" t="s">
        <v>1487</v>
      </c>
      <c r="B74" s="1528" t="s">
        <v>2520</v>
      </c>
      <c r="C74" s="2138"/>
      <c r="D74" s="2138"/>
      <c r="E74" s="2138"/>
      <c r="F74" s="2126">
        <v>0.05</v>
      </c>
    </row>
    <row r="75" spans="1:6" ht="14.25" thickBot="1">
      <c r="A75" s="1544" t="s">
        <v>1487</v>
      </c>
      <c r="B75" s="1540" t="s">
        <v>2521</v>
      </c>
      <c r="C75" s="2135"/>
      <c r="D75" s="2135"/>
      <c r="E75" s="2135"/>
      <c r="F75" s="2128">
        <v>0.05</v>
      </c>
    </row>
    <row r="76" spans="1:6" ht="14.25" thickBot="1">
      <c r="A76" s="1534" t="s">
        <v>1888</v>
      </c>
      <c r="B76" s="1535" t="s">
        <v>2522</v>
      </c>
      <c r="C76" s="2123">
        <v>0.1</v>
      </c>
      <c r="D76" s="2123">
        <v>0.1</v>
      </c>
      <c r="E76" s="2123">
        <v>0.1</v>
      </c>
      <c r="F76" s="2124">
        <v>0.1</v>
      </c>
    </row>
    <row r="77" spans="1:6" ht="14.25" thickBot="1">
      <c r="A77" s="1534" t="s">
        <v>1888</v>
      </c>
      <c r="B77" s="1528" t="s">
        <v>1556</v>
      </c>
      <c r="C77" s="2125">
        <v>8.7999999999999995E-2</v>
      </c>
      <c r="D77" s="2125">
        <v>8.6999999999999994E-2</v>
      </c>
      <c r="E77" s="2125">
        <v>7.9000000000000001E-2</v>
      </c>
      <c r="F77" s="2126">
        <v>0.1</v>
      </c>
    </row>
    <row r="78" spans="1:6" ht="14.25" thickBot="1">
      <c r="A78" s="1534" t="s">
        <v>1888</v>
      </c>
      <c r="B78" s="1528" t="s">
        <v>1569</v>
      </c>
      <c r="C78" s="2125">
        <v>8.6999999999999994E-2</v>
      </c>
      <c r="D78" s="2125">
        <v>8.4000000000000005E-2</v>
      </c>
      <c r="E78" s="2125">
        <v>9.6000000000000002E-2</v>
      </c>
      <c r="F78" s="2126">
        <v>0.1</v>
      </c>
    </row>
    <row r="79" spans="1:6" ht="14.25" thickBot="1">
      <c r="A79" s="1534" t="s">
        <v>1888</v>
      </c>
      <c r="B79" s="1528" t="s">
        <v>1582</v>
      </c>
      <c r="C79" s="2125">
        <v>9.8000000000000004E-2</v>
      </c>
      <c r="D79" s="2125">
        <v>9.8000000000000004E-2</v>
      </c>
      <c r="E79" s="2125">
        <v>9.0999999999999998E-2</v>
      </c>
      <c r="F79" s="2126">
        <v>0.1</v>
      </c>
    </row>
    <row r="80" spans="1:6" ht="14.25" thickBot="1">
      <c r="A80" s="1534" t="s">
        <v>1888</v>
      </c>
      <c r="B80" s="1528" t="s">
        <v>1594</v>
      </c>
      <c r="C80" s="2125">
        <v>9.6000000000000002E-2</v>
      </c>
      <c r="D80" s="2125">
        <v>9.6000000000000002E-2</v>
      </c>
      <c r="E80" s="2125">
        <v>0.1</v>
      </c>
      <c r="F80" s="2126">
        <v>0.1</v>
      </c>
    </row>
    <row r="81" spans="1:6" ht="14.25" thickBot="1">
      <c r="A81" s="1534" t="s">
        <v>1888</v>
      </c>
      <c r="B81" s="1528" t="s">
        <v>1605</v>
      </c>
      <c r="C81" s="2125">
        <v>9.9000000000000005E-2</v>
      </c>
      <c r="D81" s="2125">
        <v>9.9000000000000005E-2</v>
      </c>
      <c r="E81" s="2125">
        <v>9.8000000000000004E-2</v>
      </c>
      <c r="F81" s="2126">
        <v>0.1</v>
      </c>
    </row>
    <row r="82" spans="1:6" ht="14.25" thickBot="1">
      <c r="A82" s="1534" t="s">
        <v>1888</v>
      </c>
      <c r="B82" s="1528" t="s">
        <v>1616</v>
      </c>
      <c r="C82" s="2125">
        <v>9.9000000000000005E-2</v>
      </c>
      <c r="D82" s="2125">
        <v>9.9000000000000005E-2</v>
      </c>
      <c r="E82" s="2125">
        <v>9.7000000000000003E-2</v>
      </c>
      <c r="F82" s="2126">
        <v>0.1</v>
      </c>
    </row>
    <row r="83" spans="1:6" ht="14.25" thickBot="1">
      <c r="A83" s="1534" t="s">
        <v>1888</v>
      </c>
      <c r="B83" s="1528" t="s">
        <v>1627</v>
      </c>
      <c r="C83" s="2125">
        <v>9.8000000000000004E-2</v>
      </c>
      <c r="D83" s="2125">
        <v>9.8000000000000004E-2</v>
      </c>
      <c r="E83" s="2125">
        <v>9.8000000000000004E-2</v>
      </c>
      <c r="F83" s="2126">
        <v>0.1</v>
      </c>
    </row>
    <row r="84" spans="1:6" ht="14.25" thickBot="1">
      <c r="A84" s="1534" t="s">
        <v>1888</v>
      </c>
      <c r="B84" s="1528" t="s">
        <v>1639</v>
      </c>
      <c r="C84" s="2125">
        <v>9.9000000000000005E-2</v>
      </c>
      <c r="D84" s="2125">
        <v>9.9000000000000005E-2</v>
      </c>
      <c r="E84" s="2125">
        <v>9.9000000000000005E-2</v>
      </c>
      <c r="F84" s="2126">
        <v>0.1</v>
      </c>
    </row>
    <row r="85" spans="1:6" ht="14.25" thickBot="1">
      <c r="A85" s="1534" t="s">
        <v>1888</v>
      </c>
      <c r="B85" s="1528" t="s">
        <v>1649</v>
      </c>
      <c r="C85" s="2125">
        <v>9.9000000000000005E-2</v>
      </c>
      <c r="D85" s="2125">
        <v>9.9000000000000005E-2</v>
      </c>
      <c r="E85" s="2125">
        <v>9.9000000000000005E-2</v>
      </c>
      <c r="F85" s="2126">
        <v>0.1</v>
      </c>
    </row>
    <row r="86" spans="1:6" ht="14.25" thickBot="1">
      <c r="A86" s="1534" t="s">
        <v>1888</v>
      </c>
      <c r="B86" s="1528" t="s">
        <v>1659</v>
      </c>
      <c r="C86" s="2125">
        <v>0.1</v>
      </c>
      <c r="D86" s="2125">
        <v>0.1</v>
      </c>
      <c r="E86" s="2125">
        <v>7.6999999999999999E-2</v>
      </c>
      <c r="F86" s="2126">
        <v>0.1</v>
      </c>
    </row>
    <row r="87" spans="1:6" ht="14.25" thickBot="1">
      <c r="A87" s="1534" t="s">
        <v>1888</v>
      </c>
      <c r="B87" s="1528" t="s">
        <v>1669</v>
      </c>
      <c r="C87" s="2125">
        <v>0.1</v>
      </c>
      <c r="D87" s="2125">
        <v>0.1</v>
      </c>
      <c r="E87" s="2125">
        <v>9.8000000000000004E-2</v>
      </c>
      <c r="F87" s="2137"/>
    </row>
    <row r="88" spans="1:6" ht="14.25" thickBot="1">
      <c r="A88" s="1534" t="s">
        <v>1888</v>
      </c>
      <c r="B88" s="1528" t="s">
        <v>1679</v>
      </c>
      <c r="C88" s="2125">
        <v>9.1999999999999998E-2</v>
      </c>
      <c r="D88" s="2125">
        <v>8.5000000000000006E-2</v>
      </c>
      <c r="E88" s="2125">
        <v>9.6000000000000002E-2</v>
      </c>
      <c r="F88" s="2137"/>
    </row>
    <row r="89" spans="1:6" ht="14.25" thickBot="1">
      <c r="A89" s="1534" t="s">
        <v>1888</v>
      </c>
      <c r="B89" s="1528" t="s">
        <v>1690</v>
      </c>
      <c r="C89" s="2125">
        <v>0.1</v>
      </c>
      <c r="D89" s="2125">
        <v>0.1</v>
      </c>
      <c r="E89" s="2125">
        <v>9.7000000000000003E-2</v>
      </c>
      <c r="F89" s="2137"/>
    </row>
    <row r="90" spans="1:6" ht="14.25" thickBot="1">
      <c r="A90" s="1534" t="s">
        <v>1888</v>
      </c>
      <c r="B90" s="1528" t="s">
        <v>1701</v>
      </c>
      <c r="C90" s="2125">
        <v>9.8000000000000004E-2</v>
      </c>
      <c r="D90" s="2125">
        <v>9.8000000000000004E-2</v>
      </c>
      <c r="E90" s="2125">
        <v>8.7999999999999995E-2</v>
      </c>
      <c r="F90" s="2137"/>
    </row>
    <row r="91" spans="1:6" ht="14.25" thickBot="1">
      <c r="A91" s="1534" t="s">
        <v>1888</v>
      </c>
      <c r="B91" s="1528" t="s">
        <v>1711</v>
      </c>
      <c r="C91" s="2125">
        <v>9.9000000000000005E-2</v>
      </c>
      <c r="D91" s="2125">
        <v>9.9000000000000005E-2</v>
      </c>
      <c r="E91" s="2125">
        <v>9.0999999999999998E-2</v>
      </c>
      <c r="F91" s="2137"/>
    </row>
    <row r="92" spans="1:6" ht="14.25" thickBot="1">
      <c r="A92" s="1534" t="s">
        <v>1888</v>
      </c>
      <c r="B92" s="1528" t="s">
        <v>1721</v>
      </c>
      <c r="C92" s="2125">
        <v>9.6000000000000002E-2</v>
      </c>
      <c r="D92" s="2125">
        <v>9.6000000000000002E-2</v>
      </c>
      <c r="E92" s="2125">
        <v>7.2999999999999995E-2</v>
      </c>
      <c r="F92" s="2137"/>
    </row>
    <row r="93" spans="1:6" ht="14.25" thickBot="1">
      <c r="A93" s="1534" t="s">
        <v>1888</v>
      </c>
      <c r="B93" s="1528" t="s">
        <v>1731</v>
      </c>
      <c r="C93" s="2125">
        <v>9.6000000000000002E-2</v>
      </c>
      <c r="D93" s="2125">
        <v>9.6000000000000002E-2</v>
      </c>
      <c r="E93" s="2125">
        <v>9.9000000000000005E-2</v>
      </c>
      <c r="F93" s="2137"/>
    </row>
    <row r="94" spans="1:6" ht="14.25" thickBot="1">
      <c r="A94" s="1534" t="s">
        <v>1888</v>
      </c>
      <c r="B94" s="1528" t="s">
        <v>1741</v>
      </c>
      <c r="C94" s="2125">
        <v>7.5999999999999998E-2</v>
      </c>
      <c r="D94" s="2125">
        <v>7.3999999999999996E-2</v>
      </c>
      <c r="E94" s="2125">
        <v>9.7000000000000003E-2</v>
      </c>
      <c r="F94" s="2137"/>
    </row>
    <row r="95" spans="1:6" ht="14.25" thickBot="1">
      <c r="A95" s="1534" t="s">
        <v>1888</v>
      </c>
      <c r="B95" s="1528" t="s">
        <v>1750</v>
      </c>
      <c r="C95" s="2125">
        <v>9.9000000000000005E-2</v>
      </c>
      <c r="D95" s="2125">
        <v>9.4E-2</v>
      </c>
      <c r="E95" s="2125">
        <v>9.6000000000000002E-2</v>
      </c>
      <c r="F95" s="2137"/>
    </row>
    <row r="96" spans="1:6" ht="14.25" thickBot="1">
      <c r="A96" s="1534" t="s">
        <v>1888</v>
      </c>
      <c r="B96" s="1528" t="s">
        <v>1759</v>
      </c>
      <c r="C96" s="2125">
        <v>9.9000000000000005E-2</v>
      </c>
      <c r="D96" s="2125">
        <v>9.9000000000000005E-2</v>
      </c>
      <c r="E96" s="2125">
        <v>9.9000000000000005E-2</v>
      </c>
      <c r="F96" s="2137"/>
    </row>
    <row r="97" spans="1:6" ht="14.25" thickBot="1">
      <c r="A97" s="1534" t="s">
        <v>1888</v>
      </c>
      <c r="B97" s="1528" t="s">
        <v>1767</v>
      </c>
      <c r="C97" s="2125">
        <v>9.8000000000000004E-2</v>
      </c>
      <c r="D97" s="2125">
        <v>9.8000000000000004E-2</v>
      </c>
      <c r="E97" s="2125">
        <v>9.7000000000000003E-2</v>
      </c>
      <c r="F97" s="2137"/>
    </row>
    <row r="98" spans="1:6" ht="14.25" thickBot="1">
      <c r="A98" s="1534" t="s">
        <v>1888</v>
      </c>
      <c r="B98" s="1528" t="s">
        <v>1774</v>
      </c>
      <c r="C98" s="2125">
        <v>0.1</v>
      </c>
      <c r="D98" s="2125">
        <v>0.1</v>
      </c>
      <c r="E98" s="2125">
        <v>9.7000000000000003E-2</v>
      </c>
      <c r="F98" s="2137"/>
    </row>
    <row r="99" spans="1:6" ht="14.25" thickBot="1">
      <c r="A99" s="1534" t="s">
        <v>1888</v>
      </c>
      <c r="B99" s="1528" t="s">
        <v>1781</v>
      </c>
      <c r="C99" s="2125">
        <v>0.1</v>
      </c>
      <c r="D99" s="2125">
        <v>0.1</v>
      </c>
      <c r="E99" s="2138"/>
      <c r="F99" s="2137"/>
    </row>
    <row r="100" spans="1:6" ht="14.25" thickBot="1">
      <c r="A100" s="1534" t="s">
        <v>1888</v>
      </c>
      <c r="B100" s="1528" t="s">
        <v>1788</v>
      </c>
      <c r="C100" s="2125">
        <v>0.09</v>
      </c>
      <c r="D100" s="2125">
        <v>8.8999999999999996E-2</v>
      </c>
      <c r="E100" s="2138"/>
      <c r="F100" s="2137"/>
    </row>
    <row r="101" spans="1:6" ht="14.25" thickBot="1">
      <c r="A101" s="1534" t="s">
        <v>1888</v>
      </c>
      <c r="B101" s="1528" t="s">
        <v>1795</v>
      </c>
      <c r="C101" s="2125">
        <v>9.8000000000000004E-2</v>
      </c>
      <c r="D101" s="2125">
        <v>9.7000000000000003E-2</v>
      </c>
      <c r="E101" s="2138"/>
      <c r="F101" s="2137"/>
    </row>
    <row r="102" spans="1:6" ht="14.25" thickBot="1">
      <c r="A102" s="1534" t="s">
        <v>1888</v>
      </c>
      <c r="B102" s="1528" t="s">
        <v>2523</v>
      </c>
      <c r="C102" s="2138"/>
      <c r="D102" s="2138"/>
      <c r="E102" s="2138"/>
      <c r="F102" s="2126">
        <v>0.05</v>
      </c>
    </row>
    <row r="103" spans="1:6" ht="24.75" thickBot="1">
      <c r="A103" s="1534" t="s">
        <v>1888</v>
      </c>
      <c r="B103" s="1528" t="s">
        <v>2524</v>
      </c>
      <c r="C103" s="2138"/>
      <c r="D103" s="2138"/>
      <c r="E103" s="2138"/>
      <c r="F103" s="2126">
        <v>0.05</v>
      </c>
    </row>
    <row r="104" spans="1:6" ht="14.25" thickBot="1">
      <c r="A104" s="1534" t="s">
        <v>1888</v>
      </c>
      <c r="B104" s="1528" t="s">
        <v>2525</v>
      </c>
      <c r="C104" s="2138"/>
      <c r="D104" s="2138"/>
      <c r="E104" s="2138"/>
      <c r="F104" s="2126">
        <v>0.05</v>
      </c>
    </row>
    <row r="105" spans="1:6" ht="14.25" thickBot="1">
      <c r="A105" s="1534" t="s">
        <v>1888</v>
      </c>
      <c r="B105" s="1528" t="s">
        <v>2526</v>
      </c>
      <c r="C105" s="2138"/>
      <c r="D105" s="2138"/>
      <c r="E105" s="2138"/>
      <c r="F105" s="2126">
        <v>0.05</v>
      </c>
    </row>
    <row r="106" spans="1:6" ht="14.25" thickBot="1">
      <c r="A106" s="1534" t="s">
        <v>1888</v>
      </c>
      <c r="B106" s="1528" t="s">
        <v>2527</v>
      </c>
      <c r="C106" s="2138"/>
      <c r="D106" s="2138"/>
      <c r="E106" s="2138"/>
      <c r="F106" s="2126">
        <v>0.05</v>
      </c>
    </row>
    <row r="107" spans="1:6" ht="24.75" thickBot="1">
      <c r="A107" s="1534" t="s">
        <v>1888</v>
      </c>
      <c r="B107" s="1528" t="s">
        <v>2528</v>
      </c>
      <c r="C107" s="2138"/>
      <c r="D107" s="2138"/>
      <c r="E107" s="2138"/>
      <c r="F107" s="2126">
        <v>0.05</v>
      </c>
    </row>
    <row r="108" spans="1:6" ht="24.75" thickBot="1">
      <c r="A108" s="1534" t="s">
        <v>1888</v>
      </c>
      <c r="B108" s="1528" t="s">
        <v>2529</v>
      </c>
      <c r="C108" s="2138"/>
      <c r="D108" s="2138"/>
      <c r="E108" s="2138"/>
      <c r="F108" s="2126">
        <v>0.05</v>
      </c>
    </row>
    <row r="109" spans="1:6" ht="24.75" thickBot="1">
      <c r="A109" s="1544" t="s">
        <v>1888</v>
      </c>
      <c r="B109" s="1540" t="s">
        <v>2530</v>
      </c>
      <c r="C109" s="2135"/>
      <c r="D109" s="2135"/>
      <c r="E109" s="2135"/>
      <c r="F109" s="2128">
        <v>0.05</v>
      </c>
    </row>
    <row r="110" spans="1:6" ht="14.25" thickBot="1">
      <c r="A110" s="1534" t="s">
        <v>366</v>
      </c>
      <c r="B110" s="1535" t="s">
        <v>2531</v>
      </c>
      <c r="C110" s="2123">
        <v>0.129</v>
      </c>
      <c r="D110" s="2123">
        <v>0.129</v>
      </c>
      <c r="E110" s="2123">
        <v>0.126</v>
      </c>
      <c r="F110" s="2124">
        <v>0.13</v>
      </c>
    </row>
    <row r="111" spans="1:6" ht="14.25" thickBot="1">
      <c r="A111" s="1534" t="s">
        <v>366</v>
      </c>
      <c r="B111" s="1528" t="s">
        <v>1557</v>
      </c>
      <c r="C111" s="2125">
        <v>0.11</v>
      </c>
      <c r="D111" s="2125">
        <v>0.11</v>
      </c>
      <c r="E111" s="2125">
        <v>9.9000000000000005E-2</v>
      </c>
      <c r="F111" s="2126">
        <v>0.128</v>
      </c>
    </row>
    <row r="112" spans="1:6" ht="14.25" thickBot="1">
      <c r="A112" s="1534" t="s">
        <v>366</v>
      </c>
      <c r="B112" s="1528" t="s">
        <v>1570</v>
      </c>
      <c r="C112" s="2125">
        <v>0.125</v>
      </c>
      <c r="D112" s="2125">
        <v>0.125</v>
      </c>
      <c r="E112" s="2125">
        <v>0.12</v>
      </c>
      <c r="F112" s="2126">
        <v>0.125</v>
      </c>
    </row>
    <row r="113" spans="1:6" ht="14.25" thickBot="1">
      <c r="A113" s="1534" t="s">
        <v>366</v>
      </c>
      <c r="B113" s="1528" t="s">
        <v>1583</v>
      </c>
      <c r="C113" s="2125">
        <v>0.13</v>
      </c>
      <c r="D113" s="2125">
        <v>0.13</v>
      </c>
      <c r="E113" s="2125">
        <v>0.13</v>
      </c>
      <c r="F113" s="2126">
        <v>0.13</v>
      </c>
    </row>
    <row r="114" spans="1:6" ht="14.25" thickBot="1">
      <c r="A114" s="1534" t="s">
        <v>366</v>
      </c>
      <c r="B114" s="1528" t="s">
        <v>1595</v>
      </c>
      <c r="C114" s="2125">
        <v>0.123</v>
      </c>
      <c r="D114" s="2125">
        <v>0.123</v>
      </c>
      <c r="E114" s="2125">
        <v>0.12</v>
      </c>
      <c r="F114" s="2126">
        <v>0.13</v>
      </c>
    </row>
    <row r="115" spans="1:6" ht="14.25" thickBot="1">
      <c r="A115" s="1534" t="s">
        <v>366</v>
      </c>
      <c r="B115" s="1528" t="s">
        <v>1606</v>
      </c>
      <c r="C115" s="2125">
        <v>0.125</v>
      </c>
      <c r="D115" s="2125">
        <v>0.125</v>
      </c>
      <c r="E115" s="2125">
        <v>0.11700000000000001</v>
      </c>
      <c r="F115" s="2126">
        <v>0.13</v>
      </c>
    </row>
    <row r="116" spans="1:6" ht="14.25" thickBot="1">
      <c r="A116" s="1534" t="s">
        <v>366</v>
      </c>
      <c r="B116" s="1528" t="s">
        <v>1617</v>
      </c>
      <c r="C116" s="2125">
        <v>0.11700000000000001</v>
      </c>
      <c r="D116" s="2125">
        <v>0.11700000000000001</v>
      </c>
      <c r="E116" s="2125">
        <v>8.7999999999999995E-2</v>
      </c>
      <c r="F116" s="2126">
        <v>0.13</v>
      </c>
    </row>
    <row r="117" spans="1:6" ht="14.25" thickBot="1">
      <c r="A117" s="1534" t="s">
        <v>366</v>
      </c>
      <c r="B117" s="1528" t="s">
        <v>1628</v>
      </c>
      <c r="C117" s="2125">
        <v>0.13</v>
      </c>
      <c r="D117" s="2125">
        <v>0.13</v>
      </c>
      <c r="E117" s="2125">
        <v>0.129</v>
      </c>
      <c r="F117" s="2126">
        <v>0.13</v>
      </c>
    </row>
    <row r="118" spans="1:6" ht="14.25" thickBot="1">
      <c r="A118" s="1534" t="s">
        <v>366</v>
      </c>
      <c r="B118" s="1528" t="s">
        <v>1640</v>
      </c>
      <c r="C118" s="2125">
        <v>0.123</v>
      </c>
      <c r="D118" s="2125">
        <v>0.123</v>
      </c>
      <c r="E118" s="2125">
        <v>0.11600000000000001</v>
      </c>
      <c r="F118" s="2126">
        <v>0.13</v>
      </c>
    </row>
    <row r="119" spans="1:6" ht="14.25" thickBot="1">
      <c r="A119" s="1534" t="s">
        <v>366</v>
      </c>
      <c r="B119" s="1528" t="s">
        <v>1650</v>
      </c>
      <c r="C119" s="2125">
        <v>0.127</v>
      </c>
      <c r="D119" s="2125">
        <v>0.127</v>
      </c>
      <c r="E119" s="2125">
        <v>0.124</v>
      </c>
      <c r="F119" s="2126">
        <v>0.13</v>
      </c>
    </row>
    <row r="120" spans="1:6" ht="14.25" thickBot="1">
      <c r="A120" s="1534" t="s">
        <v>366</v>
      </c>
      <c r="B120" s="1528" t="s">
        <v>1660</v>
      </c>
      <c r="C120" s="2125">
        <v>0.125</v>
      </c>
      <c r="D120" s="2125">
        <v>0.125</v>
      </c>
      <c r="E120" s="2125">
        <v>0.122</v>
      </c>
      <c r="F120" s="2126">
        <v>0.13</v>
      </c>
    </row>
    <row r="121" spans="1:6" ht="14.25" thickBot="1">
      <c r="A121" s="1534" t="s">
        <v>366</v>
      </c>
      <c r="B121" s="1528" t="s">
        <v>1670</v>
      </c>
      <c r="C121" s="2125">
        <v>0.13</v>
      </c>
      <c r="D121" s="2125">
        <v>0.13</v>
      </c>
      <c r="E121" s="2125">
        <v>0.13</v>
      </c>
      <c r="F121" s="2126">
        <v>0.13</v>
      </c>
    </row>
    <row r="122" spans="1:6" ht="14.25" thickBot="1">
      <c r="A122" s="1534" t="s">
        <v>366</v>
      </c>
      <c r="B122" s="1528" t="s">
        <v>1680</v>
      </c>
      <c r="C122" s="2125">
        <v>0.13</v>
      </c>
      <c r="D122" s="2125">
        <v>0.13</v>
      </c>
      <c r="E122" s="2125">
        <v>0.125</v>
      </c>
      <c r="F122" s="2126">
        <v>0.13</v>
      </c>
    </row>
    <row r="123" spans="1:6" ht="14.25" thickBot="1">
      <c r="A123" s="1534" t="s">
        <v>366</v>
      </c>
      <c r="B123" s="1528" t="s">
        <v>1691</v>
      </c>
      <c r="C123" s="2125">
        <v>0.129</v>
      </c>
      <c r="D123" s="2125">
        <v>0.129</v>
      </c>
      <c r="E123" s="2125">
        <v>0.123</v>
      </c>
      <c r="F123" s="2126">
        <v>0.13</v>
      </c>
    </row>
    <row r="124" spans="1:6" ht="14.25" thickBot="1">
      <c r="A124" s="1534" t="s">
        <v>366</v>
      </c>
      <c r="B124" s="1528" t="s">
        <v>1702</v>
      </c>
      <c r="C124" s="2125">
        <v>0.10199999999999999</v>
      </c>
      <c r="D124" s="2125">
        <v>0.10100000000000001</v>
      </c>
      <c r="E124" s="2125">
        <v>0.08</v>
      </c>
      <c r="F124" s="2137"/>
    </row>
    <row r="125" spans="1:6" ht="14.25" thickBot="1">
      <c r="A125" s="1534" t="s">
        <v>366</v>
      </c>
      <c r="B125" s="1528" t="s">
        <v>1712</v>
      </c>
      <c r="C125" s="2125">
        <v>0.13</v>
      </c>
      <c r="D125" s="2125">
        <v>0.13</v>
      </c>
      <c r="E125" s="2125">
        <v>0.129</v>
      </c>
      <c r="F125" s="2137"/>
    </row>
    <row r="126" spans="1:6" ht="14.25" thickBot="1">
      <c r="A126" s="1534" t="s">
        <v>366</v>
      </c>
      <c r="B126" s="1528" t="s">
        <v>1722</v>
      </c>
      <c r="C126" s="2125">
        <v>0.13</v>
      </c>
      <c r="D126" s="2125">
        <v>0.13</v>
      </c>
      <c r="E126" s="2125">
        <v>0.126</v>
      </c>
      <c r="F126" s="2137"/>
    </row>
    <row r="127" spans="1:6" ht="14.25" thickBot="1">
      <c r="A127" s="1534" t="s">
        <v>366</v>
      </c>
      <c r="B127" s="1528" t="s">
        <v>1732</v>
      </c>
      <c r="C127" s="2125">
        <v>0.125</v>
      </c>
      <c r="D127" s="2125">
        <v>0.125</v>
      </c>
      <c r="E127" s="2125">
        <v>0.121</v>
      </c>
      <c r="F127" s="2137"/>
    </row>
    <row r="128" spans="1:6" ht="14.25" thickBot="1">
      <c r="A128" s="1534" t="s">
        <v>366</v>
      </c>
      <c r="B128" s="1528" t="s">
        <v>1742</v>
      </c>
      <c r="C128" s="2125">
        <v>0.12</v>
      </c>
      <c r="D128" s="2125">
        <v>0.12</v>
      </c>
      <c r="E128" s="2125">
        <v>0.105</v>
      </c>
      <c r="F128" s="2137"/>
    </row>
    <row r="129" spans="1:6" ht="14.25" thickBot="1">
      <c r="A129" s="1534" t="s">
        <v>366</v>
      </c>
      <c r="B129" s="1528" t="s">
        <v>1751</v>
      </c>
      <c r="C129" s="2125">
        <v>0.13</v>
      </c>
      <c r="D129" s="2125">
        <v>0.13</v>
      </c>
      <c r="E129" s="2125">
        <v>0.126</v>
      </c>
      <c r="F129" s="2137"/>
    </row>
    <row r="130" spans="1:6" ht="14.25" thickBot="1">
      <c r="A130" s="1534" t="s">
        <v>366</v>
      </c>
      <c r="B130" s="1528" t="s">
        <v>1760</v>
      </c>
      <c r="C130" s="2125">
        <v>0.125</v>
      </c>
      <c r="D130" s="2125">
        <v>0.125</v>
      </c>
      <c r="E130" s="2125">
        <v>0.122</v>
      </c>
      <c r="F130" s="2137"/>
    </row>
    <row r="131" spans="1:6" ht="14.25" thickBot="1">
      <c r="A131" s="1534" t="s">
        <v>366</v>
      </c>
      <c r="B131" s="1528" t="s">
        <v>1768</v>
      </c>
      <c r="C131" s="2125">
        <v>0.127</v>
      </c>
      <c r="D131" s="2125">
        <v>0.126</v>
      </c>
      <c r="E131" s="2125">
        <v>0.123</v>
      </c>
      <c r="F131" s="2137"/>
    </row>
    <row r="132" spans="1:6" ht="14.25" thickBot="1">
      <c r="A132" s="1534" t="s">
        <v>366</v>
      </c>
      <c r="B132" s="1528" t="s">
        <v>1775</v>
      </c>
      <c r="C132" s="2125">
        <v>9.0999999999999998E-2</v>
      </c>
      <c r="D132" s="2125">
        <v>0.121</v>
      </c>
      <c r="E132" s="2125">
        <v>9.9000000000000005E-2</v>
      </c>
      <c r="F132" s="2137"/>
    </row>
    <row r="133" spans="1:6" ht="14.25" thickBot="1">
      <c r="A133" s="1534" t="s">
        <v>366</v>
      </c>
      <c r="B133" s="1528" t="s">
        <v>1782</v>
      </c>
      <c r="C133" s="2125">
        <v>0.13</v>
      </c>
      <c r="D133" s="2125">
        <v>0.13</v>
      </c>
      <c r="E133" s="2125">
        <v>0.129</v>
      </c>
      <c r="F133" s="2137"/>
    </row>
    <row r="134" spans="1:6" ht="14.25" thickBot="1">
      <c r="A134" s="1534" t="s">
        <v>366</v>
      </c>
      <c r="B134" s="1528" t="s">
        <v>2532</v>
      </c>
      <c r="C134" s="2125">
        <v>6.8000000000000005E-2</v>
      </c>
      <c r="D134" s="2125">
        <v>6.5000000000000002E-2</v>
      </c>
      <c r="E134" s="2125">
        <v>6.5000000000000002E-2</v>
      </c>
      <c r="F134" s="2126">
        <v>0.13</v>
      </c>
    </row>
    <row r="135" spans="1:6" ht="14.25" thickBot="1">
      <c r="A135" s="1534" t="s">
        <v>366</v>
      </c>
      <c r="B135" s="1528" t="s">
        <v>1796</v>
      </c>
      <c r="C135" s="2125">
        <v>0.123</v>
      </c>
      <c r="D135" s="2125">
        <v>0.123</v>
      </c>
      <c r="E135" s="2125">
        <v>0.11</v>
      </c>
      <c r="F135" s="2137"/>
    </row>
    <row r="136" spans="1:6" ht="14.25" thickBot="1">
      <c r="A136" s="1534" t="s">
        <v>366</v>
      </c>
      <c r="B136" s="1528" t="s">
        <v>1803</v>
      </c>
      <c r="C136" s="2125">
        <v>0.13</v>
      </c>
      <c r="D136" s="2125">
        <v>0.13</v>
      </c>
      <c r="E136" s="2125">
        <v>0.125</v>
      </c>
      <c r="F136" s="2137"/>
    </row>
    <row r="137" spans="1:6" ht="14.25" thickBot="1">
      <c r="A137" s="1534" t="s">
        <v>366</v>
      </c>
      <c r="B137" s="1528" t="s">
        <v>1810</v>
      </c>
      <c r="C137" s="2125">
        <v>0.121</v>
      </c>
      <c r="D137" s="2125">
        <v>0.122</v>
      </c>
      <c r="E137" s="2125">
        <v>0.115</v>
      </c>
      <c r="F137" s="2137"/>
    </row>
    <row r="138" spans="1:6" ht="14.25" thickBot="1">
      <c r="A138" s="1534" t="s">
        <v>366</v>
      </c>
      <c r="B138" s="1528" t="s">
        <v>2533</v>
      </c>
      <c r="C138" s="2125">
        <v>0.105</v>
      </c>
      <c r="D138" s="2125">
        <v>0.125</v>
      </c>
      <c r="E138" s="2125">
        <v>0.112</v>
      </c>
      <c r="F138" s="2137"/>
    </row>
    <row r="139" spans="1:6" ht="14.25" thickBot="1">
      <c r="A139" s="1534" t="s">
        <v>366</v>
      </c>
      <c r="B139" s="1528" t="s">
        <v>2534</v>
      </c>
      <c r="C139" s="2125">
        <v>0.127</v>
      </c>
      <c r="D139" s="2125">
        <v>0.127</v>
      </c>
      <c r="E139" s="2125">
        <v>0.122</v>
      </c>
      <c r="F139" s="2126">
        <v>0.13</v>
      </c>
    </row>
    <row r="140" spans="1:6" ht="14.25" thickBot="1">
      <c r="A140" s="1534" t="s">
        <v>366</v>
      </c>
      <c r="B140" s="1528" t="s">
        <v>2535</v>
      </c>
      <c r="C140" s="2125">
        <v>0.125</v>
      </c>
      <c r="D140" s="2125">
        <v>0.125</v>
      </c>
      <c r="E140" s="2125">
        <v>0.11899999999999999</v>
      </c>
      <c r="F140" s="2126">
        <v>0.13</v>
      </c>
    </row>
    <row r="141" spans="1:6" ht="14.25" thickBot="1">
      <c r="A141" s="1534" t="s">
        <v>366</v>
      </c>
      <c r="B141" s="1528" t="s">
        <v>1829</v>
      </c>
      <c r="C141" s="2125">
        <v>0.125</v>
      </c>
      <c r="D141" s="2125">
        <v>0.125</v>
      </c>
      <c r="E141" s="2125">
        <v>0.11700000000000001</v>
      </c>
      <c r="F141" s="2137"/>
    </row>
    <row r="142" spans="1:6" ht="14.25" thickBot="1">
      <c r="A142" s="1534" t="s">
        <v>366</v>
      </c>
      <c r="B142" s="1528" t="s">
        <v>1834</v>
      </c>
      <c r="C142" s="2125">
        <v>0.125</v>
      </c>
      <c r="D142" s="2125">
        <v>0.125</v>
      </c>
      <c r="E142" s="2125">
        <v>0.115</v>
      </c>
      <c r="F142" s="2137"/>
    </row>
    <row r="143" spans="1:6" ht="14.25" thickBot="1">
      <c r="A143" s="1534" t="s">
        <v>366</v>
      </c>
      <c r="B143" s="1528" t="s">
        <v>1839</v>
      </c>
      <c r="C143" s="2125">
        <v>0.121</v>
      </c>
      <c r="D143" s="2125">
        <v>0.121</v>
      </c>
      <c r="E143" s="2125">
        <v>0.108</v>
      </c>
      <c r="F143" s="2137"/>
    </row>
    <row r="144" spans="1:6" ht="14.25" thickBot="1">
      <c r="A144" s="1534" t="s">
        <v>366</v>
      </c>
      <c r="B144" s="2129" t="s">
        <v>2536</v>
      </c>
      <c r="C144" s="2130">
        <v>0.126</v>
      </c>
      <c r="D144" s="2130">
        <v>0.126</v>
      </c>
      <c r="E144" s="2130">
        <v>0.121</v>
      </c>
      <c r="F144" s="2137"/>
    </row>
    <row r="145" spans="1:6" ht="14.25" thickBot="1">
      <c r="A145" s="1544" t="s">
        <v>366</v>
      </c>
      <c r="B145" s="2131" t="s">
        <v>2537</v>
      </c>
      <c r="C145" s="2139"/>
      <c r="D145" s="2139"/>
      <c r="E145" s="2139"/>
      <c r="F145" s="2132">
        <v>0.05</v>
      </c>
    </row>
    <row r="146" spans="1:6" ht="24.75" thickBot="1">
      <c r="A146" s="2133" t="s">
        <v>366</v>
      </c>
      <c r="B146" s="1538" t="s">
        <v>2538</v>
      </c>
      <c r="C146" s="2138"/>
      <c r="D146" s="2138"/>
      <c r="E146" s="2138"/>
      <c r="F146" s="2134">
        <v>0.05</v>
      </c>
    </row>
    <row r="147" spans="1:6" ht="24.75" thickBot="1">
      <c r="A147" s="1534" t="s">
        <v>366</v>
      </c>
      <c r="B147" s="1528" t="s">
        <v>2539</v>
      </c>
      <c r="C147" s="2138"/>
      <c r="D147" s="2138"/>
      <c r="E147" s="2138"/>
      <c r="F147" s="2126">
        <v>0.05</v>
      </c>
    </row>
    <row r="148" spans="1:6" ht="24.75" thickBot="1">
      <c r="A148" s="1534" t="s">
        <v>366</v>
      </c>
      <c r="B148" s="1528" t="s">
        <v>2540</v>
      </c>
      <c r="C148" s="2138"/>
      <c r="D148" s="2138"/>
      <c r="E148" s="2138"/>
      <c r="F148" s="2126">
        <v>0.05</v>
      </c>
    </row>
    <row r="149" spans="1:6" ht="24.75" thickBot="1">
      <c r="A149" s="1534" t="s">
        <v>366</v>
      </c>
      <c r="B149" s="1528" t="s">
        <v>2541</v>
      </c>
      <c r="C149" s="2138"/>
      <c r="D149" s="2138"/>
      <c r="E149" s="2138"/>
      <c r="F149" s="2126">
        <v>0.05</v>
      </c>
    </row>
    <row r="150" spans="1:6" ht="24.75" thickBot="1">
      <c r="A150" s="1534" t="s">
        <v>366</v>
      </c>
      <c r="B150" s="1528" t="s">
        <v>2542</v>
      </c>
      <c r="C150" s="2138"/>
      <c r="D150" s="2138"/>
      <c r="E150" s="2138"/>
      <c r="F150" s="2126">
        <v>0.05</v>
      </c>
    </row>
    <row r="151" spans="1:6" ht="24.75" thickBot="1">
      <c r="A151" s="1534" t="s">
        <v>366</v>
      </c>
      <c r="B151" s="1528" t="s">
        <v>2543</v>
      </c>
      <c r="C151" s="2138"/>
      <c r="D151" s="2138"/>
      <c r="E151" s="2138"/>
      <c r="F151" s="2126">
        <v>0.05</v>
      </c>
    </row>
    <row r="152" spans="1:6" ht="24.75" thickBot="1">
      <c r="A152" s="1534" t="s">
        <v>366</v>
      </c>
      <c r="B152" s="1528" t="s">
        <v>1872</v>
      </c>
      <c r="C152" s="2138"/>
      <c r="D152" s="2138"/>
      <c r="E152" s="2138"/>
      <c r="F152" s="2126">
        <v>0.05</v>
      </c>
    </row>
    <row r="153" spans="1:6" ht="14.25" thickBot="1">
      <c r="A153" s="1534" t="s">
        <v>366</v>
      </c>
      <c r="B153" s="1528" t="s">
        <v>2544</v>
      </c>
      <c r="C153" s="2138"/>
      <c r="D153" s="2138"/>
      <c r="E153" s="2138"/>
      <c r="F153" s="2126">
        <v>0.05</v>
      </c>
    </row>
    <row r="154" spans="1:6" ht="14.25" thickBot="1">
      <c r="A154" s="1534" t="s">
        <v>366</v>
      </c>
      <c r="B154" s="1528" t="s">
        <v>2545</v>
      </c>
      <c r="C154" s="2138"/>
      <c r="D154" s="2138"/>
      <c r="E154" s="2138"/>
      <c r="F154" s="2126">
        <v>0.05</v>
      </c>
    </row>
    <row r="155" spans="1:6" ht="24.75" thickBot="1">
      <c r="A155" s="1534" t="s">
        <v>366</v>
      </c>
      <c r="B155" s="1528" t="s">
        <v>2546</v>
      </c>
      <c r="C155" s="2138"/>
      <c r="D155" s="2138"/>
      <c r="E155" s="2138"/>
      <c r="F155" s="2126">
        <v>0.05</v>
      </c>
    </row>
    <row r="156" spans="1:6" ht="24.75" thickBot="1">
      <c r="A156" s="1534" t="s">
        <v>366</v>
      </c>
      <c r="B156" s="1528" t="s">
        <v>2547</v>
      </c>
      <c r="C156" s="2138"/>
      <c r="D156" s="2138"/>
      <c r="E156" s="2138"/>
      <c r="F156" s="2126">
        <v>0.05</v>
      </c>
    </row>
    <row r="157" spans="1:6" ht="14.25" thickBot="1">
      <c r="A157" s="1544" t="s">
        <v>366</v>
      </c>
      <c r="B157" s="1540" t="s">
        <v>2548</v>
      </c>
      <c r="C157" s="2135"/>
      <c r="D157" s="2135"/>
      <c r="E157" s="2135"/>
      <c r="F157" s="2128">
        <v>0.05</v>
      </c>
    </row>
    <row r="158" spans="1:6" ht="14.25" thickBot="1">
      <c r="A158" s="1534" t="s">
        <v>1891</v>
      </c>
      <c r="B158" s="1535" t="s">
        <v>2549</v>
      </c>
      <c r="C158" s="2123">
        <v>0.13</v>
      </c>
      <c r="D158" s="2123">
        <v>0.13</v>
      </c>
      <c r="E158" s="2123">
        <v>0.13</v>
      </c>
      <c r="F158" s="2124">
        <v>0.13</v>
      </c>
    </row>
    <row r="159" spans="1:6" ht="14.25" thickBot="1">
      <c r="A159" s="1534" t="s">
        <v>1891</v>
      </c>
      <c r="B159" s="1528" t="s">
        <v>1558</v>
      </c>
      <c r="C159" s="2125">
        <v>0.13</v>
      </c>
      <c r="D159" s="2125">
        <v>0.13</v>
      </c>
      <c r="E159" s="2125">
        <v>0.13</v>
      </c>
      <c r="F159" s="2126">
        <v>0.13</v>
      </c>
    </row>
    <row r="160" spans="1:6" ht="14.25" thickBot="1">
      <c r="A160" s="1534" t="s">
        <v>1891</v>
      </c>
      <c r="B160" s="1528" t="s">
        <v>1571</v>
      </c>
      <c r="C160" s="2125">
        <v>0.13</v>
      </c>
      <c r="D160" s="2125">
        <v>0.13</v>
      </c>
      <c r="E160" s="2125">
        <v>0.129</v>
      </c>
      <c r="F160" s="2126">
        <v>0.13</v>
      </c>
    </row>
    <row r="161" spans="1:6" ht="14.25" thickBot="1">
      <c r="A161" s="1534" t="s">
        <v>1891</v>
      </c>
      <c r="B161" s="1528" t="s">
        <v>1584</v>
      </c>
      <c r="C161" s="2125">
        <v>0.128</v>
      </c>
      <c r="D161" s="2125">
        <v>0.128</v>
      </c>
      <c r="E161" s="2125">
        <v>0.125</v>
      </c>
      <c r="F161" s="2126">
        <v>0.13</v>
      </c>
    </row>
    <row r="162" spans="1:6" ht="14.25" thickBot="1">
      <c r="A162" s="1534" t="s">
        <v>1891</v>
      </c>
      <c r="B162" s="1528" t="s">
        <v>1596</v>
      </c>
      <c r="C162" s="2125">
        <v>0.122</v>
      </c>
      <c r="D162" s="2125">
        <v>0.122</v>
      </c>
      <c r="E162" s="2125">
        <v>0.126</v>
      </c>
      <c r="F162" s="2126">
        <v>0.122</v>
      </c>
    </row>
    <row r="163" spans="1:6" ht="14.25" thickBot="1">
      <c r="A163" s="1534" t="s">
        <v>1891</v>
      </c>
      <c r="B163" s="1528" t="s">
        <v>1607</v>
      </c>
      <c r="C163" s="2125">
        <v>0.13</v>
      </c>
      <c r="D163" s="2125">
        <v>0.13</v>
      </c>
      <c r="E163" s="2125">
        <v>0.125</v>
      </c>
      <c r="F163" s="2126">
        <v>0.13</v>
      </c>
    </row>
    <row r="164" spans="1:6" ht="14.25" thickBot="1">
      <c r="A164" s="1534" t="s">
        <v>1891</v>
      </c>
      <c r="B164" s="1528" t="s">
        <v>1618</v>
      </c>
      <c r="C164" s="2125">
        <v>0.13</v>
      </c>
      <c r="D164" s="2125">
        <v>0.13</v>
      </c>
      <c r="E164" s="2125">
        <v>0.13</v>
      </c>
      <c r="F164" s="2126">
        <v>0.13</v>
      </c>
    </row>
    <row r="165" spans="1:6" ht="14.25" thickBot="1">
      <c r="A165" s="1534" t="s">
        <v>1891</v>
      </c>
      <c r="B165" s="1528" t="s">
        <v>1629</v>
      </c>
      <c r="C165" s="2125">
        <v>0.13</v>
      </c>
      <c r="D165" s="2125">
        <v>0.13</v>
      </c>
      <c r="E165" s="2125">
        <v>0.124</v>
      </c>
      <c r="F165" s="2126">
        <v>0.13</v>
      </c>
    </row>
    <row r="166" spans="1:6" ht="14.25" thickBot="1">
      <c r="A166" s="1534" t="s">
        <v>1891</v>
      </c>
      <c r="B166" s="1528" t="s">
        <v>1641</v>
      </c>
      <c r="C166" s="2125">
        <v>0.13</v>
      </c>
      <c r="D166" s="2125">
        <v>0.13</v>
      </c>
      <c r="E166" s="2125">
        <v>0.13</v>
      </c>
      <c r="F166" s="2126">
        <v>0.13</v>
      </c>
    </row>
    <row r="167" spans="1:6" ht="14.25" thickBot="1">
      <c r="A167" s="1534" t="s">
        <v>1891</v>
      </c>
      <c r="B167" s="1528" t="s">
        <v>1651</v>
      </c>
      <c r="C167" s="2125">
        <v>0.125</v>
      </c>
      <c r="D167" s="2125">
        <v>0.125</v>
      </c>
      <c r="E167" s="2125">
        <v>0.121</v>
      </c>
      <c r="F167" s="2137"/>
    </row>
    <row r="168" spans="1:6" ht="14.25" thickBot="1">
      <c r="A168" s="1534" t="s">
        <v>1891</v>
      </c>
      <c r="B168" s="1528" t="s">
        <v>1661</v>
      </c>
      <c r="C168" s="2125">
        <v>0.13</v>
      </c>
      <c r="D168" s="2125">
        <v>0.13</v>
      </c>
      <c r="E168" s="2125">
        <v>0.126</v>
      </c>
      <c r="F168" s="2137"/>
    </row>
    <row r="169" spans="1:6" ht="14.25" thickBot="1">
      <c r="A169" s="1534" t="s">
        <v>1891</v>
      </c>
      <c r="B169" s="1528" t="s">
        <v>1671</v>
      </c>
      <c r="C169" s="2125">
        <v>0.128</v>
      </c>
      <c r="D169" s="2125">
        <v>0.129</v>
      </c>
      <c r="E169" s="2125">
        <v>0.13</v>
      </c>
      <c r="F169" s="2137"/>
    </row>
    <row r="170" spans="1:6" ht="14.25" thickBot="1">
      <c r="A170" s="1534" t="s">
        <v>1891</v>
      </c>
      <c r="B170" s="1528" t="s">
        <v>1681</v>
      </c>
      <c r="C170" s="2125">
        <v>0.14099999999999999</v>
      </c>
      <c r="D170" s="2125">
        <v>0.13</v>
      </c>
      <c r="E170" s="2125">
        <v>0.125</v>
      </c>
      <c r="F170" s="2137"/>
    </row>
    <row r="171" spans="1:6" ht="14.25" thickBot="1">
      <c r="A171" s="1534" t="s">
        <v>1891</v>
      </c>
      <c r="B171" s="1528" t="s">
        <v>2550</v>
      </c>
      <c r="C171" s="2125">
        <v>0.127</v>
      </c>
      <c r="D171" s="2125">
        <v>0.126</v>
      </c>
      <c r="E171" s="2125">
        <v>0.126</v>
      </c>
      <c r="F171" s="2126">
        <v>0.11799999999999999</v>
      </c>
    </row>
    <row r="172" spans="1:6" ht="14.25" thickBot="1">
      <c r="A172" s="1534" t="s">
        <v>1891</v>
      </c>
      <c r="B172" s="1528" t="s">
        <v>2551</v>
      </c>
      <c r="C172" s="2125">
        <v>0.13</v>
      </c>
      <c r="D172" s="2125">
        <v>0.13</v>
      </c>
      <c r="E172" s="2125">
        <v>0.13</v>
      </c>
      <c r="F172" s="2137"/>
    </row>
    <row r="173" spans="1:6" ht="14.25" thickBot="1">
      <c r="A173" s="1534" t="s">
        <v>1891</v>
      </c>
      <c r="B173" s="1528" t="s">
        <v>1713</v>
      </c>
      <c r="C173" s="2125">
        <v>0.13</v>
      </c>
      <c r="D173" s="2125">
        <v>0.13</v>
      </c>
      <c r="E173" s="2125">
        <v>0.13</v>
      </c>
      <c r="F173" s="2137"/>
    </row>
    <row r="174" spans="1:6" ht="14.25" thickBot="1">
      <c r="A174" s="1534" t="s">
        <v>1891</v>
      </c>
      <c r="B174" s="1528" t="s">
        <v>2552</v>
      </c>
      <c r="C174" s="2125">
        <v>0.13</v>
      </c>
      <c r="D174" s="2125">
        <v>0.13</v>
      </c>
      <c r="E174" s="2125">
        <v>0.13</v>
      </c>
      <c r="F174" s="2126">
        <v>0.13</v>
      </c>
    </row>
    <row r="175" spans="1:6" ht="14.25" thickBot="1">
      <c r="A175" s="1534" t="s">
        <v>1891</v>
      </c>
      <c r="B175" s="1528" t="s">
        <v>2553</v>
      </c>
      <c r="C175" s="2125">
        <v>0.13</v>
      </c>
      <c r="D175" s="2125">
        <v>0.13</v>
      </c>
      <c r="E175" s="2125">
        <v>0.13</v>
      </c>
      <c r="F175" s="2126">
        <v>0.13</v>
      </c>
    </row>
    <row r="176" spans="1:6" ht="14.25" thickBot="1">
      <c r="A176" s="1534" t="s">
        <v>1891</v>
      </c>
      <c r="B176" s="1528" t="s">
        <v>1743</v>
      </c>
      <c r="C176" s="2125">
        <v>0.13</v>
      </c>
      <c r="D176" s="2125">
        <v>0.13</v>
      </c>
      <c r="E176" s="2125">
        <v>0.13</v>
      </c>
      <c r="F176" s="2126">
        <v>0.13</v>
      </c>
    </row>
    <row r="177" spans="1:6" ht="14.25" thickBot="1">
      <c r="A177" s="1534" t="s">
        <v>1891</v>
      </c>
      <c r="B177" s="1528" t="s">
        <v>2554</v>
      </c>
      <c r="C177" s="2125">
        <v>0.13</v>
      </c>
      <c r="D177" s="2125">
        <v>0.13</v>
      </c>
      <c r="E177" s="2125">
        <v>0.13</v>
      </c>
      <c r="F177" s="2126">
        <v>0.13</v>
      </c>
    </row>
    <row r="178" spans="1:6" ht="14.25" thickBot="1">
      <c r="A178" s="1534" t="s">
        <v>1891</v>
      </c>
      <c r="B178" s="1528" t="s">
        <v>1761</v>
      </c>
      <c r="C178" s="2125">
        <v>0.13</v>
      </c>
      <c r="D178" s="2125">
        <v>0.13</v>
      </c>
      <c r="E178" s="2125">
        <v>0.13</v>
      </c>
      <c r="F178" s="2126">
        <v>0.127</v>
      </c>
    </row>
    <row r="179" spans="1:6" ht="14.25" thickBot="1">
      <c r="A179" s="1534" t="s">
        <v>1891</v>
      </c>
      <c r="B179" s="1528" t="s">
        <v>1769</v>
      </c>
      <c r="C179" s="2125">
        <v>0.13</v>
      </c>
      <c r="D179" s="2125">
        <v>0.13</v>
      </c>
      <c r="E179" s="2125">
        <v>0.13</v>
      </c>
      <c r="F179" s="2137"/>
    </row>
    <row r="180" spans="1:6" ht="14.25" thickBot="1">
      <c r="A180" s="1534" t="s">
        <v>1891</v>
      </c>
      <c r="B180" s="1528" t="s">
        <v>2555</v>
      </c>
      <c r="C180" s="2125">
        <v>0.13</v>
      </c>
      <c r="D180" s="2125">
        <v>0.13</v>
      </c>
      <c r="E180" s="2125">
        <v>0.125</v>
      </c>
      <c r="F180" s="2126">
        <v>0.13</v>
      </c>
    </row>
    <row r="181" spans="1:6" ht="14.25" thickBot="1">
      <c r="A181" s="1534" t="s">
        <v>1891</v>
      </c>
      <c r="B181" s="1528" t="s">
        <v>1783</v>
      </c>
      <c r="C181" s="2125">
        <v>0.122</v>
      </c>
      <c r="D181" s="2125">
        <v>0.123</v>
      </c>
      <c r="E181" s="2125">
        <v>0.126</v>
      </c>
      <c r="F181" s="2126">
        <v>0.121</v>
      </c>
    </row>
    <row r="182" spans="1:6" ht="14.25" thickBot="1">
      <c r="A182" s="1534" t="s">
        <v>1891</v>
      </c>
      <c r="B182" s="1528" t="s">
        <v>1790</v>
      </c>
      <c r="C182" s="2125">
        <v>0.125</v>
      </c>
      <c r="D182" s="2125">
        <v>0.125</v>
      </c>
      <c r="E182" s="2125">
        <v>0.11700000000000001</v>
      </c>
      <c r="F182" s="2126">
        <v>0.13</v>
      </c>
    </row>
    <row r="183" spans="1:6" ht="14.25" thickBot="1">
      <c r="A183" s="1534" t="s">
        <v>1891</v>
      </c>
      <c r="B183" s="1528" t="s">
        <v>1797</v>
      </c>
      <c r="C183" s="2125">
        <v>0.127</v>
      </c>
      <c r="D183" s="2125">
        <v>0.127</v>
      </c>
      <c r="E183" s="2125">
        <v>0.128</v>
      </c>
      <c r="F183" s="2137"/>
    </row>
    <row r="184" spans="1:6" ht="14.25" thickBot="1">
      <c r="A184" s="1534" t="s">
        <v>1891</v>
      </c>
      <c r="B184" s="1528" t="s">
        <v>1804</v>
      </c>
      <c r="C184" s="2125">
        <v>0.125</v>
      </c>
      <c r="D184" s="2125">
        <v>0.125</v>
      </c>
      <c r="E184" s="2125">
        <v>0.127</v>
      </c>
      <c r="F184" s="2137"/>
    </row>
    <row r="185" spans="1:6" ht="14.25" thickBot="1">
      <c r="A185" s="1534" t="s">
        <v>1891</v>
      </c>
      <c r="B185" s="1528" t="s">
        <v>2556</v>
      </c>
      <c r="C185" s="2125">
        <v>0.127</v>
      </c>
      <c r="D185" s="2125">
        <v>0.127</v>
      </c>
      <c r="E185" s="2125">
        <v>0.128</v>
      </c>
      <c r="F185" s="2126">
        <v>0.13</v>
      </c>
    </row>
    <row r="186" spans="1:6" ht="24.75" thickBot="1">
      <c r="A186" s="1534" t="s">
        <v>1891</v>
      </c>
      <c r="B186" s="1528" t="s">
        <v>2557</v>
      </c>
      <c r="C186" s="2138"/>
      <c r="D186" s="2138"/>
      <c r="E186" s="2138"/>
      <c r="F186" s="2126">
        <v>0.05</v>
      </c>
    </row>
    <row r="187" spans="1:6" ht="14.25" thickBot="1">
      <c r="A187" s="1534" t="s">
        <v>1891</v>
      </c>
      <c r="B187" s="1528" t="s">
        <v>2558</v>
      </c>
      <c r="C187" s="2138"/>
      <c r="D187" s="2138"/>
      <c r="E187" s="2138"/>
      <c r="F187" s="2126">
        <v>0.05</v>
      </c>
    </row>
    <row r="188" spans="1:6" ht="14.25" thickBot="1">
      <c r="A188" s="1534" t="s">
        <v>1891</v>
      </c>
      <c r="B188" s="1528" t="s">
        <v>2559</v>
      </c>
      <c r="C188" s="2138"/>
      <c r="D188" s="2138"/>
      <c r="E188" s="2138"/>
      <c r="F188" s="2126">
        <v>0.05</v>
      </c>
    </row>
    <row r="189" spans="1:6" ht="24.75" thickBot="1">
      <c r="A189" s="1534" t="s">
        <v>1891</v>
      </c>
      <c r="B189" s="1528" t="s">
        <v>2560</v>
      </c>
      <c r="C189" s="2138"/>
      <c r="D189" s="2138"/>
      <c r="E189" s="2138"/>
      <c r="F189" s="2126">
        <v>0.05</v>
      </c>
    </row>
    <row r="190" spans="1:6" ht="24.75" thickBot="1">
      <c r="A190" s="1534" t="s">
        <v>1891</v>
      </c>
      <c r="B190" s="1528" t="s">
        <v>2561</v>
      </c>
      <c r="C190" s="2138"/>
      <c r="D190" s="2138"/>
      <c r="E190" s="2138"/>
      <c r="F190" s="2126">
        <v>0.05</v>
      </c>
    </row>
    <row r="191" spans="1:6" ht="24.75" thickBot="1">
      <c r="A191" s="1534" t="s">
        <v>1891</v>
      </c>
      <c r="B191" s="1528" t="s">
        <v>2562</v>
      </c>
      <c r="C191" s="2138"/>
      <c r="D191" s="2138"/>
      <c r="E191" s="2138"/>
      <c r="F191" s="2126">
        <v>0.05</v>
      </c>
    </row>
    <row r="192" spans="1:6" ht="24.75" thickBot="1">
      <c r="A192" s="1534" t="s">
        <v>1891</v>
      </c>
      <c r="B192" s="1528" t="s">
        <v>2563</v>
      </c>
      <c r="C192" s="2138"/>
      <c r="D192" s="2138"/>
      <c r="E192" s="2138"/>
      <c r="F192" s="2126">
        <v>0.05</v>
      </c>
    </row>
    <row r="193" spans="1:6" ht="24.75" thickBot="1">
      <c r="A193" s="1534" t="s">
        <v>1891</v>
      </c>
      <c r="B193" s="1528" t="s">
        <v>2564</v>
      </c>
      <c r="C193" s="2138"/>
      <c r="D193" s="2138"/>
      <c r="E193" s="2138"/>
      <c r="F193" s="2126">
        <v>0.05</v>
      </c>
    </row>
    <row r="194" spans="1:6" ht="24.75" thickBot="1">
      <c r="A194" s="1534" t="s">
        <v>1891</v>
      </c>
      <c r="B194" s="1528" t="s">
        <v>2565</v>
      </c>
      <c r="C194" s="2138"/>
      <c r="D194" s="2138"/>
      <c r="E194" s="2138"/>
      <c r="F194" s="2126">
        <v>0.05</v>
      </c>
    </row>
    <row r="195" spans="1:6" ht="14.25" thickBot="1">
      <c r="A195" s="1534" t="s">
        <v>1891</v>
      </c>
      <c r="B195" s="1528" t="s">
        <v>2566</v>
      </c>
      <c r="C195" s="2138"/>
      <c r="D195" s="2138"/>
      <c r="E195" s="2138"/>
      <c r="F195" s="2126">
        <v>0.05</v>
      </c>
    </row>
    <row r="196" spans="1:6" ht="24.75" thickBot="1">
      <c r="A196" s="1534" t="s">
        <v>1891</v>
      </c>
      <c r="B196" s="1528" t="s">
        <v>2567</v>
      </c>
      <c r="C196" s="2138"/>
      <c r="D196" s="2138"/>
      <c r="E196" s="2138"/>
      <c r="F196" s="2126">
        <v>0.05</v>
      </c>
    </row>
    <row r="197" spans="1:6" ht="24.75" thickBot="1">
      <c r="A197" s="1534" t="s">
        <v>1891</v>
      </c>
      <c r="B197" s="1528" t="s">
        <v>2568</v>
      </c>
      <c r="C197" s="2138"/>
      <c r="D197" s="2138"/>
      <c r="E197" s="2138"/>
      <c r="F197" s="2126">
        <v>0.05</v>
      </c>
    </row>
    <row r="198" spans="1:6" ht="24.75" thickBot="1">
      <c r="A198" s="1534" t="s">
        <v>1891</v>
      </c>
      <c r="B198" s="1528" t="s">
        <v>2569</v>
      </c>
      <c r="C198" s="2138"/>
      <c r="D198" s="2138"/>
      <c r="E198" s="2138"/>
      <c r="F198" s="2126">
        <v>0.05</v>
      </c>
    </row>
    <row r="199" spans="1:6" ht="24.75" thickBot="1">
      <c r="A199" s="1534" t="s">
        <v>1891</v>
      </c>
      <c r="B199" s="1528" t="s">
        <v>2570</v>
      </c>
      <c r="C199" s="2138"/>
      <c r="D199" s="2138"/>
      <c r="E199" s="2138"/>
      <c r="F199" s="2126">
        <v>0.05</v>
      </c>
    </row>
    <row r="200" spans="1:6" ht="24.75" thickBot="1">
      <c r="A200" s="1534" t="s">
        <v>1891</v>
      </c>
      <c r="B200" s="1528" t="s">
        <v>2571</v>
      </c>
      <c r="C200" s="2138"/>
      <c r="D200" s="2138"/>
      <c r="E200" s="2138"/>
      <c r="F200" s="2126">
        <v>0.05</v>
      </c>
    </row>
    <row r="201" spans="1:6" ht="24.75" thickBot="1">
      <c r="A201" s="1534" t="s">
        <v>1891</v>
      </c>
      <c r="B201" s="1528" t="s">
        <v>2572</v>
      </c>
      <c r="C201" s="2138"/>
      <c r="D201" s="2138"/>
      <c r="E201" s="2138"/>
      <c r="F201" s="2126">
        <v>0.05</v>
      </c>
    </row>
    <row r="202" spans="1:6" ht="24.75" thickBot="1">
      <c r="A202" s="1534" t="s">
        <v>1891</v>
      </c>
      <c r="B202" s="1528" t="s">
        <v>2573</v>
      </c>
      <c r="C202" s="2138"/>
      <c r="D202" s="2138"/>
      <c r="E202" s="2138"/>
      <c r="F202" s="2126">
        <v>0.05</v>
      </c>
    </row>
    <row r="203" spans="1:6" ht="24.75" thickBot="1">
      <c r="A203" s="1534" t="s">
        <v>1891</v>
      </c>
      <c r="B203" s="1528" t="s">
        <v>2574</v>
      </c>
      <c r="C203" s="2138"/>
      <c r="D203" s="2138"/>
      <c r="E203" s="2138"/>
      <c r="F203" s="2126">
        <v>0.05</v>
      </c>
    </row>
    <row r="204" spans="1:6" ht="14.25" thickBot="1">
      <c r="A204" s="1534" t="s">
        <v>1891</v>
      </c>
      <c r="B204" s="1528" t="s">
        <v>2575</v>
      </c>
      <c r="C204" s="2138"/>
      <c r="D204" s="2138"/>
      <c r="E204" s="2138"/>
      <c r="F204" s="2126">
        <v>0.05</v>
      </c>
    </row>
    <row r="205" spans="1:6" ht="14.25" thickBot="1">
      <c r="A205" s="1544" t="s">
        <v>1891</v>
      </c>
      <c r="B205" s="1540" t="s">
        <v>2576</v>
      </c>
      <c r="C205" s="2135"/>
      <c r="D205" s="2135"/>
      <c r="E205" s="2135"/>
      <c r="F205" s="2128">
        <v>0.05</v>
      </c>
    </row>
    <row r="206" spans="1:6" ht="14.25" thickBot="1">
      <c r="A206" s="1534" t="s">
        <v>1893</v>
      </c>
      <c r="B206" s="1535" t="s">
        <v>2577</v>
      </c>
      <c r="C206" s="2123">
        <v>0.15</v>
      </c>
      <c r="D206" s="2123">
        <v>0.15</v>
      </c>
      <c r="E206" s="2123">
        <v>0.15</v>
      </c>
      <c r="F206" s="2124">
        <v>0.15</v>
      </c>
    </row>
    <row r="207" spans="1:6" ht="14.25" thickBot="1">
      <c r="A207" s="1534" t="s">
        <v>1893</v>
      </c>
      <c r="B207" s="1528" t="s">
        <v>1559</v>
      </c>
      <c r="C207" s="2125">
        <v>0.15</v>
      </c>
      <c r="D207" s="2125">
        <v>0.15</v>
      </c>
      <c r="E207" s="2125">
        <v>0.15</v>
      </c>
      <c r="F207" s="2126">
        <v>0.14399999999999999</v>
      </c>
    </row>
    <row r="208" spans="1:6" ht="14.25" thickBot="1">
      <c r="A208" s="1534" t="s">
        <v>1893</v>
      </c>
      <c r="B208" s="1528" t="s">
        <v>1572</v>
      </c>
      <c r="C208" s="2125">
        <v>0.15</v>
      </c>
      <c r="D208" s="2125">
        <v>0.15</v>
      </c>
      <c r="E208" s="2125">
        <v>0.15</v>
      </c>
      <c r="F208" s="2126">
        <v>0.15</v>
      </c>
    </row>
    <row r="209" spans="1:6" ht="14.25" thickBot="1">
      <c r="A209" s="1534" t="s">
        <v>1893</v>
      </c>
      <c r="B209" s="1528" t="s">
        <v>1585</v>
      </c>
      <c r="C209" s="2125">
        <v>0.13700000000000001</v>
      </c>
      <c r="D209" s="2125">
        <v>0.13700000000000001</v>
      </c>
      <c r="E209" s="2125">
        <v>0.14000000000000001</v>
      </c>
      <c r="F209" s="2126">
        <v>0.11700000000000001</v>
      </c>
    </row>
    <row r="210" spans="1:6" ht="14.25" thickBot="1">
      <c r="A210" s="1534" t="s">
        <v>1893</v>
      </c>
      <c r="B210" s="1528" t="s">
        <v>2578</v>
      </c>
      <c r="C210" s="2125">
        <v>0.15</v>
      </c>
      <c r="D210" s="2125">
        <v>0.15</v>
      </c>
      <c r="E210" s="2125">
        <v>0.15</v>
      </c>
      <c r="F210" s="2126">
        <v>0.13800000000000001</v>
      </c>
    </row>
    <row r="211" spans="1:6" ht="14.25" thickBot="1">
      <c r="A211" s="1534" t="s">
        <v>1893</v>
      </c>
      <c r="B211" s="1528" t="s">
        <v>2579</v>
      </c>
      <c r="C211" s="2125">
        <v>0.13700000000000001</v>
      </c>
      <c r="D211" s="2125">
        <v>0.13500000000000001</v>
      </c>
      <c r="E211" s="2125">
        <v>0.13600000000000001</v>
      </c>
      <c r="F211" s="2126">
        <v>0.1</v>
      </c>
    </row>
    <row r="212" spans="1:6" ht="14.25" thickBot="1">
      <c r="A212" s="1534" t="s">
        <v>1893</v>
      </c>
      <c r="B212" s="1528" t="s">
        <v>2580</v>
      </c>
      <c r="C212" s="2125">
        <v>0.15</v>
      </c>
      <c r="D212" s="2125">
        <v>0.15</v>
      </c>
      <c r="E212" s="2125">
        <v>0.14799999999999999</v>
      </c>
      <c r="F212" s="2126">
        <v>0.13600000000000001</v>
      </c>
    </row>
    <row r="213" spans="1:6" ht="14.25" thickBot="1">
      <c r="A213" s="1534" t="s">
        <v>1893</v>
      </c>
      <c r="B213" s="1528" t="s">
        <v>1630</v>
      </c>
      <c r="C213" s="2125">
        <v>0.15</v>
      </c>
      <c r="D213" s="2125">
        <v>0.15</v>
      </c>
      <c r="E213" s="2125">
        <v>0.15</v>
      </c>
      <c r="F213" s="2126">
        <v>0.13800000000000001</v>
      </c>
    </row>
    <row r="214" spans="1:6" ht="14.25" thickBot="1">
      <c r="A214" s="1534" t="s">
        <v>1893</v>
      </c>
      <c r="B214" s="1528" t="s">
        <v>1642</v>
      </c>
      <c r="C214" s="2125">
        <v>9.0999999999999998E-2</v>
      </c>
      <c r="D214" s="2125">
        <v>0.09</v>
      </c>
      <c r="E214" s="2125">
        <v>9.1999999999999998E-2</v>
      </c>
      <c r="F214" s="2137"/>
    </row>
    <row r="215" spans="1:6" ht="14.25" thickBot="1">
      <c r="A215" s="1534" t="s">
        <v>1893</v>
      </c>
      <c r="B215" s="1528" t="s">
        <v>2581</v>
      </c>
      <c r="C215" s="2125">
        <v>0.15</v>
      </c>
      <c r="D215" s="2125">
        <v>0.15</v>
      </c>
      <c r="E215" s="2125">
        <v>0.15</v>
      </c>
      <c r="F215" s="2126">
        <v>0.15</v>
      </c>
    </row>
    <row r="216" spans="1:6" ht="14.25" thickBot="1">
      <c r="A216" s="1534" t="s">
        <v>1893</v>
      </c>
      <c r="B216" s="1528" t="s">
        <v>1662</v>
      </c>
      <c r="C216" s="2125">
        <v>0.14699999999999999</v>
      </c>
      <c r="D216" s="2125">
        <v>0.14699999999999999</v>
      </c>
      <c r="E216" s="2125">
        <v>0.15</v>
      </c>
      <c r="F216" s="2126">
        <v>0.14000000000000001</v>
      </c>
    </row>
    <row r="217" spans="1:6" ht="14.25" thickBot="1">
      <c r="A217" s="1534" t="s">
        <v>1893</v>
      </c>
      <c r="B217" s="1528" t="s">
        <v>1672</v>
      </c>
      <c r="C217" s="2125">
        <v>0.15</v>
      </c>
      <c r="D217" s="2125">
        <v>0.15</v>
      </c>
      <c r="E217" s="2125">
        <v>0.15</v>
      </c>
      <c r="F217" s="2126">
        <v>0.15</v>
      </c>
    </row>
    <row r="218" spans="1:6" ht="14.25" thickBot="1">
      <c r="A218" s="1534" t="s">
        <v>1893</v>
      </c>
      <c r="B218" s="1528" t="s">
        <v>2582</v>
      </c>
      <c r="C218" s="2125">
        <v>0.15</v>
      </c>
      <c r="D218" s="2125">
        <v>0.15</v>
      </c>
      <c r="E218" s="2125">
        <v>0.15</v>
      </c>
      <c r="F218" s="2126">
        <v>0.15</v>
      </c>
    </row>
    <row r="219" spans="1:6" ht="14.25" thickBot="1">
      <c r="A219" s="1534" t="s">
        <v>1893</v>
      </c>
      <c r="B219" s="1528" t="s">
        <v>1693</v>
      </c>
      <c r="C219" s="2125">
        <v>0.15</v>
      </c>
      <c r="D219" s="2125">
        <v>0.15</v>
      </c>
      <c r="E219" s="2125">
        <v>0.15</v>
      </c>
      <c r="F219" s="2126">
        <v>0.14799999999999999</v>
      </c>
    </row>
    <row r="220" spans="1:6" ht="14.25" thickBot="1">
      <c r="A220" s="1534" t="s">
        <v>1893</v>
      </c>
      <c r="B220" s="1528" t="s">
        <v>2583</v>
      </c>
      <c r="C220" s="2125">
        <v>0.15</v>
      </c>
      <c r="D220" s="2125">
        <v>0.15</v>
      </c>
      <c r="E220" s="2125">
        <v>0.15</v>
      </c>
      <c r="F220" s="2126">
        <v>0.15</v>
      </c>
    </row>
    <row r="221" spans="1:6" ht="14.25" thickBot="1">
      <c r="A221" s="1534" t="s">
        <v>1893</v>
      </c>
      <c r="B221" s="1528" t="s">
        <v>1714</v>
      </c>
      <c r="C221" s="2125"/>
      <c r="D221" s="2138"/>
      <c r="E221" s="2138"/>
      <c r="F221" s="2126">
        <v>0.14799999999999999</v>
      </c>
    </row>
    <row r="222" spans="1:6" ht="14.25" thickBot="1">
      <c r="A222" s="1534" t="s">
        <v>1893</v>
      </c>
      <c r="B222" s="1528" t="s">
        <v>1724</v>
      </c>
      <c r="C222" s="2125"/>
      <c r="D222" s="2138"/>
      <c r="E222" s="2138"/>
      <c r="F222" s="2126">
        <v>0.1</v>
      </c>
    </row>
    <row r="223" spans="1:6" ht="14.25" thickBot="1">
      <c r="A223" s="1534" t="s">
        <v>1893</v>
      </c>
      <c r="B223" s="1528" t="s">
        <v>1734</v>
      </c>
      <c r="C223" s="2125"/>
      <c r="D223" s="2138"/>
      <c r="E223" s="2138"/>
      <c r="F223" s="2126">
        <v>0.15</v>
      </c>
    </row>
    <row r="224" spans="1:6" ht="14.25" thickBot="1">
      <c r="A224" s="1534" t="s">
        <v>1893</v>
      </c>
      <c r="B224" s="1528" t="s">
        <v>1744</v>
      </c>
      <c r="C224" s="2125"/>
      <c r="D224" s="2138"/>
      <c r="E224" s="2138"/>
      <c r="F224" s="2126">
        <v>0.15</v>
      </c>
    </row>
    <row r="225" spans="1:6" ht="14.25" thickBot="1">
      <c r="A225" s="1534" t="s">
        <v>1893</v>
      </c>
      <c r="B225" s="1528" t="s">
        <v>2584</v>
      </c>
      <c r="C225" s="2125">
        <v>0.15</v>
      </c>
      <c r="D225" s="2125">
        <v>0.15</v>
      </c>
      <c r="E225" s="2125">
        <v>0.15</v>
      </c>
      <c r="F225" s="2126">
        <v>0.15</v>
      </c>
    </row>
    <row r="226" spans="1:6" ht="14.25" thickBot="1">
      <c r="A226" s="1534" t="s">
        <v>1893</v>
      </c>
      <c r="B226" s="1528" t="s">
        <v>1762</v>
      </c>
      <c r="C226" s="2125">
        <v>0.15</v>
      </c>
      <c r="D226" s="2125">
        <v>0.15</v>
      </c>
      <c r="E226" s="2125">
        <v>0.15</v>
      </c>
      <c r="F226" s="2126">
        <v>0.14799999999999999</v>
      </c>
    </row>
    <row r="227" spans="1:6" ht="14.25" thickBot="1">
      <c r="A227" s="1534" t="s">
        <v>1893</v>
      </c>
      <c r="B227" s="1528" t="s">
        <v>2585</v>
      </c>
      <c r="C227" s="2125">
        <v>0.15</v>
      </c>
      <c r="D227" s="2125">
        <v>0.15</v>
      </c>
      <c r="E227" s="2125">
        <v>0.15</v>
      </c>
      <c r="F227" s="2126">
        <v>0.15</v>
      </c>
    </row>
    <row r="228" spans="1:6" ht="14.25" thickBot="1">
      <c r="A228" s="1534" t="s">
        <v>1893</v>
      </c>
      <c r="B228" s="1528" t="s">
        <v>1777</v>
      </c>
      <c r="C228" s="2125">
        <v>0.15</v>
      </c>
      <c r="D228" s="2125">
        <v>0.15</v>
      </c>
      <c r="E228" s="2125">
        <v>0.15</v>
      </c>
      <c r="F228" s="2126">
        <v>0.15</v>
      </c>
    </row>
    <row r="229" spans="1:6" ht="14.25" thickBot="1">
      <c r="A229" s="1534" t="s">
        <v>1893</v>
      </c>
      <c r="B229" s="1528" t="s">
        <v>1784</v>
      </c>
      <c r="C229" s="2125">
        <v>0.15</v>
      </c>
      <c r="D229" s="2125">
        <v>0.15</v>
      </c>
      <c r="E229" s="2125">
        <v>0.15</v>
      </c>
      <c r="F229" s="2137"/>
    </row>
    <row r="230" spans="1:6" ht="14.25" thickBot="1">
      <c r="A230" s="1534" t="s">
        <v>1893</v>
      </c>
      <c r="B230" s="1528" t="s">
        <v>1791</v>
      </c>
      <c r="C230" s="2125">
        <v>0.14499999999999999</v>
      </c>
      <c r="D230" s="2125">
        <v>0.14499999999999999</v>
      </c>
      <c r="E230" s="2125">
        <v>0.14399999999999999</v>
      </c>
      <c r="F230" s="2137"/>
    </row>
    <row r="231" spans="1:6" ht="14.25" thickBot="1">
      <c r="A231" s="1534" t="s">
        <v>1893</v>
      </c>
      <c r="B231" s="1528" t="s">
        <v>2586</v>
      </c>
      <c r="C231" s="2125">
        <v>0.128</v>
      </c>
      <c r="D231" s="2125">
        <v>0.125</v>
      </c>
      <c r="E231" s="2125">
        <v>0.13200000000000001</v>
      </c>
      <c r="F231" s="2137"/>
    </row>
    <row r="232" spans="1:6" ht="14.25" thickBot="1">
      <c r="A232" s="1534" t="s">
        <v>1893</v>
      </c>
      <c r="B232" s="1528" t="s">
        <v>2587</v>
      </c>
      <c r="C232" s="2125">
        <v>0.14499999999999999</v>
      </c>
      <c r="D232" s="2125">
        <v>0.14399999999999999</v>
      </c>
      <c r="E232" s="2125">
        <v>0.14599999999999999</v>
      </c>
      <c r="F232" s="2126">
        <v>0.13800000000000001</v>
      </c>
    </row>
    <row r="233" spans="1:6" ht="14.25" thickBot="1">
      <c r="A233" s="1534" t="s">
        <v>1893</v>
      </c>
      <c r="B233" s="1528" t="s">
        <v>2588</v>
      </c>
      <c r="C233" s="2125">
        <v>0.14499999999999999</v>
      </c>
      <c r="D233" s="2125">
        <v>0.14299999999999999</v>
      </c>
      <c r="E233" s="2125">
        <v>0.14199999999999999</v>
      </c>
      <c r="F233" s="2137"/>
    </row>
    <row r="234" spans="1:6" ht="14.25" thickBot="1">
      <c r="A234" s="1534" t="s">
        <v>1893</v>
      </c>
      <c r="B234" s="1528" t="s">
        <v>2589</v>
      </c>
      <c r="C234" s="2125">
        <v>0.14000000000000001</v>
      </c>
      <c r="D234" s="2125">
        <v>0.14000000000000001</v>
      </c>
      <c r="E234" s="2125">
        <v>0.14399999999999999</v>
      </c>
      <c r="F234" s="2137"/>
    </row>
    <row r="235" spans="1:6" ht="14.25" thickBot="1">
      <c r="A235" s="1534" t="s">
        <v>1893</v>
      </c>
      <c r="B235" s="1528" t="s">
        <v>2590</v>
      </c>
      <c r="C235" s="2125">
        <v>0.14099999999999999</v>
      </c>
      <c r="D235" s="2125">
        <v>0.14199999999999999</v>
      </c>
      <c r="E235" s="2125">
        <v>0.14499999999999999</v>
      </c>
      <c r="F235" s="2126">
        <v>0.15</v>
      </c>
    </row>
    <row r="236" spans="1:6" ht="14.25" thickBot="1">
      <c r="A236" s="1534" t="s">
        <v>1893</v>
      </c>
      <c r="B236" s="1528" t="s">
        <v>1826</v>
      </c>
      <c r="C236" s="2138"/>
      <c r="D236" s="2138"/>
      <c r="E236" s="2138"/>
      <c r="F236" s="2126">
        <v>0.14299999999999999</v>
      </c>
    </row>
    <row r="237" spans="1:6" ht="24.75" thickBot="1">
      <c r="A237" s="1534" t="s">
        <v>1893</v>
      </c>
      <c r="B237" s="1528" t="s">
        <v>2591</v>
      </c>
      <c r="C237" s="2138"/>
      <c r="D237" s="2138"/>
      <c r="E237" s="2138"/>
      <c r="F237" s="2126">
        <v>0.05</v>
      </c>
    </row>
    <row r="238" spans="1:6" ht="24.75" thickBot="1">
      <c r="A238" s="1534" t="s">
        <v>1893</v>
      </c>
      <c r="B238" s="1528" t="s">
        <v>2592</v>
      </c>
      <c r="C238" s="2138"/>
      <c r="D238" s="2138"/>
      <c r="E238" s="2138"/>
      <c r="F238" s="2126">
        <v>0.05</v>
      </c>
    </row>
    <row r="239" spans="1:6" ht="24.75" thickBot="1">
      <c r="A239" s="1534" t="s">
        <v>1893</v>
      </c>
      <c r="B239" s="1528" t="s">
        <v>2593</v>
      </c>
      <c r="C239" s="2138"/>
      <c r="D239" s="2138"/>
      <c r="E239" s="2138"/>
      <c r="F239" s="2126">
        <v>0.05</v>
      </c>
    </row>
    <row r="240" spans="1:6" ht="24.75" thickBot="1">
      <c r="A240" s="1534" t="s">
        <v>1893</v>
      </c>
      <c r="B240" s="1528" t="s">
        <v>2594</v>
      </c>
      <c r="C240" s="2138"/>
      <c r="D240" s="2138"/>
      <c r="E240" s="2138"/>
      <c r="F240" s="2126">
        <v>0.05</v>
      </c>
    </row>
    <row r="241" spans="1:6" ht="24.75" thickBot="1">
      <c r="A241" s="1534" t="s">
        <v>1893</v>
      </c>
      <c r="B241" s="1528" t="s">
        <v>2595</v>
      </c>
      <c r="C241" s="2138"/>
      <c r="D241" s="2138"/>
      <c r="E241" s="2138"/>
      <c r="F241" s="2126">
        <v>0.05</v>
      </c>
    </row>
    <row r="242" spans="1:6" ht="24.75" thickBot="1">
      <c r="A242" s="1534" t="s">
        <v>1893</v>
      </c>
      <c r="B242" s="1528" t="s">
        <v>2596</v>
      </c>
      <c r="C242" s="2138"/>
      <c r="D242" s="2138"/>
      <c r="E242" s="2138"/>
      <c r="F242" s="2126">
        <v>0.05</v>
      </c>
    </row>
    <row r="243" spans="1:6" ht="24.75" thickBot="1">
      <c r="A243" s="1534" t="s">
        <v>1893</v>
      </c>
      <c r="B243" s="1528" t="s">
        <v>2597</v>
      </c>
      <c r="C243" s="2138"/>
      <c r="D243" s="2138"/>
      <c r="E243" s="2138"/>
      <c r="F243" s="2126">
        <v>0.05</v>
      </c>
    </row>
    <row r="244" spans="1:6" ht="24.75" thickBot="1">
      <c r="A244" s="1544" t="s">
        <v>1893</v>
      </c>
      <c r="B244" s="1540" t="s">
        <v>2598</v>
      </c>
      <c r="C244" s="2135"/>
      <c r="D244" s="2135"/>
      <c r="E244" s="2135"/>
      <c r="F244" s="2128">
        <v>0.05</v>
      </c>
    </row>
    <row r="245" spans="1:6" ht="14.25" thickBot="1">
      <c r="A245" s="1534" t="s">
        <v>1895</v>
      </c>
      <c r="B245" s="1535" t="s">
        <v>2599</v>
      </c>
      <c r="C245" s="2123">
        <v>0.15</v>
      </c>
      <c r="D245" s="2123">
        <v>0.15</v>
      </c>
      <c r="E245" s="2123">
        <v>0.15</v>
      </c>
      <c r="F245" s="2124">
        <v>0.14299999999999999</v>
      </c>
    </row>
    <row r="246" spans="1:6" ht="14.25" thickBot="1">
      <c r="A246" s="1534" t="s">
        <v>1895</v>
      </c>
      <c r="B246" s="1528" t="s">
        <v>1560</v>
      </c>
      <c r="C246" s="2125">
        <v>0.15</v>
      </c>
      <c r="D246" s="2125">
        <v>0.15</v>
      </c>
      <c r="E246" s="2125">
        <v>0.15</v>
      </c>
      <c r="F246" s="2126">
        <v>0.114</v>
      </c>
    </row>
    <row r="247" spans="1:6" ht="14.25" thickBot="1">
      <c r="A247" s="1534" t="s">
        <v>1895</v>
      </c>
      <c r="B247" s="1528" t="s">
        <v>2600</v>
      </c>
      <c r="C247" s="2125">
        <v>0.15</v>
      </c>
      <c r="D247" s="2125">
        <v>0.15</v>
      </c>
      <c r="E247" s="2125">
        <v>0.15</v>
      </c>
      <c r="F247" s="2126">
        <v>0.15</v>
      </c>
    </row>
    <row r="248" spans="1:6" ht="14.25" thickBot="1">
      <c r="A248" s="1534" t="s">
        <v>1895</v>
      </c>
      <c r="B248" s="1528" t="s">
        <v>2601</v>
      </c>
      <c r="C248" s="2125">
        <v>0.15</v>
      </c>
      <c r="D248" s="2125">
        <v>0.15</v>
      </c>
      <c r="E248" s="2125">
        <v>0.15</v>
      </c>
      <c r="F248" s="2126">
        <v>0.14000000000000001</v>
      </c>
    </row>
    <row r="249" spans="1:6" ht="14.25" thickBot="1">
      <c r="A249" s="1534" t="s">
        <v>1895</v>
      </c>
      <c r="B249" s="1528" t="s">
        <v>2602</v>
      </c>
      <c r="C249" s="2125">
        <v>0.15</v>
      </c>
      <c r="D249" s="2125">
        <v>0.14899999999999999</v>
      </c>
      <c r="E249" s="2125">
        <v>0.15</v>
      </c>
      <c r="F249" s="2126">
        <v>0.1</v>
      </c>
    </row>
    <row r="250" spans="1:6" ht="14.25" thickBot="1">
      <c r="A250" s="1534" t="s">
        <v>1895</v>
      </c>
      <c r="B250" s="1528" t="s">
        <v>2603</v>
      </c>
      <c r="C250" s="2125">
        <v>0.15</v>
      </c>
      <c r="D250" s="2125">
        <v>0.15</v>
      </c>
      <c r="E250" s="2125">
        <v>0.15</v>
      </c>
      <c r="F250" s="2126">
        <v>0.14399999999999999</v>
      </c>
    </row>
    <row r="251" spans="1:6" ht="14.25" thickBot="1">
      <c r="A251" s="1534" t="s">
        <v>1895</v>
      </c>
      <c r="B251" s="1528" t="s">
        <v>1620</v>
      </c>
      <c r="C251" s="2125">
        <v>0.15</v>
      </c>
      <c r="D251" s="2125">
        <v>0.15</v>
      </c>
      <c r="E251" s="2125">
        <v>0.15</v>
      </c>
      <c r="F251" s="2126">
        <v>0.14299999999999999</v>
      </c>
    </row>
    <row r="252" spans="1:6" ht="14.25" thickBot="1">
      <c r="A252" s="1534" t="s">
        <v>1895</v>
      </c>
      <c r="B252" s="1528" t="s">
        <v>1631</v>
      </c>
      <c r="C252" s="2125">
        <v>0.15</v>
      </c>
      <c r="D252" s="2125">
        <v>0.15</v>
      </c>
      <c r="E252" s="2125">
        <v>0.15</v>
      </c>
      <c r="F252" s="2126">
        <v>0.1</v>
      </c>
    </row>
    <row r="253" spans="1:6" ht="14.25" thickBot="1">
      <c r="A253" s="1534" t="s">
        <v>1895</v>
      </c>
      <c r="B253" s="1528" t="s">
        <v>1643</v>
      </c>
      <c r="C253" s="2125">
        <v>0.15</v>
      </c>
      <c r="D253" s="2125">
        <v>0.15</v>
      </c>
      <c r="E253" s="2125">
        <v>0.15</v>
      </c>
      <c r="F253" s="2126">
        <v>0.1</v>
      </c>
    </row>
    <row r="254" spans="1:6" ht="14.25" thickBot="1">
      <c r="A254" s="1534" t="s">
        <v>1895</v>
      </c>
      <c r="B254" s="1528" t="s">
        <v>1653</v>
      </c>
      <c r="C254" s="2138"/>
      <c r="D254" s="2138"/>
      <c r="E254" s="2138"/>
      <c r="F254" s="2126">
        <v>0.15</v>
      </c>
    </row>
    <row r="255" spans="1:6" ht="14.25" thickBot="1">
      <c r="A255" s="1534" t="s">
        <v>1895</v>
      </c>
      <c r="B255" s="1528" t="s">
        <v>1663</v>
      </c>
      <c r="C255" s="2138"/>
      <c r="D255" s="2138"/>
      <c r="E255" s="2138"/>
      <c r="F255" s="2126">
        <v>0.14299999999999999</v>
      </c>
    </row>
    <row r="256" spans="1:6" ht="14.25" thickBot="1">
      <c r="A256" s="1534" t="s">
        <v>1895</v>
      </c>
      <c r="B256" s="1528" t="s">
        <v>2604</v>
      </c>
      <c r="C256" s="2125">
        <v>0.14599999999999999</v>
      </c>
      <c r="D256" s="2125">
        <v>0.14699999999999999</v>
      </c>
      <c r="E256" s="2125">
        <v>0.15</v>
      </c>
      <c r="F256" s="2126">
        <v>0.13200000000000001</v>
      </c>
    </row>
    <row r="257" spans="1:6" ht="14.25" thickBot="1">
      <c r="A257" s="1534" t="s">
        <v>1895</v>
      </c>
      <c r="B257" s="1528" t="s">
        <v>1683</v>
      </c>
      <c r="C257" s="2125">
        <v>0.15</v>
      </c>
      <c r="D257" s="2125">
        <v>0.15</v>
      </c>
      <c r="E257" s="2125">
        <v>0.15</v>
      </c>
      <c r="F257" s="2126">
        <v>0.13900000000000001</v>
      </c>
    </row>
    <row r="258" spans="1:6" ht="14.25" thickBot="1">
      <c r="A258" s="1534" t="s">
        <v>1895</v>
      </c>
      <c r="B258" s="1528" t="s">
        <v>1694</v>
      </c>
      <c r="C258" s="2125">
        <v>0.15</v>
      </c>
      <c r="D258" s="2125">
        <v>0.15</v>
      </c>
      <c r="E258" s="2125">
        <v>0.15</v>
      </c>
      <c r="F258" s="2126">
        <v>0.13</v>
      </c>
    </row>
    <row r="259" spans="1:6" ht="14.25" thickBot="1">
      <c r="A259" s="1534" t="s">
        <v>1895</v>
      </c>
      <c r="B259" s="1528" t="s">
        <v>2605</v>
      </c>
      <c r="C259" s="2125">
        <v>0.14799999999999999</v>
      </c>
      <c r="D259" s="2125">
        <v>0.14899999999999999</v>
      </c>
      <c r="E259" s="2125">
        <v>0.15</v>
      </c>
      <c r="F259" s="2126">
        <v>0.13700000000000001</v>
      </c>
    </row>
    <row r="260" spans="1:6" ht="14.25" thickBot="1">
      <c r="A260" s="1534" t="s">
        <v>1895</v>
      </c>
      <c r="B260" s="1528" t="s">
        <v>1715</v>
      </c>
      <c r="C260" s="2125">
        <v>0.15</v>
      </c>
      <c r="D260" s="2125">
        <v>0.15</v>
      </c>
      <c r="E260" s="2125">
        <v>0.15</v>
      </c>
      <c r="F260" s="2126">
        <v>0.14199999999999999</v>
      </c>
    </row>
    <row r="261" spans="1:6" ht="14.25" thickBot="1">
      <c r="A261" s="1534" t="s">
        <v>1895</v>
      </c>
      <c r="B261" s="1528" t="s">
        <v>1725</v>
      </c>
      <c r="C261" s="2125">
        <v>0.15</v>
      </c>
      <c r="D261" s="2125">
        <v>0.15</v>
      </c>
      <c r="E261" s="2125">
        <v>0.14899999999999999</v>
      </c>
      <c r="F261" s="2126">
        <v>0.14799999999999999</v>
      </c>
    </row>
    <row r="262" spans="1:6" ht="14.25" thickBot="1">
      <c r="A262" s="1534" t="s">
        <v>1895</v>
      </c>
      <c r="B262" s="1528" t="s">
        <v>1735</v>
      </c>
      <c r="C262" s="2125">
        <v>0.15</v>
      </c>
      <c r="D262" s="2125">
        <v>0.15</v>
      </c>
      <c r="E262" s="2125">
        <v>0.15</v>
      </c>
      <c r="F262" s="2137"/>
    </row>
    <row r="263" spans="1:6" ht="14.25" thickBot="1">
      <c r="A263" s="1534" t="s">
        <v>1895</v>
      </c>
      <c r="B263" s="1528" t="s">
        <v>2606</v>
      </c>
      <c r="C263" s="2125">
        <v>0.14899999999999999</v>
      </c>
      <c r="D263" s="2125">
        <v>0.14899999999999999</v>
      </c>
      <c r="E263" s="2125">
        <v>0.15</v>
      </c>
      <c r="F263" s="2126">
        <v>0.13</v>
      </c>
    </row>
    <row r="264" spans="1:6" ht="14.25" thickBot="1">
      <c r="A264" s="1534" t="s">
        <v>1895</v>
      </c>
      <c r="B264" s="1528" t="s">
        <v>1754</v>
      </c>
      <c r="C264" s="2125">
        <v>0.14799999999999999</v>
      </c>
      <c r="D264" s="2125">
        <v>0.14699999999999999</v>
      </c>
      <c r="E264" s="2125">
        <v>0.15</v>
      </c>
      <c r="F264" s="2126">
        <v>7.8E-2</v>
      </c>
    </row>
    <row r="265" spans="1:6" ht="14.25" thickBot="1">
      <c r="A265" s="1534" t="s">
        <v>1895</v>
      </c>
      <c r="B265" s="1528" t="s">
        <v>1763</v>
      </c>
      <c r="C265" s="2125">
        <v>0.15</v>
      </c>
      <c r="D265" s="2125">
        <v>0.15</v>
      </c>
      <c r="E265" s="2125">
        <v>0.15</v>
      </c>
      <c r="F265" s="2126">
        <v>7.3999999999999996E-2</v>
      </c>
    </row>
    <row r="266" spans="1:6" ht="14.25" thickBot="1">
      <c r="A266" s="1534" t="s">
        <v>1895</v>
      </c>
      <c r="B266" s="1528" t="s">
        <v>1771</v>
      </c>
      <c r="C266" s="2125">
        <v>0.14699999999999999</v>
      </c>
      <c r="D266" s="2125">
        <v>0.14699999999999999</v>
      </c>
      <c r="E266" s="2125">
        <v>0.15</v>
      </c>
      <c r="F266" s="2126">
        <v>0.14299999999999999</v>
      </c>
    </row>
    <row r="267" spans="1:6" ht="14.25" thickBot="1">
      <c r="A267" s="1534" t="s">
        <v>1895</v>
      </c>
      <c r="B267" s="1528" t="s">
        <v>1778</v>
      </c>
      <c r="C267" s="2125">
        <v>0.14199999999999999</v>
      </c>
      <c r="D267" s="2125">
        <v>0.14299999999999999</v>
      </c>
      <c r="E267" s="2125">
        <v>0.15</v>
      </c>
      <c r="F267" s="2137"/>
    </row>
    <row r="268" spans="1:6" ht="14.25" thickBot="1">
      <c r="A268" s="1534" t="s">
        <v>1895</v>
      </c>
      <c r="B268" s="1528" t="s">
        <v>2607</v>
      </c>
      <c r="C268" s="2125">
        <v>0.15</v>
      </c>
      <c r="D268" s="2125">
        <v>0.15</v>
      </c>
      <c r="E268" s="2125">
        <v>0.15</v>
      </c>
      <c r="F268" s="2126">
        <v>0.13</v>
      </c>
    </row>
    <row r="269" spans="1:6" ht="14.25" thickBot="1">
      <c r="A269" s="1534" t="s">
        <v>1895</v>
      </c>
      <c r="B269" s="1528" t="s">
        <v>1792</v>
      </c>
      <c r="C269" s="2125">
        <v>0.15</v>
      </c>
      <c r="D269" s="2125">
        <v>0.15</v>
      </c>
      <c r="E269" s="2125">
        <v>0.15</v>
      </c>
      <c r="F269" s="2126">
        <v>0.14299999999999999</v>
      </c>
    </row>
    <row r="270" spans="1:6" ht="14.25" thickBot="1">
      <c r="A270" s="1534" t="s">
        <v>1895</v>
      </c>
      <c r="B270" s="1528" t="s">
        <v>1799</v>
      </c>
      <c r="C270" s="2125">
        <v>0.14499999999999999</v>
      </c>
      <c r="D270" s="2125">
        <v>0.14499999999999999</v>
      </c>
      <c r="E270" s="2125">
        <v>0.15</v>
      </c>
      <c r="F270" s="2126">
        <v>0.14699999999999999</v>
      </c>
    </row>
    <row r="271" spans="1:6" ht="14.25" thickBot="1">
      <c r="A271" s="1534" t="s">
        <v>1895</v>
      </c>
      <c r="B271" s="1528" t="s">
        <v>1806</v>
      </c>
      <c r="C271" s="2125">
        <v>0.15</v>
      </c>
      <c r="D271" s="2125">
        <v>0.15</v>
      </c>
      <c r="E271" s="2125">
        <v>0.15</v>
      </c>
      <c r="F271" s="2126">
        <v>0.13800000000000001</v>
      </c>
    </row>
    <row r="272" spans="1:6" ht="14.25" thickBot="1">
      <c r="A272" s="1534" t="s">
        <v>1895</v>
      </c>
      <c r="B272" s="1528" t="s">
        <v>1813</v>
      </c>
      <c r="C272" s="2138"/>
      <c r="D272" s="2138"/>
      <c r="E272" s="2138"/>
      <c r="F272" s="2126">
        <v>0.14000000000000001</v>
      </c>
    </row>
    <row r="273" spans="1:6" ht="14.25" thickBot="1">
      <c r="A273" s="1534" t="s">
        <v>1895</v>
      </c>
      <c r="B273" s="1528" t="s">
        <v>2608</v>
      </c>
      <c r="C273" s="2125">
        <v>0.14199999999999999</v>
      </c>
      <c r="D273" s="2125">
        <v>0.14299999999999999</v>
      </c>
      <c r="E273" s="2125">
        <v>0.15</v>
      </c>
      <c r="F273" s="2126">
        <v>0.1</v>
      </c>
    </row>
    <row r="274" spans="1:6" ht="14.25" thickBot="1">
      <c r="A274" s="1534" t="s">
        <v>1895</v>
      </c>
      <c r="B274" s="1528" t="s">
        <v>2609</v>
      </c>
      <c r="C274" s="2125">
        <v>0.14799999999999999</v>
      </c>
      <c r="D274" s="2125">
        <v>0.14799999999999999</v>
      </c>
      <c r="E274" s="2125">
        <v>0.15</v>
      </c>
      <c r="F274" s="2126">
        <v>6.7000000000000004E-2</v>
      </c>
    </row>
    <row r="275" spans="1:6" ht="14.25" thickBot="1">
      <c r="A275" s="1534" t="s">
        <v>1895</v>
      </c>
      <c r="B275" s="1528" t="s">
        <v>2610</v>
      </c>
      <c r="C275" s="2125">
        <v>0.15</v>
      </c>
      <c r="D275" s="2125">
        <v>0.15</v>
      </c>
      <c r="E275" s="2125">
        <v>0.15</v>
      </c>
      <c r="F275" s="2126">
        <v>0.15</v>
      </c>
    </row>
    <row r="276" spans="1:6" ht="14.25" thickBot="1">
      <c r="A276" s="1534" t="s">
        <v>1895</v>
      </c>
      <c r="B276" s="1528" t="s">
        <v>2611</v>
      </c>
      <c r="C276" s="2125">
        <v>0.14499999999999999</v>
      </c>
      <c r="D276" s="2125">
        <v>0.14299999999999999</v>
      </c>
      <c r="E276" s="2125">
        <v>0.15</v>
      </c>
      <c r="F276" s="2126">
        <v>5.8999999999999997E-2</v>
      </c>
    </row>
    <row r="277" spans="1:6" ht="14.25" thickBot="1">
      <c r="A277" s="1534" t="s">
        <v>1895</v>
      </c>
      <c r="B277" s="1528" t="s">
        <v>2612</v>
      </c>
      <c r="C277" s="2125">
        <v>0.15</v>
      </c>
      <c r="D277" s="2125">
        <v>0.15</v>
      </c>
      <c r="E277" s="2125">
        <v>0.15</v>
      </c>
      <c r="F277" s="2126">
        <v>0.121</v>
      </c>
    </row>
    <row r="278" spans="1:6" ht="14.25" thickBot="1">
      <c r="A278" s="1534" t="s">
        <v>1895</v>
      </c>
      <c r="B278" s="1528" t="s">
        <v>2613</v>
      </c>
      <c r="C278" s="2125">
        <v>0.15</v>
      </c>
      <c r="D278" s="2125">
        <v>0.15</v>
      </c>
      <c r="E278" s="2125">
        <v>0.15</v>
      </c>
      <c r="F278" s="2126">
        <v>0.13800000000000001</v>
      </c>
    </row>
    <row r="279" spans="1:6" ht="24.75" thickBot="1">
      <c r="A279" s="1534" t="s">
        <v>1895</v>
      </c>
      <c r="B279" s="1528" t="s">
        <v>2614</v>
      </c>
      <c r="C279" s="2138"/>
      <c r="D279" s="2138"/>
      <c r="E279" s="2138"/>
      <c r="F279" s="2126">
        <v>0.05</v>
      </c>
    </row>
    <row r="280" spans="1:6" ht="24.75" thickBot="1">
      <c r="A280" s="1534" t="s">
        <v>1895</v>
      </c>
      <c r="B280" s="1528" t="s">
        <v>2615</v>
      </c>
      <c r="C280" s="2138"/>
      <c r="D280" s="2138"/>
      <c r="E280" s="2138"/>
      <c r="F280" s="2126">
        <v>0.05</v>
      </c>
    </row>
    <row r="281" spans="1:6" ht="24.75" thickBot="1">
      <c r="A281" s="1534" t="s">
        <v>1895</v>
      </c>
      <c r="B281" s="1528" t="s">
        <v>2616</v>
      </c>
      <c r="C281" s="2138"/>
      <c r="D281" s="2138"/>
      <c r="E281" s="2138"/>
      <c r="F281" s="2126">
        <v>0.05</v>
      </c>
    </row>
    <row r="282" spans="1:6" ht="24.75" thickBot="1">
      <c r="A282" s="1534" t="s">
        <v>1895</v>
      </c>
      <c r="B282" s="1528" t="s">
        <v>2617</v>
      </c>
      <c r="C282" s="2138"/>
      <c r="D282" s="2138"/>
      <c r="E282" s="2138"/>
      <c r="F282" s="2126">
        <v>0.05</v>
      </c>
    </row>
    <row r="283" spans="1:6" ht="24.75" thickBot="1">
      <c r="A283" s="1534" t="s">
        <v>1895</v>
      </c>
      <c r="B283" s="1528" t="s">
        <v>2618</v>
      </c>
      <c r="C283" s="2138"/>
      <c r="D283" s="2138"/>
      <c r="E283" s="2138"/>
      <c r="F283" s="2126">
        <v>0.05</v>
      </c>
    </row>
    <row r="284" spans="1:6" ht="24.75" thickBot="1">
      <c r="A284" s="1534" t="s">
        <v>1895</v>
      </c>
      <c r="B284" s="1528" t="s">
        <v>2619</v>
      </c>
      <c r="C284" s="2138"/>
      <c r="D284" s="2138"/>
      <c r="E284" s="2138"/>
      <c r="F284" s="2126">
        <v>0.05</v>
      </c>
    </row>
    <row r="285" spans="1:6" ht="24.75" thickBot="1">
      <c r="A285" s="1534" t="s">
        <v>1895</v>
      </c>
      <c r="B285" s="1528" t="s">
        <v>2620</v>
      </c>
      <c r="C285" s="2138"/>
      <c r="D285" s="2138"/>
      <c r="E285" s="2138"/>
      <c r="F285" s="2126">
        <v>0.05</v>
      </c>
    </row>
    <row r="286" spans="1:6" ht="24.75" thickBot="1">
      <c r="A286" s="1534" t="s">
        <v>1895</v>
      </c>
      <c r="B286" s="1528" t="s">
        <v>2621</v>
      </c>
      <c r="C286" s="2138"/>
      <c r="D286" s="2138"/>
      <c r="E286" s="2138"/>
      <c r="F286" s="2126">
        <v>0.05</v>
      </c>
    </row>
    <row r="287" spans="1:6" ht="24.75" thickBot="1">
      <c r="A287" s="1534" t="s">
        <v>1895</v>
      </c>
      <c r="B287" s="1528" t="s">
        <v>2622</v>
      </c>
      <c r="C287" s="2138"/>
      <c r="D287" s="2138"/>
      <c r="E287" s="2138"/>
      <c r="F287" s="2126">
        <v>0.05</v>
      </c>
    </row>
    <row r="288" spans="1:6" ht="24.75" thickBot="1">
      <c r="A288" s="1534" t="s">
        <v>1895</v>
      </c>
      <c r="B288" s="1528" t="s">
        <v>2623</v>
      </c>
      <c r="C288" s="2138"/>
      <c r="D288" s="2138"/>
      <c r="E288" s="2138"/>
      <c r="F288" s="2126">
        <v>0.05</v>
      </c>
    </row>
    <row r="289" spans="1:6" ht="24.75" thickBot="1">
      <c r="A289" s="1544" t="s">
        <v>1895</v>
      </c>
      <c r="B289" s="1540" t="s">
        <v>2624</v>
      </c>
      <c r="C289" s="2135"/>
      <c r="D289" s="2135"/>
      <c r="E289" s="2135"/>
      <c r="F289" s="2128">
        <v>0.05</v>
      </c>
    </row>
    <row r="290" spans="1:6" ht="14.25" thickBot="1">
      <c r="A290" s="1534" t="s">
        <v>1899</v>
      </c>
      <c r="B290" s="1535" t="s">
        <v>2625</v>
      </c>
      <c r="C290" s="2123">
        <v>0.15</v>
      </c>
      <c r="D290" s="2123">
        <v>0.15</v>
      </c>
      <c r="E290" s="2123">
        <v>0.15</v>
      </c>
      <c r="F290" s="2140"/>
    </row>
    <row r="291" spans="1:6" ht="14.25" thickBot="1">
      <c r="A291" s="1534" t="s">
        <v>1899</v>
      </c>
      <c r="B291" s="1528" t="s">
        <v>1561</v>
      </c>
      <c r="C291" s="2125">
        <v>0.15</v>
      </c>
      <c r="D291" s="2125">
        <v>0.15</v>
      </c>
      <c r="E291" s="2125">
        <v>0.15</v>
      </c>
      <c r="F291" s="2137"/>
    </row>
    <row r="292" spans="1:6" ht="14.25" thickBot="1">
      <c r="A292" s="1534" t="s">
        <v>1899</v>
      </c>
      <c r="B292" s="1528" t="s">
        <v>2626</v>
      </c>
      <c r="C292" s="2125">
        <v>0.15</v>
      </c>
      <c r="D292" s="2125">
        <v>0.15</v>
      </c>
      <c r="E292" s="2125">
        <v>0.15</v>
      </c>
      <c r="F292" s="2126">
        <v>0.14699999999999999</v>
      </c>
    </row>
    <row r="293" spans="1:6" ht="14.25" thickBot="1">
      <c r="A293" s="1534" t="s">
        <v>1899</v>
      </c>
      <c r="B293" s="1528" t="s">
        <v>2627</v>
      </c>
      <c r="C293" s="2138"/>
      <c r="D293" s="2138"/>
      <c r="E293" s="2138"/>
      <c r="F293" s="2126">
        <v>0.1</v>
      </c>
    </row>
    <row r="294" spans="1:6" ht="14.25" thickBot="1">
      <c r="A294" s="1534" t="s">
        <v>1899</v>
      </c>
      <c r="B294" s="1528" t="s">
        <v>2628</v>
      </c>
      <c r="C294" s="2125">
        <v>0.15</v>
      </c>
      <c r="D294" s="2125">
        <v>0.15</v>
      </c>
      <c r="E294" s="2125">
        <v>0.15</v>
      </c>
      <c r="F294" s="2126">
        <v>0.15</v>
      </c>
    </row>
    <row r="295" spans="1:6" ht="14.25" thickBot="1">
      <c r="A295" s="1534" t="s">
        <v>1899</v>
      </c>
      <c r="B295" s="1528" t="s">
        <v>1599</v>
      </c>
      <c r="C295" s="2125">
        <v>0.15</v>
      </c>
      <c r="D295" s="2125">
        <v>0.15</v>
      </c>
      <c r="E295" s="2125">
        <v>0.15</v>
      </c>
      <c r="F295" s="2126">
        <v>0.15</v>
      </c>
    </row>
    <row r="296" spans="1:6" ht="14.25" thickBot="1">
      <c r="A296" s="1534" t="s">
        <v>1899</v>
      </c>
      <c r="B296" s="1528" t="s">
        <v>2629</v>
      </c>
      <c r="C296" s="2125">
        <v>0.15</v>
      </c>
      <c r="D296" s="2125">
        <v>0.15</v>
      </c>
      <c r="E296" s="2125">
        <v>0.15</v>
      </c>
      <c r="F296" s="2126">
        <v>0.15</v>
      </c>
    </row>
    <row r="297" spans="1:6" ht="14.25" thickBot="1">
      <c r="A297" s="1534" t="s">
        <v>1899</v>
      </c>
      <c r="B297" s="1528" t="s">
        <v>2630</v>
      </c>
      <c r="C297" s="2125">
        <v>0.14799999999999999</v>
      </c>
      <c r="D297" s="2125">
        <v>0.14899999999999999</v>
      </c>
      <c r="E297" s="2125">
        <v>0.15</v>
      </c>
      <c r="F297" s="2126">
        <v>0.13700000000000001</v>
      </c>
    </row>
    <row r="298" spans="1:6" ht="14.25" thickBot="1">
      <c r="A298" s="1534" t="s">
        <v>1899</v>
      </c>
      <c r="B298" s="1528" t="s">
        <v>1632</v>
      </c>
      <c r="C298" s="2125">
        <v>0.13400000000000001</v>
      </c>
      <c r="D298" s="2125">
        <v>0.13400000000000001</v>
      </c>
      <c r="E298" s="2125">
        <v>0.14499999999999999</v>
      </c>
      <c r="F298" s="2126">
        <v>0.14799999999999999</v>
      </c>
    </row>
    <row r="299" spans="1:6" ht="14.25" thickBot="1">
      <c r="A299" s="1534" t="s">
        <v>1899</v>
      </c>
      <c r="B299" s="1528" t="s">
        <v>1644</v>
      </c>
      <c r="C299" s="2125">
        <v>0.15</v>
      </c>
      <c r="D299" s="2125">
        <v>0.15</v>
      </c>
      <c r="E299" s="2125">
        <v>0.15</v>
      </c>
      <c r="F299" s="2137"/>
    </row>
    <row r="300" spans="1:6" ht="14.25" thickBot="1">
      <c r="A300" s="1534" t="s">
        <v>1899</v>
      </c>
      <c r="B300" s="1528" t="s">
        <v>2631</v>
      </c>
      <c r="C300" s="2125">
        <v>0.15</v>
      </c>
      <c r="D300" s="2125">
        <v>0.15</v>
      </c>
      <c r="E300" s="2125">
        <v>0.15</v>
      </c>
      <c r="F300" s="2126">
        <v>0.15</v>
      </c>
    </row>
    <row r="301" spans="1:6" ht="14.25" thickBot="1">
      <c r="A301" s="1534" t="s">
        <v>1899</v>
      </c>
      <c r="B301" s="1528" t="s">
        <v>1664</v>
      </c>
      <c r="C301" s="2125">
        <v>0.15</v>
      </c>
      <c r="D301" s="2125">
        <v>0.15</v>
      </c>
      <c r="E301" s="2125">
        <v>0.15</v>
      </c>
      <c r="F301" s="2137"/>
    </row>
    <row r="302" spans="1:6" ht="14.25" thickBot="1">
      <c r="A302" s="1534" t="s">
        <v>1899</v>
      </c>
      <c r="B302" s="1528" t="s">
        <v>2632</v>
      </c>
      <c r="C302" s="2125">
        <v>0.15</v>
      </c>
      <c r="D302" s="2125">
        <v>0.15</v>
      </c>
      <c r="E302" s="2125">
        <v>0.15</v>
      </c>
      <c r="F302" s="2126">
        <v>0.15</v>
      </c>
    </row>
    <row r="303" spans="1:6" ht="14.25" thickBot="1">
      <c r="A303" s="1534" t="s">
        <v>1899</v>
      </c>
      <c r="B303" s="1528" t="s">
        <v>1684</v>
      </c>
      <c r="C303" s="2125">
        <v>0.15</v>
      </c>
      <c r="D303" s="2125">
        <v>0.15</v>
      </c>
      <c r="E303" s="2125">
        <v>0.15</v>
      </c>
      <c r="F303" s="2126">
        <v>0.15</v>
      </c>
    </row>
    <row r="304" spans="1:6" ht="14.25" thickBot="1">
      <c r="A304" s="1534" t="s">
        <v>1899</v>
      </c>
      <c r="B304" s="1528" t="s">
        <v>1695</v>
      </c>
      <c r="C304" s="2125">
        <v>0.15</v>
      </c>
      <c r="D304" s="2125">
        <v>0.15</v>
      </c>
      <c r="E304" s="2125">
        <v>0.15</v>
      </c>
      <c r="F304" s="2137"/>
    </row>
    <row r="305" spans="1:6" ht="14.25" thickBot="1">
      <c r="A305" s="1534" t="s">
        <v>1899</v>
      </c>
      <c r="B305" s="1528" t="s">
        <v>2633</v>
      </c>
      <c r="C305" s="2125">
        <v>0.15</v>
      </c>
      <c r="D305" s="2125">
        <v>0.15</v>
      </c>
      <c r="E305" s="2125">
        <v>0.15</v>
      </c>
      <c r="F305" s="2126">
        <v>0.14000000000000001</v>
      </c>
    </row>
    <row r="306" spans="1:6" ht="14.25" thickBot="1">
      <c r="A306" s="1534" t="s">
        <v>1899</v>
      </c>
      <c r="B306" s="1528" t="s">
        <v>1716</v>
      </c>
      <c r="C306" s="2125">
        <v>0.15</v>
      </c>
      <c r="D306" s="2125">
        <v>0.15</v>
      </c>
      <c r="E306" s="2125">
        <v>0.15</v>
      </c>
      <c r="F306" s="2137"/>
    </row>
    <row r="307" spans="1:6" ht="14.25" thickBot="1">
      <c r="A307" s="1534" t="s">
        <v>1899</v>
      </c>
      <c r="B307" s="1528" t="s">
        <v>2634</v>
      </c>
      <c r="C307" s="2125">
        <v>0.15</v>
      </c>
      <c r="D307" s="2125">
        <v>0.15</v>
      </c>
      <c r="E307" s="2125">
        <v>0.15</v>
      </c>
      <c r="F307" s="2126">
        <v>0.14299999999999999</v>
      </c>
    </row>
    <row r="308" spans="1:6" ht="14.25" thickBot="1">
      <c r="A308" s="1534" t="s">
        <v>1899</v>
      </c>
      <c r="B308" s="1528" t="s">
        <v>1736</v>
      </c>
      <c r="C308" s="2125">
        <v>0.15</v>
      </c>
      <c r="D308" s="2125">
        <v>0.15</v>
      </c>
      <c r="E308" s="2125">
        <v>0.15</v>
      </c>
      <c r="F308" s="2126">
        <v>0.15</v>
      </c>
    </row>
    <row r="309" spans="1:6" ht="14.25" thickBot="1">
      <c r="A309" s="1534" t="s">
        <v>1899</v>
      </c>
      <c r="B309" s="1528" t="s">
        <v>1746</v>
      </c>
      <c r="C309" s="2125">
        <v>0.15</v>
      </c>
      <c r="D309" s="2125">
        <v>0.15</v>
      </c>
      <c r="E309" s="2125">
        <v>0.15</v>
      </c>
      <c r="F309" s="2137"/>
    </row>
    <row r="310" spans="1:6" ht="14.25" thickBot="1">
      <c r="A310" s="1534" t="s">
        <v>1899</v>
      </c>
      <c r="B310" s="1528" t="s">
        <v>2635</v>
      </c>
      <c r="C310" s="2125">
        <v>0.15</v>
      </c>
      <c r="D310" s="2125">
        <v>0.15</v>
      </c>
      <c r="E310" s="2125">
        <v>0.15</v>
      </c>
      <c r="F310" s="2126">
        <v>0.13700000000000001</v>
      </c>
    </row>
    <row r="311" spans="1:6" ht="14.25" thickBot="1">
      <c r="A311" s="1534" t="s">
        <v>1899</v>
      </c>
      <c r="B311" s="1528" t="s">
        <v>2636</v>
      </c>
      <c r="C311" s="2125">
        <v>0.15</v>
      </c>
      <c r="D311" s="2125">
        <v>0.15</v>
      </c>
      <c r="E311" s="2125">
        <v>0.15</v>
      </c>
      <c r="F311" s="2126">
        <v>0.15</v>
      </c>
    </row>
    <row r="312" spans="1:6" ht="14.25" thickBot="1">
      <c r="A312" s="1534" t="s">
        <v>1899</v>
      </c>
      <c r="B312" s="1528" t="s">
        <v>1772</v>
      </c>
      <c r="C312" s="2125">
        <v>0.15</v>
      </c>
      <c r="D312" s="2125">
        <v>0.15</v>
      </c>
      <c r="E312" s="2125">
        <v>0.15</v>
      </c>
      <c r="F312" s="2126">
        <v>0.1</v>
      </c>
    </row>
    <row r="313" spans="1:6" ht="14.25" thickBot="1">
      <c r="A313" s="1534" t="s">
        <v>1899</v>
      </c>
      <c r="B313" s="1528" t="s">
        <v>2637</v>
      </c>
      <c r="C313" s="2125">
        <v>0.15</v>
      </c>
      <c r="D313" s="2125">
        <v>0.15</v>
      </c>
      <c r="E313" s="2125">
        <v>0.15</v>
      </c>
      <c r="F313" s="2126">
        <v>0.15</v>
      </c>
    </row>
    <row r="314" spans="1:6" ht="24.75" thickBot="1">
      <c r="A314" s="1534" t="s">
        <v>1899</v>
      </c>
      <c r="B314" s="1528" t="s">
        <v>2638</v>
      </c>
      <c r="C314" s="2138"/>
      <c r="D314" s="2138"/>
      <c r="E314" s="2138"/>
      <c r="F314" s="2126">
        <v>0.05</v>
      </c>
    </row>
    <row r="315" spans="1:6" ht="24.75" thickBot="1">
      <c r="A315" s="1534" t="s">
        <v>1899</v>
      </c>
      <c r="B315" s="1528" t="s">
        <v>2639</v>
      </c>
      <c r="C315" s="2138"/>
      <c r="D315" s="2138"/>
      <c r="E315" s="2138"/>
      <c r="F315" s="2126">
        <v>0.05</v>
      </c>
    </row>
    <row r="316" spans="1:6" ht="24.75" thickBot="1">
      <c r="A316" s="1544" t="s">
        <v>1899</v>
      </c>
      <c r="B316" s="1540" t="s">
        <v>2640</v>
      </c>
      <c r="C316" s="2135"/>
      <c r="D316" s="2135"/>
      <c r="E316" s="2135"/>
      <c r="F316" s="2128">
        <v>0.05</v>
      </c>
    </row>
    <row r="317" spans="1:6" ht="14.25" thickBot="1">
      <c r="A317" s="1534" t="s">
        <v>2641</v>
      </c>
      <c r="B317" s="1535" t="s">
        <v>2642</v>
      </c>
      <c r="C317" s="2123">
        <v>0.15</v>
      </c>
      <c r="D317" s="2123">
        <v>0.15</v>
      </c>
      <c r="E317" s="2123">
        <v>0.15</v>
      </c>
      <c r="F317" s="2124">
        <v>0.15</v>
      </c>
    </row>
    <row r="318" spans="1:6" ht="14.25" thickBot="1">
      <c r="A318" s="1534" t="s">
        <v>2641</v>
      </c>
      <c r="B318" s="1528" t="s">
        <v>2643</v>
      </c>
      <c r="C318" s="2125">
        <v>0.107</v>
      </c>
      <c r="D318" s="2125">
        <v>0.11</v>
      </c>
      <c r="E318" s="2125">
        <v>0.112</v>
      </c>
      <c r="F318" s="2137"/>
    </row>
    <row r="319" spans="1:6" ht="14.25" thickBot="1">
      <c r="A319" s="1534" t="s">
        <v>2641</v>
      </c>
      <c r="B319" s="1528" t="s">
        <v>2644</v>
      </c>
      <c r="C319" s="2125">
        <v>0.15</v>
      </c>
      <c r="D319" s="2125">
        <v>0.15</v>
      </c>
      <c r="E319" s="2125">
        <v>0.15</v>
      </c>
      <c r="F319" s="2126">
        <v>0.15</v>
      </c>
    </row>
    <row r="320" spans="1:6" ht="14.25" thickBot="1">
      <c r="A320" s="1534" t="s">
        <v>2641</v>
      </c>
      <c r="B320" s="1528" t="s">
        <v>1588</v>
      </c>
      <c r="C320" s="2125">
        <v>0.15</v>
      </c>
      <c r="D320" s="2125">
        <v>0.15</v>
      </c>
      <c r="E320" s="2125">
        <v>0.15</v>
      </c>
      <c r="F320" s="2137"/>
    </row>
    <row r="321" spans="1:6" ht="14.25" thickBot="1">
      <c r="A321" s="1534" t="s">
        <v>2641</v>
      </c>
      <c r="B321" s="1528" t="s">
        <v>2645</v>
      </c>
      <c r="C321" s="2125">
        <v>0.15</v>
      </c>
      <c r="D321" s="2125">
        <v>0.15</v>
      </c>
      <c r="E321" s="2125">
        <v>0.15</v>
      </c>
      <c r="F321" s="2137"/>
    </row>
    <row r="322" spans="1:6" ht="14.25" thickBot="1">
      <c r="A322" s="1534" t="s">
        <v>2641</v>
      </c>
      <c r="B322" s="1528" t="s">
        <v>2646</v>
      </c>
      <c r="C322" s="2125">
        <v>0.15</v>
      </c>
      <c r="D322" s="2125">
        <v>0.15</v>
      </c>
      <c r="E322" s="2125">
        <v>0.15</v>
      </c>
      <c r="F322" s="2126">
        <v>0.15</v>
      </c>
    </row>
    <row r="323" spans="1:6" ht="14.25" thickBot="1">
      <c r="A323" s="1534" t="s">
        <v>2641</v>
      </c>
      <c r="B323" s="1528" t="s">
        <v>2647</v>
      </c>
      <c r="C323" s="2125">
        <v>0.15</v>
      </c>
      <c r="D323" s="2125">
        <v>0.15</v>
      </c>
      <c r="E323" s="2125">
        <v>0.15</v>
      </c>
      <c r="F323" s="2137"/>
    </row>
    <row r="324" spans="1:6" ht="14.25" thickBot="1">
      <c r="A324" s="1534" t="s">
        <v>2641</v>
      </c>
      <c r="B324" s="1528" t="s">
        <v>2648</v>
      </c>
      <c r="C324" s="2125">
        <v>0.15</v>
      </c>
      <c r="D324" s="2125">
        <v>0.15</v>
      </c>
      <c r="E324" s="2125">
        <v>0.15</v>
      </c>
      <c r="F324" s="2137"/>
    </row>
    <row r="325" spans="1:6" ht="14.25" thickBot="1">
      <c r="A325" s="1534" t="s">
        <v>2641</v>
      </c>
      <c r="B325" s="1528" t="s">
        <v>2649</v>
      </c>
      <c r="C325" s="2125">
        <v>0.15</v>
      </c>
      <c r="D325" s="2125">
        <v>0.15</v>
      </c>
      <c r="E325" s="2125">
        <v>0.15</v>
      </c>
      <c r="F325" s="2126">
        <v>0.14699999999999999</v>
      </c>
    </row>
    <row r="326" spans="1:6" ht="14.25" thickBot="1">
      <c r="A326" s="1534" t="s">
        <v>2641</v>
      </c>
      <c r="B326" s="1528" t="s">
        <v>1655</v>
      </c>
      <c r="C326" s="2125">
        <v>0.15</v>
      </c>
      <c r="D326" s="2125">
        <v>0.15</v>
      </c>
      <c r="E326" s="2125">
        <v>0.15</v>
      </c>
      <c r="F326" s="2137"/>
    </row>
    <row r="327" spans="1:6" ht="14.25" thickBot="1">
      <c r="A327" s="1534" t="s">
        <v>2641</v>
      </c>
      <c r="B327" s="1528" t="s">
        <v>2650</v>
      </c>
      <c r="C327" s="2125">
        <v>0.15</v>
      </c>
      <c r="D327" s="2125">
        <v>0.15</v>
      </c>
      <c r="E327" s="2125">
        <v>0.15</v>
      </c>
      <c r="F327" s="2126">
        <v>0.15</v>
      </c>
    </row>
    <row r="328" spans="1:6" ht="14.25" thickBot="1">
      <c r="A328" s="1534" t="s">
        <v>2641</v>
      </c>
      <c r="B328" s="1528" t="s">
        <v>1675</v>
      </c>
      <c r="C328" s="2125">
        <v>0.15</v>
      </c>
      <c r="D328" s="2125">
        <v>0.15</v>
      </c>
      <c r="E328" s="2125">
        <v>0.15</v>
      </c>
      <c r="F328" s="2126">
        <v>0.14099999999999999</v>
      </c>
    </row>
    <row r="329" spans="1:6" ht="14.25" thickBot="1">
      <c r="A329" s="1534" t="s">
        <v>2641</v>
      </c>
      <c r="B329" s="1528" t="s">
        <v>1685</v>
      </c>
      <c r="C329" s="2125">
        <v>0.15</v>
      </c>
      <c r="D329" s="2125">
        <v>0.15</v>
      </c>
      <c r="E329" s="2125">
        <v>0.15</v>
      </c>
      <c r="F329" s="2126">
        <v>0.15</v>
      </c>
    </row>
    <row r="330" spans="1:6" ht="14.25" thickBot="1">
      <c r="A330" s="1534" t="s">
        <v>2641</v>
      </c>
      <c r="B330" s="1528" t="s">
        <v>1696</v>
      </c>
      <c r="C330" s="2125">
        <v>0.15</v>
      </c>
      <c r="D330" s="2125">
        <v>0.15</v>
      </c>
      <c r="E330" s="2125">
        <v>0.15</v>
      </c>
      <c r="F330" s="2137"/>
    </row>
    <row r="331" spans="1:6" ht="14.25" thickBot="1">
      <c r="A331" s="1534" t="s">
        <v>2641</v>
      </c>
      <c r="B331" s="1528" t="s">
        <v>2651</v>
      </c>
      <c r="C331" s="2125">
        <v>0.15</v>
      </c>
      <c r="D331" s="2125">
        <v>0.15</v>
      </c>
      <c r="E331" s="2125">
        <v>0.15</v>
      </c>
      <c r="F331" s="2126">
        <v>0.15</v>
      </c>
    </row>
    <row r="332" spans="1:6" ht="14.25" thickBot="1">
      <c r="A332" s="1534" t="s">
        <v>2641</v>
      </c>
      <c r="B332" s="1528" t="s">
        <v>1717</v>
      </c>
      <c r="C332" s="2125">
        <v>0.15</v>
      </c>
      <c r="D332" s="2125">
        <v>0.15</v>
      </c>
      <c r="E332" s="2125">
        <v>0.15</v>
      </c>
      <c r="F332" s="2126">
        <v>0.15</v>
      </c>
    </row>
    <row r="333" spans="1:6" ht="14.25" thickBot="1">
      <c r="A333" s="1534" t="s">
        <v>2641</v>
      </c>
      <c r="B333" s="1528" t="s">
        <v>2652</v>
      </c>
      <c r="C333" s="2125">
        <v>0.15</v>
      </c>
      <c r="D333" s="2125">
        <v>0.15</v>
      </c>
      <c r="E333" s="2125">
        <v>0.15</v>
      </c>
      <c r="F333" s="2126">
        <v>0.14099999999999999</v>
      </c>
    </row>
    <row r="334" spans="1:6" ht="14.25" thickBot="1">
      <c r="A334" s="1534" t="s">
        <v>2641</v>
      </c>
      <c r="B334" s="1528" t="s">
        <v>1737</v>
      </c>
      <c r="C334" s="2125">
        <v>0.15</v>
      </c>
      <c r="D334" s="2125">
        <v>0.15</v>
      </c>
      <c r="E334" s="2125">
        <v>0.15</v>
      </c>
      <c r="F334" s="2126">
        <v>0.15</v>
      </c>
    </row>
    <row r="335" spans="1:6" ht="14.25" thickBot="1">
      <c r="A335" s="1534" t="s">
        <v>2641</v>
      </c>
      <c r="B335" s="1528" t="s">
        <v>1747</v>
      </c>
      <c r="C335" s="2125">
        <v>0.15</v>
      </c>
      <c r="D335" s="2125">
        <v>0.15</v>
      </c>
      <c r="E335" s="2125">
        <v>0.15</v>
      </c>
      <c r="F335" s="2137"/>
    </row>
    <row r="336" spans="1:6" ht="14.25" thickBot="1">
      <c r="A336" s="1534" t="s">
        <v>2641</v>
      </c>
      <c r="B336" s="1528" t="s">
        <v>2653</v>
      </c>
      <c r="C336" s="2125">
        <v>0.15</v>
      </c>
      <c r="D336" s="2125">
        <v>0.15</v>
      </c>
      <c r="E336" s="2125">
        <v>0.15</v>
      </c>
      <c r="F336" s="2126">
        <v>0.11799999999999999</v>
      </c>
    </row>
    <row r="337" spans="1:6" ht="14.25" thickBot="1">
      <c r="A337" s="1544" t="s">
        <v>2641</v>
      </c>
      <c r="B337" s="1540" t="s">
        <v>1765</v>
      </c>
      <c r="C337" s="2135"/>
      <c r="D337" s="2135"/>
      <c r="E337" s="2135"/>
      <c r="F337" s="2128">
        <v>0.14299999999999999</v>
      </c>
    </row>
    <row r="338" spans="1:6" ht="14.25" thickBot="1">
      <c r="A338" s="1534" t="s">
        <v>2654</v>
      </c>
      <c r="B338" s="1535" t="s">
        <v>2655</v>
      </c>
      <c r="C338" s="2123">
        <v>0.15</v>
      </c>
      <c r="D338" s="2123">
        <v>0.15</v>
      </c>
      <c r="E338" s="2123">
        <v>0.15</v>
      </c>
      <c r="F338" s="2140"/>
    </row>
    <row r="339" spans="1:6" ht="14.25" thickBot="1">
      <c r="A339" s="1534" t="s">
        <v>2654</v>
      </c>
      <c r="B339" s="1528" t="s">
        <v>2656</v>
      </c>
      <c r="C339" s="2125">
        <v>0.15</v>
      </c>
      <c r="D339" s="2125">
        <v>0.15</v>
      </c>
      <c r="E339" s="2125">
        <v>0.15</v>
      </c>
      <c r="F339" s="2137"/>
    </row>
    <row r="340" spans="1:6" ht="14.25" thickBot="1">
      <c r="A340" s="1534" t="s">
        <v>2654</v>
      </c>
      <c r="B340" s="1528" t="s">
        <v>2657</v>
      </c>
      <c r="C340" s="2125">
        <v>0.15</v>
      </c>
      <c r="D340" s="2125">
        <v>0.15</v>
      </c>
      <c r="E340" s="2125">
        <v>0.15</v>
      </c>
      <c r="F340" s="2137"/>
    </row>
    <row r="341" spans="1:6" ht="14.25" thickBot="1">
      <c r="A341" s="1534" t="s">
        <v>2654</v>
      </c>
      <c r="B341" s="1528" t="s">
        <v>2658</v>
      </c>
      <c r="C341" s="2125">
        <v>0.15</v>
      </c>
      <c r="D341" s="2125">
        <v>0.15</v>
      </c>
      <c r="E341" s="2125">
        <v>0.15</v>
      </c>
      <c r="F341" s="2126">
        <v>0.15</v>
      </c>
    </row>
    <row r="342" spans="1:6" ht="14.25" thickBot="1">
      <c r="A342" s="1534" t="s">
        <v>2654</v>
      </c>
      <c r="B342" s="1528" t="s">
        <v>2659</v>
      </c>
      <c r="C342" s="2125">
        <v>0.15</v>
      </c>
      <c r="D342" s="2125">
        <v>0.15</v>
      </c>
      <c r="E342" s="2125">
        <v>0.15</v>
      </c>
      <c r="F342" s="2126">
        <v>0.15</v>
      </c>
    </row>
    <row r="343" spans="1:6" ht="14.25" thickBot="1">
      <c r="A343" s="1534" t="s">
        <v>2654</v>
      </c>
      <c r="B343" s="1528" t="s">
        <v>2660</v>
      </c>
      <c r="C343" s="2125">
        <v>0.15</v>
      </c>
      <c r="D343" s="2125">
        <v>0.15</v>
      </c>
      <c r="E343" s="2125">
        <v>0.15</v>
      </c>
      <c r="F343" s="2126">
        <v>0.15</v>
      </c>
    </row>
    <row r="344" spans="1:6" ht="14.25" thickBot="1">
      <c r="A344" s="1544" t="s">
        <v>2654</v>
      </c>
      <c r="B344" s="1540" t="s">
        <v>2661</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3316</v>
      </c>
      <c r="C1" s="3219">
        <f>项目基本情况!D3</f>
        <v>42906</v>
      </c>
      <c r="D1" s="3225" t="s">
        <v>3317</v>
      </c>
      <c r="E1" s="3220">
        <f>'数据-取费表'!B22</f>
        <v>5</v>
      </c>
      <c r="F1" s="3225" t="s">
        <v>3318</v>
      </c>
      <c r="G1" s="3221">
        <f ca="1">INDIRECT("d"&amp;$K$1)/100</f>
        <v>4.7500000000000001E-2</v>
      </c>
      <c r="H1" s="3225" t="s">
        <v>3348</v>
      </c>
      <c r="I1" s="3221">
        <f ca="1">F4/100</f>
        <v>1.4999999999999999E-2</v>
      </c>
      <c r="J1" s="3226">
        <f>IF(C1&gt;C13,0,MATCH(C1,C$13:C$100,-1))+IF(SUMIF(C13:C100,C1,D13:D100)=0,13,12)</f>
        <v>13</v>
      </c>
      <c r="K1" s="3226">
        <f ca="1">MATCH(E1,C3:C7,1)+IF(SUMIF(C3:C7,E1,D3:D7)=0,2,1)</f>
        <v>6</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3319</v>
      </c>
      <c r="E2" s="3161"/>
      <c r="F2" s="3161" t="s">
        <v>3320</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3321</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3322</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3323</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3324</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3325</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3326</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3327</v>
      </c>
      <c r="C10" s="3189"/>
      <c r="D10" s="3189"/>
      <c r="E10" s="3189"/>
      <c r="F10" s="3189"/>
      <c r="G10" s="3189"/>
      <c r="H10" s="3189"/>
      <c r="I10" s="3163"/>
      <c r="J10" s="3163"/>
      <c r="K10" s="3189"/>
      <c r="L10" s="3190" t="s">
        <v>3328</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3329</v>
      </c>
      <c r="C11" s="3194" t="s">
        <v>3330</v>
      </c>
      <c r="D11" s="3195" t="s">
        <v>3331</v>
      </c>
      <c r="E11" s="3196"/>
      <c r="F11" s="3195" t="s">
        <v>3332</v>
      </c>
      <c r="G11" s="3197"/>
      <c r="H11" s="3196"/>
      <c r="I11" s="3195" t="s">
        <v>3333</v>
      </c>
      <c r="J11" s="3196"/>
      <c r="K11" s="3192"/>
      <c r="L11" s="3193" t="s">
        <v>3329</v>
      </c>
      <c r="M11" s="3194" t="s">
        <v>3330</v>
      </c>
      <c r="N11" s="3193" t="s">
        <v>3334</v>
      </c>
      <c r="O11" s="3195" t="s">
        <v>3335</v>
      </c>
      <c r="P11" s="3197"/>
      <c r="Q11" s="3197"/>
      <c r="R11" s="3197"/>
      <c r="S11" s="3197"/>
      <c r="T11" s="3196"/>
      <c r="U11" s="3195" t="s">
        <v>3336</v>
      </c>
      <c r="V11" s="3197"/>
      <c r="W11" s="3196"/>
      <c r="X11" s="3193" t="s">
        <v>3337</v>
      </c>
      <c r="Y11" s="3193" t="s">
        <v>3338</v>
      </c>
      <c r="Z11" s="3193" t="s">
        <v>3339</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3340</v>
      </c>
      <c r="E12" s="3202" t="s">
        <v>3341</v>
      </c>
      <c r="F12" s="3202" t="s">
        <v>3342</v>
      </c>
      <c r="G12" s="3202" t="s">
        <v>3343</v>
      </c>
      <c r="H12" s="3202" t="s">
        <v>3325</v>
      </c>
      <c r="I12" s="3203" t="s">
        <v>3344</v>
      </c>
      <c r="J12" s="3203" t="s">
        <v>3344</v>
      </c>
      <c r="K12" s="3199"/>
      <c r="L12" s="3200"/>
      <c r="M12" s="3201"/>
      <c r="N12" s="3200"/>
      <c r="O12" s="3203" t="s">
        <v>3345</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3346</v>
      </c>
      <c r="C13" s="3207">
        <v>42301</v>
      </c>
      <c r="D13" s="3208">
        <v>4.3499999999999996</v>
      </c>
      <c r="E13" s="3208">
        <v>4.3499999999999996</v>
      </c>
      <c r="F13" s="3208">
        <v>4.75</v>
      </c>
      <c r="G13" s="3208">
        <v>4.75</v>
      </c>
      <c r="H13" s="3208">
        <v>4.9000000000000004</v>
      </c>
      <c r="I13" s="3208">
        <v>2.75</v>
      </c>
      <c r="J13" s="3208">
        <v>3.25</v>
      </c>
      <c r="K13" s="3205"/>
      <c r="L13" s="3206" t="s">
        <v>3346</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3347</v>
      </c>
      <c r="Y42" s="3212" t="s">
        <v>3347</v>
      </c>
      <c r="Z42" s="3212" t="s">
        <v>3347</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3347</v>
      </c>
      <c r="Y43" s="3212" t="s">
        <v>3347</v>
      </c>
      <c r="Z43" s="3212" t="s">
        <v>3347</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3347</v>
      </c>
      <c r="Y44" s="3212" t="s">
        <v>3347</v>
      </c>
      <c r="Z44" s="3212" t="s">
        <v>3347</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3347</v>
      </c>
      <c r="Y45" s="3212" t="s">
        <v>3347</v>
      </c>
      <c r="Z45" s="3212" t="s">
        <v>3347</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3347</v>
      </c>
      <c r="Y46" s="3212" t="s">
        <v>3347</v>
      </c>
      <c r="Z46" s="3212" t="s">
        <v>3347</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3347</v>
      </c>
      <c r="Y47" s="3212" t="s">
        <v>3347</v>
      </c>
      <c r="Z47" s="3212" t="s">
        <v>3347</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3347</v>
      </c>
      <c r="Y48" s="3212" t="s">
        <v>3347</v>
      </c>
      <c r="Z48" s="3212" t="s">
        <v>3347</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3347</v>
      </c>
      <c r="Y49" s="3212" t="s">
        <v>3347</v>
      </c>
      <c r="Z49" s="3212" t="s">
        <v>3347</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3347</v>
      </c>
      <c r="Y50" s="3212" t="s">
        <v>3347</v>
      </c>
      <c r="Z50" s="3212" t="s">
        <v>3347</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3347</v>
      </c>
      <c r="V51" s="3212" t="s">
        <v>3347</v>
      </c>
      <c r="W51" s="3212" t="s">
        <v>3347</v>
      </c>
      <c r="X51" s="3212" t="s">
        <v>3347</v>
      </c>
      <c r="Y51" s="3212" t="s">
        <v>3347</v>
      </c>
      <c r="Z51" s="3212" t="s">
        <v>3347</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3347</v>
      </c>
      <c r="J55" s="3212" t="s">
        <v>3347</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27"/>
  <sheetViews>
    <sheetView view="pageBreakPreview" topLeftCell="A10" zoomScale="90" zoomScaleNormal="100" zoomScaleSheetLayoutView="90" workbookViewId="0">
      <selection activeCell="O43" sqref="O43"/>
    </sheetView>
  </sheetViews>
  <sheetFormatPr defaultRowHeight="13.5"/>
  <cols>
    <col min="1" max="1" width="14.25" style="3516" customWidth="1"/>
    <col min="2" max="5" width="8.875" style="3516" customWidth="1"/>
    <col min="6" max="8" width="9" style="3516"/>
    <col min="9" max="9" width="10.5" style="3516" customWidth="1"/>
    <col min="10" max="10" width="9.625" style="3516" hidden="1" customWidth="1"/>
    <col min="11" max="11" width="12.375" style="3516" customWidth="1"/>
    <col min="12" max="12" width="7.5" style="3516" customWidth="1"/>
    <col min="13" max="13" width="6.5" style="3516" customWidth="1"/>
    <col min="14" max="14" width="7.5" style="3516" customWidth="1"/>
    <col min="15" max="256" width="9" style="3516"/>
    <col min="257" max="257" width="14.25" style="3516" customWidth="1"/>
    <col min="258" max="261" width="8.875" style="3516" customWidth="1"/>
    <col min="262" max="264" width="9" style="3516"/>
    <col min="265" max="265" width="10.5" style="3516" customWidth="1"/>
    <col min="266" max="266" width="0" style="3516" hidden="1" customWidth="1"/>
    <col min="267" max="267" width="12.375" style="3516" customWidth="1"/>
    <col min="268" max="268" width="7.5" style="3516" customWidth="1"/>
    <col min="269" max="269" width="6.5" style="3516" customWidth="1"/>
    <col min="270" max="270" width="7.5" style="3516" customWidth="1"/>
    <col min="271" max="512" width="9" style="3516"/>
    <col min="513" max="513" width="14.25" style="3516" customWidth="1"/>
    <col min="514" max="517" width="8.875" style="3516" customWidth="1"/>
    <col min="518" max="520" width="9" style="3516"/>
    <col min="521" max="521" width="10.5" style="3516" customWidth="1"/>
    <col min="522" max="522" width="0" style="3516" hidden="1" customWidth="1"/>
    <col min="523" max="523" width="12.375" style="3516" customWidth="1"/>
    <col min="524" max="524" width="7.5" style="3516" customWidth="1"/>
    <col min="525" max="525" width="6.5" style="3516" customWidth="1"/>
    <col min="526" max="526" width="7.5" style="3516" customWidth="1"/>
    <col min="527" max="768" width="9" style="3516"/>
    <col min="769" max="769" width="14.25" style="3516" customWidth="1"/>
    <col min="770" max="773" width="8.875" style="3516" customWidth="1"/>
    <col min="774" max="776" width="9" style="3516"/>
    <col min="777" max="777" width="10.5" style="3516" customWidth="1"/>
    <col min="778" max="778" width="0" style="3516" hidden="1" customWidth="1"/>
    <col min="779" max="779" width="12.375" style="3516" customWidth="1"/>
    <col min="780" max="780" width="7.5" style="3516" customWidth="1"/>
    <col min="781" max="781" width="6.5" style="3516" customWidth="1"/>
    <col min="782" max="782" width="7.5" style="3516" customWidth="1"/>
    <col min="783" max="1024" width="9" style="3516"/>
    <col min="1025" max="1025" width="14.25" style="3516" customWidth="1"/>
    <col min="1026" max="1029" width="8.875" style="3516" customWidth="1"/>
    <col min="1030" max="1032" width="9" style="3516"/>
    <col min="1033" max="1033" width="10.5" style="3516" customWidth="1"/>
    <col min="1034" max="1034" width="0" style="3516" hidden="1" customWidth="1"/>
    <col min="1035" max="1035" width="12.375" style="3516" customWidth="1"/>
    <col min="1036" max="1036" width="7.5" style="3516" customWidth="1"/>
    <col min="1037" max="1037" width="6.5" style="3516" customWidth="1"/>
    <col min="1038" max="1038" width="7.5" style="3516" customWidth="1"/>
    <col min="1039" max="1280" width="9" style="3516"/>
    <col min="1281" max="1281" width="14.25" style="3516" customWidth="1"/>
    <col min="1282" max="1285" width="8.875" style="3516" customWidth="1"/>
    <col min="1286" max="1288" width="9" style="3516"/>
    <col min="1289" max="1289" width="10.5" style="3516" customWidth="1"/>
    <col min="1290" max="1290" width="0" style="3516" hidden="1" customWidth="1"/>
    <col min="1291" max="1291" width="12.375" style="3516" customWidth="1"/>
    <col min="1292" max="1292" width="7.5" style="3516" customWidth="1"/>
    <col min="1293" max="1293" width="6.5" style="3516" customWidth="1"/>
    <col min="1294" max="1294" width="7.5" style="3516" customWidth="1"/>
    <col min="1295" max="1536" width="9" style="3516"/>
    <col min="1537" max="1537" width="14.25" style="3516" customWidth="1"/>
    <col min="1538" max="1541" width="8.875" style="3516" customWidth="1"/>
    <col min="1542" max="1544" width="9" style="3516"/>
    <col min="1545" max="1545" width="10.5" style="3516" customWidth="1"/>
    <col min="1546" max="1546" width="0" style="3516" hidden="1" customWidth="1"/>
    <col min="1547" max="1547" width="12.375" style="3516" customWidth="1"/>
    <col min="1548" max="1548" width="7.5" style="3516" customWidth="1"/>
    <col min="1549" max="1549" width="6.5" style="3516" customWidth="1"/>
    <col min="1550" max="1550" width="7.5" style="3516" customWidth="1"/>
    <col min="1551" max="1792" width="9" style="3516"/>
    <col min="1793" max="1793" width="14.25" style="3516" customWidth="1"/>
    <col min="1794" max="1797" width="8.875" style="3516" customWidth="1"/>
    <col min="1798" max="1800" width="9" style="3516"/>
    <col min="1801" max="1801" width="10.5" style="3516" customWidth="1"/>
    <col min="1802" max="1802" width="0" style="3516" hidden="1" customWidth="1"/>
    <col min="1803" max="1803" width="12.375" style="3516" customWidth="1"/>
    <col min="1804" max="1804" width="7.5" style="3516" customWidth="1"/>
    <col min="1805" max="1805" width="6.5" style="3516" customWidth="1"/>
    <col min="1806" max="1806" width="7.5" style="3516" customWidth="1"/>
    <col min="1807" max="2048" width="9" style="3516"/>
    <col min="2049" max="2049" width="14.25" style="3516" customWidth="1"/>
    <col min="2050" max="2053" width="8.875" style="3516" customWidth="1"/>
    <col min="2054" max="2056" width="9" style="3516"/>
    <col min="2057" max="2057" width="10.5" style="3516" customWidth="1"/>
    <col min="2058" max="2058" width="0" style="3516" hidden="1" customWidth="1"/>
    <col min="2059" max="2059" width="12.375" style="3516" customWidth="1"/>
    <col min="2060" max="2060" width="7.5" style="3516" customWidth="1"/>
    <col min="2061" max="2061" width="6.5" style="3516" customWidth="1"/>
    <col min="2062" max="2062" width="7.5" style="3516" customWidth="1"/>
    <col min="2063" max="2304" width="9" style="3516"/>
    <col min="2305" max="2305" width="14.25" style="3516" customWidth="1"/>
    <col min="2306" max="2309" width="8.875" style="3516" customWidth="1"/>
    <col min="2310" max="2312" width="9" style="3516"/>
    <col min="2313" max="2313" width="10.5" style="3516" customWidth="1"/>
    <col min="2314" max="2314" width="0" style="3516" hidden="1" customWidth="1"/>
    <col min="2315" max="2315" width="12.375" style="3516" customWidth="1"/>
    <col min="2316" max="2316" width="7.5" style="3516" customWidth="1"/>
    <col min="2317" max="2317" width="6.5" style="3516" customWidth="1"/>
    <col min="2318" max="2318" width="7.5" style="3516" customWidth="1"/>
    <col min="2319" max="2560" width="9" style="3516"/>
    <col min="2561" max="2561" width="14.25" style="3516" customWidth="1"/>
    <col min="2562" max="2565" width="8.875" style="3516" customWidth="1"/>
    <col min="2566" max="2568" width="9" style="3516"/>
    <col min="2569" max="2569" width="10.5" style="3516" customWidth="1"/>
    <col min="2570" max="2570" width="0" style="3516" hidden="1" customWidth="1"/>
    <col min="2571" max="2571" width="12.375" style="3516" customWidth="1"/>
    <col min="2572" max="2572" width="7.5" style="3516" customWidth="1"/>
    <col min="2573" max="2573" width="6.5" style="3516" customWidth="1"/>
    <col min="2574" max="2574" width="7.5" style="3516" customWidth="1"/>
    <col min="2575" max="2816" width="9" style="3516"/>
    <col min="2817" max="2817" width="14.25" style="3516" customWidth="1"/>
    <col min="2818" max="2821" width="8.875" style="3516" customWidth="1"/>
    <col min="2822" max="2824" width="9" style="3516"/>
    <col min="2825" max="2825" width="10.5" style="3516" customWidth="1"/>
    <col min="2826" max="2826" width="0" style="3516" hidden="1" customWidth="1"/>
    <col min="2827" max="2827" width="12.375" style="3516" customWidth="1"/>
    <col min="2828" max="2828" width="7.5" style="3516" customWidth="1"/>
    <col min="2829" max="2829" width="6.5" style="3516" customWidth="1"/>
    <col min="2830" max="2830" width="7.5" style="3516" customWidth="1"/>
    <col min="2831" max="3072" width="9" style="3516"/>
    <col min="3073" max="3073" width="14.25" style="3516" customWidth="1"/>
    <col min="3074" max="3077" width="8.875" style="3516" customWidth="1"/>
    <col min="3078" max="3080" width="9" style="3516"/>
    <col min="3081" max="3081" width="10.5" style="3516" customWidth="1"/>
    <col min="3082" max="3082" width="0" style="3516" hidden="1" customWidth="1"/>
    <col min="3083" max="3083" width="12.375" style="3516" customWidth="1"/>
    <col min="3084" max="3084" width="7.5" style="3516" customWidth="1"/>
    <col min="3085" max="3085" width="6.5" style="3516" customWidth="1"/>
    <col min="3086" max="3086" width="7.5" style="3516" customWidth="1"/>
    <col min="3087" max="3328" width="9" style="3516"/>
    <col min="3329" max="3329" width="14.25" style="3516" customWidth="1"/>
    <col min="3330" max="3333" width="8.875" style="3516" customWidth="1"/>
    <col min="3334" max="3336" width="9" style="3516"/>
    <col min="3337" max="3337" width="10.5" style="3516" customWidth="1"/>
    <col min="3338" max="3338" width="0" style="3516" hidden="1" customWidth="1"/>
    <col min="3339" max="3339" width="12.375" style="3516" customWidth="1"/>
    <col min="3340" max="3340" width="7.5" style="3516" customWidth="1"/>
    <col min="3341" max="3341" width="6.5" style="3516" customWidth="1"/>
    <col min="3342" max="3342" width="7.5" style="3516" customWidth="1"/>
    <col min="3343" max="3584" width="9" style="3516"/>
    <col min="3585" max="3585" width="14.25" style="3516" customWidth="1"/>
    <col min="3586" max="3589" width="8.875" style="3516" customWidth="1"/>
    <col min="3590" max="3592" width="9" style="3516"/>
    <col min="3593" max="3593" width="10.5" style="3516" customWidth="1"/>
    <col min="3594" max="3594" width="0" style="3516" hidden="1" customWidth="1"/>
    <col min="3595" max="3595" width="12.375" style="3516" customWidth="1"/>
    <col min="3596" max="3596" width="7.5" style="3516" customWidth="1"/>
    <col min="3597" max="3597" width="6.5" style="3516" customWidth="1"/>
    <col min="3598" max="3598" width="7.5" style="3516" customWidth="1"/>
    <col min="3599" max="3840" width="9" style="3516"/>
    <col min="3841" max="3841" width="14.25" style="3516" customWidth="1"/>
    <col min="3842" max="3845" width="8.875" style="3516" customWidth="1"/>
    <col min="3846" max="3848" width="9" style="3516"/>
    <col min="3849" max="3849" width="10.5" style="3516" customWidth="1"/>
    <col min="3850" max="3850" width="0" style="3516" hidden="1" customWidth="1"/>
    <col min="3851" max="3851" width="12.375" style="3516" customWidth="1"/>
    <col min="3852" max="3852" width="7.5" style="3516" customWidth="1"/>
    <col min="3853" max="3853" width="6.5" style="3516" customWidth="1"/>
    <col min="3854" max="3854" width="7.5" style="3516" customWidth="1"/>
    <col min="3855" max="4096" width="9" style="3516"/>
    <col min="4097" max="4097" width="14.25" style="3516" customWidth="1"/>
    <col min="4098" max="4101" width="8.875" style="3516" customWidth="1"/>
    <col min="4102" max="4104" width="9" style="3516"/>
    <col min="4105" max="4105" width="10.5" style="3516" customWidth="1"/>
    <col min="4106" max="4106" width="0" style="3516" hidden="1" customWidth="1"/>
    <col min="4107" max="4107" width="12.375" style="3516" customWidth="1"/>
    <col min="4108" max="4108" width="7.5" style="3516" customWidth="1"/>
    <col min="4109" max="4109" width="6.5" style="3516" customWidth="1"/>
    <col min="4110" max="4110" width="7.5" style="3516" customWidth="1"/>
    <col min="4111" max="4352" width="9" style="3516"/>
    <col min="4353" max="4353" width="14.25" style="3516" customWidth="1"/>
    <col min="4354" max="4357" width="8.875" style="3516" customWidth="1"/>
    <col min="4358" max="4360" width="9" style="3516"/>
    <col min="4361" max="4361" width="10.5" style="3516" customWidth="1"/>
    <col min="4362" max="4362" width="0" style="3516" hidden="1" customWidth="1"/>
    <col min="4363" max="4363" width="12.375" style="3516" customWidth="1"/>
    <col min="4364" max="4364" width="7.5" style="3516" customWidth="1"/>
    <col min="4365" max="4365" width="6.5" style="3516" customWidth="1"/>
    <col min="4366" max="4366" width="7.5" style="3516" customWidth="1"/>
    <col min="4367" max="4608" width="9" style="3516"/>
    <col min="4609" max="4609" width="14.25" style="3516" customWidth="1"/>
    <col min="4610" max="4613" width="8.875" style="3516" customWidth="1"/>
    <col min="4614" max="4616" width="9" style="3516"/>
    <col min="4617" max="4617" width="10.5" style="3516" customWidth="1"/>
    <col min="4618" max="4618" width="0" style="3516" hidden="1" customWidth="1"/>
    <col min="4619" max="4619" width="12.375" style="3516" customWidth="1"/>
    <col min="4620" max="4620" width="7.5" style="3516" customWidth="1"/>
    <col min="4621" max="4621" width="6.5" style="3516" customWidth="1"/>
    <col min="4622" max="4622" width="7.5" style="3516" customWidth="1"/>
    <col min="4623" max="4864" width="9" style="3516"/>
    <col min="4865" max="4865" width="14.25" style="3516" customWidth="1"/>
    <col min="4866" max="4869" width="8.875" style="3516" customWidth="1"/>
    <col min="4870" max="4872" width="9" style="3516"/>
    <col min="4873" max="4873" width="10.5" style="3516" customWidth="1"/>
    <col min="4874" max="4874" width="0" style="3516" hidden="1" customWidth="1"/>
    <col min="4875" max="4875" width="12.375" style="3516" customWidth="1"/>
    <col min="4876" max="4876" width="7.5" style="3516" customWidth="1"/>
    <col min="4877" max="4877" width="6.5" style="3516" customWidth="1"/>
    <col min="4878" max="4878" width="7.5" style="3516" customWidth="1"/>
    <col min="4879" max="5120" width="9" style="3516"/>
    <col min="5121" max="5121" width="14.25" style="3516" customWidth="1"/>
    <col min="5122" max="5125" width="8.875" style="3516" customWidth="1"/>
    <col min="5126" max="5128" width="9" style="3516"/>
    <col min="5129" max="5129" width="10.5" style="3516" customWidth="1"/>
    <col min="5130" max="5130" width="0" style="3516" hidden="1" customWidth="1"/>
    <col min="5131" max="5131" width="12.375" style="3516" customWidth="1"/>
    <col min="5132" max="5132" width="7.5" style="3516" customWidth="1"/>
    <col min="5133" max="5133" width="6.5" style="3516" customWidth="1"/>
    <col min="5134" max="5134" width="7.5" style="3516" customWidth="1"/>
    <col min="5135" max="5376" width="9" style="3516"/>
    <col min="5377" max="5377" width="14.25" style="3516" customWidth="1"/>
    <col min="5378" max="5381" width="8.875" style="3516" customWidth="1"/>
    <col min="5382" max="5384" width="9" style="3516"/>
    <col min="5385" max="5385" width="10.5" style="3516" customWidth="1"/>
    <col min="5386" max="5386" width="0" style="3516" hidden="1" customWidth="1"/>
    <col min="5387" max="5387" width="12.375" style="3516" customWidth="1"/>
    <col min="5388" max="5388" width="7.5" style="3516" customWidth="1"/>
    <col min="5389" max="5389" width="6.5" style="3516" customWidth="1"/>
    <col min="5390" max="5390" width="7.5" style="3516" customWidth="1"/>
    <col min="5391" max="5632" width="9" style="3516"/>
    <col min="5633" max="5633" width="14.25" style="3516" customWidth="1"/>
    <col min="5634" max="5637" width="8.875" style="3516" customWidth="1"/>
    <col min="5638" max="5640" width="9" style="3516"/>
    <col min="5641" max="5641" width="10.5" style="3516" customWidth="1"/>
    <col min="5642" max="5642" width="0" style="3516" hidden="1" customWidth="1"/>
    <col min="5643" max="5643" width="12.375" style="3516" customWidth="1"/>
    <col min="5644" max="5644" width="7.5" style="3516" customWidth="1"/>
    <col min="5645" max="5645" width="6.5" style="3516" customWidth="1"/>
    <col min="5646" max="5646" width="7.5" style="3516" customWidth="1"/>
    <col min="5647" max="5888" width="9" style="3516"/>
    <col min="5889" max="5889" width="14.25" style="3516" customWidth="1"/>
    <col min="5890" max="5893" width="8.875" style="3516" customWidth="1"/>
    <col min="5894" max="5896" width="9" style="3516"/>
    <col min="5897" max="5897" width="10.5" style="3516" customWidth="1"/>
    <col min="5898" max="5898" width="0" style="3516" hidden="1" customWidth="1"/>
    <col min="5899" max="5899" width="12.375" style="3516" customWidth="1"/>
    <col min="5900" max="5900" width="7.5" style="3516" customWidth="1"/>
    <col min="5901" max="5901" width="6.5" style="3516" customWidth="1"/>
    <col min="5902" max="5902" width="7.5" style="3516" customWidth="1"/>
    <col min="5903" max="6144" width="9" style="3516"/>
    <col min="6145" max="6145" width="14.25" style="3516" customWidth="1"/>
    <col min="6146" max="6149" width="8.875" style="3516" customWidth="1"/>
    <col min="6150" max="6152" width="9" style="3516"/>
    <col min="6153" max="6153" width="10.5" style="3516" customWidth="1"/>
    <col min="6154" max="6154" width="0" style="3516" hidden="1" customWidth="1"/>
    <col min="6155" max="6155" width="12.375" style="3516" customWidth="1"/>
    <col min="6156" max="6156" width="7.5" style="3516" customWidth="1"/>
    <col min="6157" max="6157" width="6.5" style="3516" customWidth="1"/>
    <col min="6158" max="6158" width="7.5" style="3516" customWidth="1"/>
    <col min="6159" max="6400" width="9" style="3516"/>
    <col min="6401" max="6401" width="14.25" style="3516" customWidth="1"/>
    <col min="6402" max="6405" width="8.875" style="3516" customWidth="1"/>
    <col min="6406" max="6408" width="9" style="3516"/>
    <col min="6409" max="6409" width="10.5" style="3516" customWidth="1"/>
    <col min="6410" max="6410" width="0" style="3516" hidden="1" customWidth="1"/>
    <col min="6411" max="6411" width="12.375" style="3516" customWidth="1"/>
    <col min="6412" max="6412" width="7.5" style="3516" customWidth="1"/>
    <col min="6413" max="6413" width="6.5" style="3516" customWidth="1"/>
    <col min="6414" max="6414" width="7.5" style="3516" customWidth="1"/>
    <col min="6415" max="6656" width="9" style="3516"/>
    <col min="6657" max="6657" width="14.25" style="3516" customWidth="1"/>
    <col min="6658" max="6661" width="8.875" style="3516" customWidth="1"/>
    <col min="6662" max="6664" width="9" style="3516"/>
    <col min="6665" max="6665" width="10.5" style="3516" customWidth="1"/>
    <col min="6666" max="6666" width="0" style="3516" hidden="1" customWidth="1"/>
    <col min="6667" max="6667" width="12.375" style="3516" customWidth="1"/>
    <col min="6668" max="6668" width="7.5" style="3516" customWidth="1"/>
    <col min="6669" max="6669" width="6.5" style="3516" customWidth="1"/>
    <col min="6670" max="6670" width="7.5" style="3516" customWidth="1"/>
    <col min="6671" max="6912" width="9" style="3516"/>
    <col min="6913" max="6913" width="14.25" style="3516" customWidth="1"/>
    <col min="6914" max="6917" width="8.875" style="3516" customWidth="1"/>
    <col min="6918" max="6920" width="9" style="3516"/>
    <col min="6921" max="6921" width="10.5" style="3516" customWidth="1"/>
    <col min="6922" max="6922" width="0" style="3516" hidden="1" customWidth="1"/>
    <col min="6923" max="6923" width="12.375" style="3516" customWidth="1"/>
    <col min="6924" max="6924" width="7.5" style="3516" customWidth="1"/>
    <col min="6925" max="6925" width="6.5" style="3516" customWidth="1"/>
    <col min="6926" max="6926" width="7.5" style="3516" customWidth="1"/>
    <col min="6927" max="7168" width="9" style="3516"/>
    <col min="7169" max="7169" width="14.25" style="3516" customWidth="1"/>
    <col min="7170" max="7173" width="8.875" style="3516" customWidth="1"/>
    <col min="7174" max="7176" width="9" style="3516"/>
    <col min="7177" max="7177" width="10.5" style="3516" customWidth="1"/>
    <col min="7178" max="7178" width="0" style="3516" hidden="1" customWidth="1"/>
    <col min="7179" max="7179" width="12.375" style="3516" customWidth="1"/>
    <col min="7180" max="7180" width="7.5" style="3516" customWidth="1"/>
    <col min="7181" max="7181" width="6.5" style="3516" customWidth="1"/>
    <col min="7182" max="7182" width="7.5" style="3516" customWidth="1"/>
    <col min="7183" max="7424" width="9" style="3516"/>
    <col min="7425" max="7425" width="14.25" style="3516" customWidth="1"/>
    <col min="7426" max="7429" width="8.875" style="3516" customWidth="1"/>
    <col min="7430" max="7432" width="9" style="3516"/>
    <col min="7433" max="7433" width="10.5" style="3516" customWidth="1"/>
    <col min="7434" max="7434" width="0" style="3516" hidden="1" customWidth="1"/>
    <col min="7435" max="7435" width="12.375" style="3516" customWidth="1"/>
    <col min="7436" max="7436" width="7.5" style="3516" customWidth="1"/>
    <col min="7437" max="7437" width="6.5" style="3516" customWidth="1"/>
    <col min="7438" max="7438" width="7.5" style="3516" customWidth="1"/>
    <col min="7439" max="7680" width="9" style="3516"/>
    <col min="7681" max="7681" width="14.25" style="3516" customWidth="1"/>
    <col min="7682" max="7685" width="8.875" style="3516" customWidth="1"/>
    <col min="7686" max="7688" width="9" style="3516"/>
    <col min="7689" max="7689" width="10.5" style="3516" customWidth="1"/>
    <col min="7690" max="7690" width="0" style="3516" hidden="1" customWidth="1"/>
    <col min="7691" max="7691" width="12.375" style="3516" customWidth="1"/>
    <col min="7692" max="7692" width="7.5" style="3516" customWidth="1"/>
    <col min="7693" max="7693" width="6.5" style="3516" customWidth="1"/>
    <col min="7694" max="7694" width="7.5" style="3516" customWidth="1"/>
    <col min="7695" max="7936" width="9" style="3516"/>
    <col min="7937" max="7937" width="14.25" style="3516" customWidth="1"/>
    <col min="7938" max="7941" width="8.875" style="3516" customWidth="1"/>
    <col min="7942" max="7944" width="9" style="3516"/>
    <col min="7945" max="7945" width="10.5" style="3516" customWidth="1"/>
    <col min="7946" max="7946" width="0" style="3516" hidden="1" customWidth="1"/>
    <col min="7947" max="7947" width="12.375" style="3516" customWidth="1"/>
    <col min="7948" max="7948" width="7.5" style="3516" customWidth="1"/>
    <col min="7949" max="7949" width="6.5" style="3516" customWidth="1"/>
    <col min="7950" max="7950" width="7.5" style="3516" customWidth="1"/>
    <col min="7951" max="8192" width="9" style="3516"/>
    <col min="8193" max="8193" width="14.25" style="3516" customWidth="1"/>
    <col min="8194" max="8197" width="8.875" style="3516" customWidth="1"/>
    <col min="8198" max="8200" width="9" style="3516"/>
    <col min="8201" max="8201" width="10.5" style="3516" customWidth="1"/>
    <col min="8202" max="8202" width="0" style="3516" hidden="1" customWidth="1"/>
    <col min="8203" max="8203" width="12.375" style="3516" customWidth="1"/>
    <col min="8204" max="8204" width="7.5" style="3516" customWidth="1"/>
    <col min="8205" max="8205" width="6.5" style="3516" customWidth="1"/>
    <col min="8206" max="8206" width="7.5" style="3516" customWidth="1"/>
    <col min="8207" max="8448" width="9" style="3516"/>
    <col min="8449" max="8449" width="14.25" style="3516" customWidth="1"/>
    <col min="8450" max="8453" width="8.875" style="3516" customWidth="1"/>
    <col min="8454" max="8456" width="9" style="3516"/>
    <col min="8457" max="8457" width="10.5" style="3516" customWidth="1"/>
    <col min="8458" max="8458" width="0" style="3516" hidden="1" customWidth="1"/>
    <col min="8459" max="8459" width="12.375" style="3516" customWidth="1"/>
    <col min="8460" max="8460" width="7.5" style="3516" customWidth="1"/>
    <col min="8461" max="8461" width="6.5" style="3516" customWidth="1"/>
    <col min="8462" max="8462" width="7.5" style="3516" customWidth="1"/>
    <col min="8463" max="8704" width="9" style="3516"/>
    <col min="8705" max="8705" width="14.25" style="3516" customWidth="1"/>
    <col min="8706" max="8709" width="8.875" style="3516" customWidth="1"/>
    <col min="8710" max="8712" width="9" style="3516"/>
    <col min="8713" max="8713" width="10.5" style="3516" customWidth="1"/>
    <col min="8714" max="8714" width="0" style="3516" hidden="1" customWidth="1"/>
    <col min="8715" max="8715" width="12.375" style="3516" customWidth="1"/>
    <col min="8716" max="8716" width="7.5" style="3516" customWidth="1"/>
    <col min="8717" max="8717" width="6.5" style="3516" customWidth="1"/>
    <col min="8718" max="8718" width="7.5" style="3516" customWidth="1"/>
    <col min="8719" max="8960" width="9" style="3516"/>
    <col min="8961" max="8961" width="14.25" style="3516" customWidth="1"/>
    <col min="8962" max="8965" width="8.875" style="3516" customWidth="1"/>
    <col min="8966" max="8968" width="9" style="3516"/>
    <col min="8969" max="8969" width="10.5" style="3516" customWidth="1"/>
    <col min="8970" max="8970" width="0" style="3516" hidden="1" customWidth="1"/>
    <col min="8971" max="8971" width="12.375" style="3516" customWidth="1"/>
    <col min="8972" max="8972" width="7.5" style="3516" customWidth="1"/>
    <col min="8973" max="8973" width="6.5" style="3516" customWidth="1"/>
    <col min="8974" max="8974" width="7.5" style="3516" customWidth="1"/>
    <col min="8975" max="9216" width="9" style="3516"/>
    <col min="9217" max="9217" width="14.25" style="3516" customWidth="1"/>
    <col min="9218" max="9221" width="8.875" style="3516" customWidth="1"/>
    <col min="9222" max="9224" width="9" style="3516"/>
    <col min="9225" max="9225" width="10.5" style="3516" customWidth="1"/>
    <col min="9226" max="9226" width="0" style="3516" hidden="1" customWidth="1"/>
    <col min="9227" max="9227" width="12.375" style="3516" customWidth="1"/>
    <col min="9228" max="9228" width="7.5" style="3516" customWidth="1"/>
    <col min="9229" max="9229" width="6.5" style="3516" customWidth="1"/>
    <col min="9230" max="9230" width="7.5" style="3516" customWidth="1"/>
    <col min="9231" max="9472" width="9" style="3516"/>
    <col min="9473" max="9473" width="14.25" style="3516" customWidth="1"/>
    <col min="9474" max="9477" width="8.875" style="3516" customWidth="1"/>
    <col min="9478" max="9480" width="9" style="3516"/>
    <col min="9481" max="9481" width="10.5" style="3516" customWidth="1"/>
    <col min="9482" max="9482" width="0" style="3516" hidden="1" customWidth="1"/>
    <col min="9483" max="9483" width="12.375" style="3516" customWidth="1"/>
    <col min="9484" max="9484" width="7.5" style="3516" customWidth="1"/>
    <col min="9485" max="9485" width="6.5" style="3516" customWidth="1"/>
    <col min="9486" max="9486" width="7.5" style="3516" customWidth="1"/>
    <col min="9487" max="9728" width="9" style="3516"/>
    <col min="9729" max="9729" width="14.25" style="3516" customWidth="1"/>
    <col min="9730" max="9733" width="8.875" style="3516" customWidth="1"/>
    <col min="9734" max="9736" width="9" style="3516"/>
    <col min="9737" max="9737" width="10.5" style="3516" customWidth="1"/>
    <col min="9738" max="9738" width="0" style="3516" hidden="1" customWidth="1"/>
    <col min="9739" max="9739" width="12.375" style="3516" customWidth="1"/>
    <col min="9740" max="9740" width="7.5" style="3516" customWidth="1"/>
    <col min="9741" max="9741" width="6.5" style="3516" customWidth="1"/>
    <col min="9742" max="9742" width="7.5" style="3516" customWidth="1"/>
    <col min="9743" max="9984" width="9" style="3516"/>
    <col min="9985" max="9985" width="14.25" style="3516" customWidth="1"/>
    <col min="9986" max="9989" width="8.875" style="3516" customWidth="1"/>
    <col min="9990" max="9992" width="9" style="3516"/>
    <col min="9993" max="9993" width="10.5" style="3516" customWidth="1"/>
    <col min="9994" max="9994" width="0" style="3516" hidden="1" customWidth="1"/>
    <col min="9995" max="9995" width="12.375" style="3516" customWidth="1"/>
    <col min="9996" max="9996" width="7.5" style="3516" customWidth="1"/>
    <col min="9997" max="9997" width="6.5" style="3516" customWidth="1"/>
    <col min="9998" max="9998" width="7.5" style="3516" customWidth="1"/>
    <col min="9999" max="10240" width="9" style="3516"/>
    <col min="10241" max="10241" width="14.25" style="3516" customWidth="1"/>
    <col min="10242" max="10245" width="8.875" style="3516" customWidth="1"/>
    <col min="10246" max="10248" width="9" style="3516"/>
    <col min="10249" max="10249" width="10.5" style="3516" customWidth="1"/>
    <col min="10250" max="10250" width="0" style="3516" hidden="1" customWidth="1"/>
    <col min="10251" max="10251" width="12.375" style="3516" customWidth="1"/>
    <col min="10252" max="10252" width="7.5" style="3516" customWidth="1"/>
    <col min="10253" max="10253" width="6.5" style="3516" customWidth="1"/>
    <col min="10254" max="10254" width="7.5" style="3516" customWidth="1"/>
    <col min="10255" max="10496" width="9" style="3516"/>
    <col min="10497" max="10497" width="14.25" style="3516" customWidth="1"/>
    <col min="10498" max="10501" width="8.875" style="3516" customWidth="1"/>
    <col min="10502" max="10504" width="9" style="3516"/>
    <col min="10505" max="10505" width="10.5" style="3516" customWidth="1"/>
    <col min="10506" max="10506" width="0" style="3516" hidden="1" customWidth="1"/>
    <col min="10507" max="10507" width="12.375" style="3516" customWidth="1"/>
    <col min="10508" max="10508" width="7.5" style="3516" customWidth="1"/>
    <col min="10509" max="10509" width="6.5" style="3516" customWidth="1"/>
    <col min="10510" max="10510" width="7.5" style="3516" customWidth="1"/>
    <col min="10511" max="10752" width="9" style="3516"/>
    <col min="10753" max="10753" width="14.25" style="3516" customWidth="1"/>
    <col min="10754" max="10757" width="8.875" style="3516" customWidth="1"/>
    <col min="10758" max="10760" width="9" style="3516"/>
    <col min="10761" max="10761" width="10.5" style="3516" customWidth="1"/>
    <col min="10762" max="10762" width="0" style="3516" hidden="1" customWidth="1"/>
    <col min="10763" max="10763" width="12.375" style="3516" customWidth="1"/>
    <col min="10764" max="10764" width="7.5" style="3516" customWidth="1"/>
    <col min="10765" max="10765" width="6.5" style="3516" customWidth="1"/>
    <col min="10766" max="10766" width="7.5" style="3516" customWidth="1"/>
    <col min="10767" max="11008" width="9" style="3516"/>
    <col min="11009" max="11009" width="14.25" style="3516" customWidth="1"/>
    <col min="11010" max="11013" width="8.875" style="3516" customWidth="1"/>
    <col min="11014" max="11016" width="9" style="3516"/>
    <col min="11017" max="11017" width="10.5" style="3516" customWidth="1"/>
    <col min="11018" max="11018" width="0" style="3516" hidden="1" customWidth="1"/>
    <col min="11019" max="11019" width="12.375" style="3516" customWidth="1"/>
    <col min="11020" max="11020" width="7.5" style="3516" customWidth="1"/>
    <col min="11021" max="11021" width="6.5" style="3516" customWidth="1"/>
    <col min="11022" max="11022" width="7.5" style="3516" customWidth="1"/>
    <col min="11023" max="11264" width="9" style="3516"/>
    <col min="11265" max="11265" width="14.25" style="3516" customWidth="1"/>
    <col min="11266" max="11269" width="8.875" style="3516" customWidth="1"/>
    <col min="11270" max="11272" width="9" style="3516"/>
    <col min="11273" max="11273" width="10.5" style="3516" customWidth="1"/>
    <col min="11274" max="11274" width="0" style="3516" hidden="1" customWidth="1"/>
    <col min="11275" max="11275" width="12.375" style="3516" customWidth="1"/>
    <col min="11276" max="11276" width="7.5" style="3516" customWidth="1"/>
    <col min="11277" max="11277" width="6.5" style="3516" customWidth="1"/>
    <col min="11278" max="11278" width="7.5" style="3516" customWidth="1"/>
    <col min="11279" max="11520" width="9" style="3516"/>
    <col min="11521" max="11521" width="14.25" style="3516" customWidth="1"/>
    <col min="11522" max="11525" width="8.875" style="3516" customWidth="1"/>
    <col min="11526" max="11528" width="9" style="3516"/>
    <col min="11529" max="11529" width="10.5" style="3516" customWidth="1"/>
    <col min="11530" max="11530" width="0" style="3516" hidden="1" customWidth="1"/>
    <col min="11531" max="11531" width="12.375" style="3516" customWidth="1"/>
    <col min="11532" max="11532" width="7.5" style="3516" customWidth="1"/>
    <col min="11533" max="11533" width="6.5" style="3516" customWidth="1"/>
    <col min="11534" max="11534" width="7.5" style="3516" customWidth="1"/>
    <col min="11535" max="11776" width="9" style="3516"/>
    <col min="11777" max="11777" width="14.25" style="3516" customWidth="1"/>
    <col min="11778" max="11781" width="8.875" style="3516" customWidth="1"/>
    <col min="11782" max="11784" width="9" style="3516"/>
    <col min="11785" max="11785" width="10.5" style="3516" customWidth="1"/>
    <col min="11786" max="11786" width="0" style="3516" hidden="1" customWidth="1"/>
    <col min="11787" max="11787" width="12.375" style="3516" customWidth="1"/>
    <col min="11788" max="11788" width="7.5" style="3516" customWidth="1"/>
    <col min="11789" max="11789" width="6.5" style="3516" customWidth="1"/>
    <col min="11790" max="11790" width="7.5" style="3516" customWidth="1"/>
    <col min="11791" max="12032" width="9" style="3516"/>
    <col min="12033" max="12033" width="14.25" style="3516" customWidth="1"/>
    <col min="12034" max="12037" width="8.875" style="3516" customWidth="1"/>
    <col min="12038" max="12040" width="9" style="3516"/>
    <col min="12041" max="12041" width="10.5" style="3516" customWidth="1"/>
    <col min="12042" max="12042" width="0" style="3516" hidden="1" customWidth="1"/>
    <col min="12043" max="12043" width="12.375" style="3516" customWidth="1"/>
    <col min="12044" max="12044" width="7.5" style="3516" customWidth="1"/>
    <col min="12045" max="12045" width="6.5" style="3516" customWidth="1"/>
    <col min="12046" max="12046" width="7.5" style="3516" customWidth="1"/>
    <col min="12047" max="12288" width="9" style="3516"/>
    <col min="12289" max="12289" width="14.25" style="3516" customWidth="1"/>
    <col min="12290" max="12293" width="8.875" style="3516" customWidth="1"/>
    <col min="12294" max="12296" width="9" style="3516"/>
    <col min="12297" max="12297" width="10.5" style="3516" customWidth="1"/>
    <col min="12298" max="12298" width="0" style="3516" hidden="1" customWidth="1"/>
    <col min="12299" max="12299" width="12.375" style="3516" customWidth="1"/>
    <col min="12300" max="12300" width="7.5" style="3516" customWidth="1"/>
    <col min="12301" max="12301" width="6.5" style="3516" customWidth="1"/>
    <col min="12302" max="12302" width="7.5" style="3516" customWidth="1"/>
    <col min="12303" max="12544" width="9" style="3516"/>
    <col min="12545" max="12545" width="14.25" style="3516" customWidth="1"/>
    <col min="12546" max="12549" width="8.875" style="3516" customWidth="1"/>
    <col min="12550" max="12552" width="9" style="3516"/>
    <col min="12553" max="12553" width="10.5" style="3516" customWidth="1"/>
    <col min="12554" max="12554" width="0" style="3516" hidden="1" customWidth="1"/>
    <col min="12555" max="12555" width="12.375" style="3516" customWidth="1"/>
    <col min="12556" max="12556" width="7.5" style="3516" customWidth="1"/>
    <col min="12557" max="12557" width="6.5" style="3516" customWidth="1"/>
    <col min="12558" max="12558" width="7.5" style="3516" customWidth="1"/>
    <col min="12559" max="12800" width="9" style="3516"/>
    <col min="12801" max="12801" width="14.25" style="3516" customWidth="1"/>
    <col min="12802" max="12805" width="8.875" style="3516" customWidth="1"/>
    <col min="12806" max="12808" width="9" style="3516"/>
    <col min="12809" max="12809" width="10.5" style="3516" customWidth="1"/>
    <col min="12810" max="12810" width="0" style="3516" hidden="1" customWidth="1"/>
    <col min="12811" max="12811" width="12.375" style="3516" customWidth="1"/>
    <col min="12812" max="12812" width="7.5" style="3516" customWidth="1"/>
    <col min="12813" max="12813" width="6.5" style="3516" customWidth="1"/>
    <col min="12814" max="12814" width="7.5" style="3516" customWidth="1"/>
    <col min="12815" max="13056" width="9" style="3516"/>
    <col min="13057" max="13057" width="14.25" style="3516" customWidth="1"/>
    <col min="13058" max="13061" width="8.875" style="3516" customWidth="1"/>
    <col min="13062" max="13064" width="9" style="3516"/>
    <col min="13065" max="13065" width="10.5" style="3516" customWidth="1"/>
    <col min="13066" max="13066" width="0" style="3516" hidden="1" customWidth="1"/>
    <col min="13067" max="13067" width="12.375" style="3516" customWidth="1"/>
    <col min="13068" max="13068" width="7.5" style="3516" customWidth="1"/>
    <col min="13069" max="13069" width="6.5" style="3516" customWidth="1"/>
    <col min="13070" max="13070" width="7.5" style="3516" customWidth="1"/>
    <col min="13071" max="13312" width="9" style="3516"/>
    <col min="13313" max="13313" width="14.25" style="3516" customWidth="1"/>
    <col min="13314" max="13317" width="8.875" style="3516" customWidth="1"/>
    <col min="13318" max="13320" width="9" style="3516"/>
    <col min="13321" max="13321" width="10.5" style="3516" customWidth="1"/>
    <col min="13322" max="13322" width="0" style="3516" hidden="1" customWidth="1"/>
    <col min="13323" max="13323" width="12.375" style="3516" customWidth="1"/>
    <col min="13324" max="13324" width="7.5" style="3516" customWidth="1"/>
    <col min="13325" max="13325" width="6.5" style="3516" customWidth="1"/>
    <col min="13326" max="13326" width="7.5" style="3516" customWidth="1"/>
    <col min="13327" max="13568" width="9" style="3516"/>
    <col min="13569" max="13569" width="14.25" style="3516" customWidth="1"/>
    <col min="13570" max="13573" width="8.875" style="3516" customWidth="1"/>
    <col min="13574" max="13576" width="9" style="3516"/>
    <col min="13577" max="13577" width="10.5" style="3516" customWidth="1"/>
    <col min="13578" max="13578" width="0" style="3516" hidden="1" customWidth="1"/>
    <col min="13579" max="13579" width="12.375" style="3516" customWidth="1"/>
    <col min="13580" max="13580" width="7.5" style="3516" customWidth="1"/>
    <col min="13581" max="13581" width="6.5" style="3516" customWidth="1"/>
    <col min="13582" max="13582" width="7.5" style="3516" customWidth="1"/>
    <col min="13583" max="13824" width="9" style="3516"/>
    <col min="13825" max="13825" width="14.25" style="3516" customWidth="1"/>
    <col min="13826" max="13829" width="8.875" style="3516" customWidth="1"/>
    <col min="13830" max="13832" width="9" style="3516"/>
    <col min="13833" max="13833" width="10.5" style="3516" customWidth="1"/>
    <col min="13834" max="13834" width="0" style="3516" hidden="1" customWidth="1"/>
    <col min="13835" max="13835" width="12.375" style="3516" customWidth="1"/>
    <col min="13836" max="13836" width="7.5" style="3516" customWidth="1"/>
    <col min="13837" max="13837" width="6.5" style="3516" customWidth="1"/>
    <col min="13838" max="13838" width="7.5" style="3516" customWidth="1"/>
    <col min="13839" max="14080" width="9" style="3516"/>
    <col min="14081" max="14081" width="14.25" style="3516" customWidth="1"/>
    <col min="14082" max="14085" width="8.875" style="3516" customWidth="1"/>
    <col min="14086" max="14088" width="9" style="3516"/>
    <col min="14089" max="14089" width="10.5" style="3516" customWidth="1"/>
    <col min="14090" max="14090" width="0" style="3516" hidden="1" customWidth="1"/>
    <col min="14091" max="14091" width="12.375" style="3516" customWidth="1"/>
    <col min="14092" max="14092" width="7.5" style="3516" customWidth="1"/>
    <col min="14093" max="14093" width="6.5" style="3516" customWidth="1"/>
    <col min="14094" max="14094" width="7.5" style="3516" customWidth="1"/>
    <col min="14095" max="14336" width="9" style="3516"/>
    <col min="14337" max="14337" width="14.25" style="3516" customWidth="1"/>
    <col min="14338" max="14341" width="8.875" style="3516" customWidth="1"/>
    <col min="14342" max="14344" width="9" style="3516"/>
    <col min="14345" max="14345" width="10.5" style="3516" customWidth="1"/>
    <col min="14346" max="14346" width="0" style="3516" hidden="1" customWidth="1"/>
    <col min="14347" max="14347" width="12.375" style="3516" customWidth="1"/>
    <col min="14348" max="14348" width="7.5" style="3516" customWidth="1"/>
    <col min="14349" max="14349" width="6.5" style="3516" customWidth="1"/>
    <col min="14350" max="14350" width="7.5" style="3516" customWidth="1"/>
    <col min="14351" max="14592" width="9" style="3516"/>
    <col min="14593" max="14593" width="14.25" style="3516" customWidth="1"/>
    <col min="14594" max="14597" width="8.875" style="3516" customWidth="1"/>
    <col min="14598" max="14600" width="9" style="3516"/>
    <col min="14601" max="14601" width="10.5" style="3516" customWidth="1"/>
    <col min="14602" max="14602" width="0" style="3516" hidden="1" customWidth="1"/>
    <col min="14603" max="14603" width="12.375" style="3516" customWidth="1"/>
    <col min="14604" max="14604" width="7.5" style="3516" customWidth="1"/>
    <col min="14605" max="14605" width="6.5" style="3516" customWidth="1"/>
    <col min="14606" max="14606" width="7.5" style="3516" customWidth="1"/>
    <col min="14607" max="14848" width="9" style="3516"/>
    <col min="14849" max="14849" width="14.25" style="3516" customWidth="1"/>
    <col min="14850" max="14853" width="8.875" style="3516" customWidth="1"/>
    <col min="14854" max="14856" width="9" style="3516"/>
    <col min="14857" max="14857" width="10.5" style="3516" customWidth="1"/>
    <col min="14858" max="14858" width="0" style="3516" hidden="1" customWidth="1"/>
    <col min="14859" max="14859" width="12.375" style="3516" customWidth="1"/>
    <col min="14860" max="14860" width="7.5" style="3516" customWidth="1"/>
    <col min="14861" max="14861" width="6.5" style="3516" customWidth="1"/>
    <col min="14862" max="14862" width="7.5" style="3516" customWidth="1"/>
    <col min="14863" max="15104" width="9" style="3516"/>
    <col min="15105" max="15105" width="14.25" style="3516" customWidth="1"/>
    <col min="15106" max="15109" width="8.875" style="3516" customWidth="1"/>
    <col min="15110" max="15112" width="9" style="3516"/>
    <col min="15113" max="15113" width="10.5" style="3516" customWidth="1"/>
    <col min="15114" max="15114" width="0" style="3516" hidden="1" customWidth="1"/>
    <col min="15115" max="15115" width="12.375" style="3516" customWidth="1"/>
    <col min="15116" max="15116" width="7.5" style="3516" customWidth="1"/>
    <col min="15117" max="15117" width="6.5" style="3516" customWidth="1"/>
    <col min="15118" max="15118" width="7.5" style="3516" customWidth="1"/>
    <col min="15119" max="15360" width="9" style="3516"/>
    <col min="15361" max="15361" width="14.25" style="3516" customWidth="1"/>
    <col min="15362" max="15365" width="8.875" style="3516" customWidth="1"/>
    <col min="15366" max="15368" width="9" style="3516"/>
    <col min="15369" max="15369" width="10.5" style="3516" customWidth="1"/>
    <col min="15370" max="15370" width="0" style="3516" hidden="1" customWidth="1"/>
    <col min="15371" max="15371" width="12.375" style="3516" customWidth="1"/>
    <col min="15372" max="15372" width="7.5" style="3516" customWidth="1"/>
    <col min="15373" max="15373" width="6.5" style="3516" customWidth="1"/>
    <col min="15374" max="15374" width="7.5" style="3516" customWidth="1"/>
    <col min="15375" max="15616" width="9" style="3516"/>
    <col min="15617" max="15617" width="14.25" style="3516" customWidth="1"/>
    <col min="15618" max="15621" width="8.875" style="3516" customWidth="1"/>
    <col min="15622" max="15624" width="9" style="3516"/>
    <col min="15625" max="15625" width="10.5" style="3516" customWidth="1"/>
    <col min="15626" max="15626" width="0" style="3516" hidden="1" customWidth="1"/>
    <col min="15627" max="15627" width="12.375" style="3516" customWidth="1"/>
    <col min="15628" max="15628" width="7.5" style="3516" customWidth="1"/>
    <col min="15629" max="15629" width="6.5" style="3516" customWidth="1"/>
    <col min="15630" max="15630" width="7.5" style="3516" customWidth="1"/>
    <col min="15631" max="15872" width="9" style="3516"/>
    <col min="15873" max="15873" width="14.25" style="3516" customWidth="1"/>
    <col min="15874" max="15877" width="8.875" style="3516" customWidth="1"/>
    <col min="15878" max="15880" width="9" style="3516"/>
    <col min="15881" max="15881" width="10.5" style="3516" customWidth="1"/>
    <col min="15882" max="15882" width="0" style="3516" hidden="1" customWidth="1"/>
    <col min="15883" max="15883" width="12.375" style="3516" customWidth="1"/>
    <col min="15884" max="15884" width="7.5" style="3516" customWidth="1"/>
    <col min="15885" max="15885" width="6.5" style="3516" customWidth="1"/>
    <col min="15886" max="15886" width="7.5" style="3516" customWidth="1"/>
    <col min="15887" max="16128" width="9" style="3516"/>
    <col min="16129" max="16129" width="14.25" style="3516" customWidth="1"/>
    <col min="16130" max="16133" width="8.875" style="3516" customWidth="1"/>
    <col min="16134" max="16136" width="9" style="3516"/>
    <col min="16137" max="16137" width="10.5" style="3516" customWidth="1"/>
    <col min="16138" max="16138" width="0" style="3516" hidden="1" customWidth="1"/>
    <col min="16139" max="16139" width="12.375" style="3516" customWidth="1"/>
    <col min="16140" max="16140" width="7.5" style="3516" customWidth="1"/>
    <col min="16141" max="16141" width="6.5" style="3516" customWidth="1"/>
    <col min="16142" max="16142" width="7.5" style="3516" customWidth="1"/>
    <col min="16143" max="16384" width="9" style="3516"/>
  </cols>
  <sheetData>
    <row r="3" spans="1:19">
      <c r="A3" s="3511" t="s">
        <v>4037</v>
      </c>
      <c r="B3" s="3512" t="s">
        <v>4038</v>
      </c>
      <c r="C3" s="3513" t="s">
        <v>4039</v>
      </c>
      <c r="D3" s="3514" t="s">
        <v>4040</v>
      </c>
      <c r="E3" s="3515" t="s">
        <v>4041</v>
      </c>
      <c r="K3" s="3516" t="s">
        <v>4042</v>
      </c>
    </row>
    <row r="4" spans="1:19">
      <c r="A4" s="3517" t="s">
        <v>4043</v>
      </c>
      <c r="B4" s="3518">
        <v>50</v>
      </c>
      <c r="C4" s="3519">
        <v>45.86</v>
      </c>
      <c r="D4" s="3513">
        <f>ROUND(POWER(1+E4,B4-C4)*(POWER(1+E4,C4)-1)/(POWER(1+E4,B4)-1),3)</f>
        <v>0.97499999999999998</v>
      </c>
      <c r="E4" s="3520">
        <v>4.4999999999999998E-2</v>
      </c>
      <c r="J4" s="3516" t="str">
        <f>I14</f>
        <v>地下仓储</v>
      </c>
      <c r="K4" s="3516">
        <v>8313.33</v>
      </c>
    </row>
    <row r="5" spans="1:19">
      <c r="J5" s="3516" t="str">
        <f>I15</f>
        <v>一层商业</v>
      </c>
      <c r="K5" s="3516">
        <v>4582.9799999999996</v>
      </c>
    </row>
    <row r="6" spans="1:19">
      <c r="J6" s="3516" t="str">
        <f>I16</f>
        <v>2-4层LOFT</v>
      </c>
      <c r="K6" s="3516">
        <v>4992.68</v>
      </c>
    </row>
    <row r="7" spans="1:19">
      <c r="A7" s="3511" t="s">
        <v>4037</v>
      </c>
      <c r="B7" s="3512" t="s">
        <v>4038</v>
      </c>
      <c r="C7" s="3513" t="s">
        <v>4039</v>
      </c>
      <c r="D7" s="3514" t="s">
        <v>4044</v>
      </c>
      <c r="E7" s="3515" t="s">
        <v>4045</v>
      </c>
      <c r="J7" s="3516" t="str">
        <f>I17</f>
        <v>5-6层</v>
      </c>
      <c r="K7" s="3516">
        <v>6487.1</v>
      </c>
    </row>
    <row r="8" spans="1:19">
      <c r="A8" s="3521" t="s">
        <v>4046</v>
      </c>
      <c r="B8" s="3522">
        <v>50</v>
      </c>
      <c r="C8" s="3519">
        <v>25.85</v>
      </c>
      <c r="D8" s="3513">
        <f>ROUND(POWER(1+E8,B8-C8)*(POWER(1+E8,C8)-1)/(POWER(1+E8,B8)-1),3)</f>
        <v>0.76400000000000001</v>
      </c>
      <c r="E8" s="3520">
        <v>4.4999999999999998E-2</v>
      </c>
    </row>
    <row r="11" spans="1:19">
      <c r="A11" s="3511" t="s">
        <v>4037</v>
      </c>
      <c r="B11" s="3512" t="s">
        <v>4038</v>
      </c>
      <c r="C11" s="3513" t="s">
        <v>4039</v>
      </c>
      <c r="D11" s="3514" t="s">
        <v>4047</v>
      </c>
      <c r="E11" s="3515" t="s">
        <v>4048</v>
      </c>
    </row>
    <row r="12" spans="1:19">
      <c r="A12" s="3523" t="s">
        <v>4049</v>
      </c>
      <c r="B12" s="3518">
        <v>40</v>
      </c>
      <c r="C12" s="3519">
        <v>15.69</v>
      </c>
      <c r="D12" s="3513">
        <f>ROUND(POWER(1+E12,B12-C12)*(POWER(1+E12,C12)-1)/(POWER(1+E12,B12)-1),3)</f>
        <v>0.60199999999999998</v>
      </c>
      <c r="E12" s="3520">
        <v>4.4999999999999998E-2</v>
      </c>
    </row>
    <row r="13" spans="1:19" ht="27" customHeight="1">
      <c r="A13" s="3516">
        <v>2220</v>
      </c>
      <c r="F13" s="3524" t="s">
        <v>4050</v>
      </c>
      <c r="H13" s="3524" t="s">
        <v>4051</v>
      </c>
      <c r="I13" s="3525" t="s">
        <v>4052</v>
      </c>
      <c r="J13" s="3525" t="s">
        <v>4053</v>
      </c>
      <c r="K13" s="3525" t="s">
        <v>4054</v>
      </c>
      <c r="L13" s="3525" t="s">
        <v>4055</v>
      </c>
      <c r="M13" s="3525" t="s">
        <v>4056</v>
      </c>
      <c r="N13" s="3525"/>
      <c r="O13" s="3526" t="s">
        <v>4057</v>
      </c>
      <c r="P13" s="3526" t="s">
        <v>4058</v>
      </c>
      <c r="Q13" s="3525" t="s">
        <v>4055</v>
      </c>
      <c r="R13" s="3525" t="s">
        <v>4056</v>
      </c>
      <c r="S13" s="3525"/>
    </row>
    <row r="14" spans="1:19">
      <c r="E14" s="3527"/>
      <c r="F14" s="3516">
        <f>ROUND(C14*D14/10000,0)</f>
        <v>0</v>
      </c>
      <c r="H14" s="3516">
        <f>ROUND(F14*D4-F14*D8,0)</f>
        <v>0</v>
      </c>
      <c r="I14" s="3528" t="s">
        <v>4059</v>
      </c>
      <c r="J14" s="3528">
        <v>9104</v>
      </c>
      <c r="K14" s="3528">
        <v>9390</v>
      </c>
      <c r="L14" s="3966">
        <f>K14+K15</f>
        <v>30356</v>
      </c>
      <c r="M14" s="3966">
        <v>0.5</v>
      </c>
      <c r="N14" s="3966">
        <f>L14*M14</f>
        <v>15178</v>
      </c>
      <c r="O14" s="3516">
        <f>H14</f>
        <v>0</v>
      </c>
      <c r="P14" s="3516">
        <f>K14-O14</f>
        <v>9390</v>
      </c>
      <c r="Q14" s="3965">
        <f>P14+P15</f>
        <v>30194</v>
      </c>
      <c r="R14" s="3965">
        <v>0.5</v>
      </c>
      <c r="S14" s="3965">
        <f>ROUND(Q14*R14,0)</f>
        <v>15097</v>
      </c>
    </row>
    <row r="15" spans="1:19">
      <c r="B15" s="3516">
        <v>0.4</v>
      </c>
      <c r="C15" s="3516">
        <f>ROUND(A13*B15,0)</f>
        <v>888</v>
      </c>
      <c r="D15" s="3516">
        <f>'土地比较法-住宅、综合'!E66</f>
        <v>619634</v>
      </c>
      <c r="E15" s="3527">
        <f>D12</f>
        <v>0.60199999999999998</v>
      </c>
      <c r="F15" s="3516">
        <f>ROUND(C15*D15/10000,0)</f>
        <v>55023</v>
      </c>
      <c r="G15" s="3516">
        <f>ROUND(F15*E15,0)</f>
        <v>33124</v>
      </c>
      <c r="H15" s="3516">
        <f>F15-G15</f>
        <v>21899</v>
      </c>
      <c r="I15" s="3528" t="s">
        <v>4060</v>
      </c>
      <c r="J15" s="3528">
        <v>20638</v>
      </c>
      <c r="K15" s="3528">
        <v>20966</v>
      </c>
      <c r="L15" s="3966"/>
      <c r="M15" s="3966"/>
      <c r="N15" s="3966"/>
      <c r="O15" s="3516">
        <f>ROUND($H$15*K5/$D$15,0)</f>
        <v>162</v>
      </c>
      <c r="P15" s="3516">
        <f>K15-O15</f>
        <v>20804</v>
      </c>
      <c r="Q15" s="3965"/>
      <c r="R15" s="3965"/>
      <c r="S15" s="3965"/>
    </row>
    <row r="16" spans="1:19">
      <c r="F16" s="3529"/>
      <c r="G16" s="3529"/>
      <c r="H16" s="3530"/>
      <c r="I16" s="3531" t="s">
        <v>4061</v>
      </c>
      <c r="J16" s="3532">
        <v>21046</v>
      </c>
      <c r="K16" s="3532">
        <v>22984</v>
      </c>
      <c r="L16" s="3967">
        <f>K16+K17</f>
        <v>51440</v>
      </c>
      <c r="M16" s="3967">
        <v>0.6</v>
      </c>
      <c r="N16" s="3967">
        <f>L16*M16</f>
        <v>30864</v>
      </c>
      <c r="O16" s="3516">
        <f>ROUND($H$15*K6/$D$15,0)</f>
        <v>176</v>
      </c>
      <c r="P16" s="3516">
        <f>K16-O16</f>
        <v>22808</v>
      </c>
      <c r="Q16" s="3965">
        <f>P16+P17</f>
        <v>29703</v>
      </c>
      <c r="R16" s="3965">
        <v>0.6</v>
      </c>
      <c r="S16" s="3965">
        <f>ROUND(Q16*R16,0)</f>
        <v>17822</v>
      </c>
    </row>
    <row r="17" spans="1:19">
      <c r="I17" s="3532" t="s">
        <v>4062</v>
      </c>
      <c r="J17" s="3532">
        <v>26261</v>
      </c>
      <c r="K17" s="3532">
        <v>28456</v>
      </c>
      <c r="L17" s="3967"/>
      <c r="M17" s="3967"/>
      <c r="N17" s="3967"/>
      <c r="O17" s="3516">
        <f>H15-O15-O16</f>
        <v>21561</v>
      </c>
      <c r="P17" s="3516">
        <f>K17-O17</f>
        <v>6895</v>
      </c>
      <c r="Q17" s="3965"/>
      <c r="R17" s="3965"/>
      <c r="S17" s="3965"/>
    </row>
    <row r="18" spans="1:19">
      <c r="A18" s="3533" t="s">
        <v>4063</v>
      </c>
      <c r="I18" s="3516" t="s">
        <v>4064</v>
      </c>
      <c r="J18" s="3516">
        <f>J14+J15+J16+J17</f>
        <v>77049</v>
      </c>
      <c r="K18" s="3534">
        <f>K14+K15+K16+K17</f>
        <v>81796</v>
      </c>
      <c r="N18" s="3534">
        <f>N14+N16</f>
        <v>46042</v>
      </c>
      <c r="O18" s="3534">
        <f>SUM(O14:O17)</f>
        <v>21899</v>
      </c>
      <c r="P18" s="3534">
        <f>SUM(P14:P17)</f>
        <v>59897</v>
      </c>
      <c r="S18" s="3534">
        <f>S14+S16</f>
        <v>32919</v>
      </c>
    </row>
    <row r="19" spans="1:19">
      <c r="R19" s="3534"/>
      <c r="S19" s="3534"/>
    </row>
    <row r="20" spans="1:19">
      <c r="K20" s="3534">
        <f>K18-H16</f>
        <v>81796</v>
      </c>
    </row>
    <row r="21" spans="1:19" ht="14.25">
      <c r="A21" s="3535" t="s">
        <v>4065</v>
      </c>
    </row>
    <row r="22" spans="1:19" ht="14.25">
      <c r="A22" s="3536"/>
    </row>
    <row r="23" spans="1:19" ht="14.25">
      <c r="A23" s="3537" t="s">
        <v>4066</v>
      </c>
      <c r="B23" s="3538">
        <v>44.85</v>
      </c>
      <c r="C23" s="3537" t="s">
        <v>4067</v>
      </c>
      <c r="D23" s="3539">
        <v>0.06</v>
      </c>
      <c r="E23" s="3537" t="s">
        <v>4068</v>
      </c>
      <c r="F23" s="3536">
        <f>1-(1/(POWER(1+D23,B23)))</f>
        <v>0.92671215647638849</v>
      </c>
      <c r="G23" s="3536"/>
    </row>
    <row r="24" spans="1:19" ht="14.25">
      <c r="A24" s="3537" t="s">
        <v>4069</v>
      </c>
      <c r="B24" s="3538">
        <v>44.84</v>
      </c>
      <c r="C24" s="3537" t="s">
        <v>4070</v>
      </c>
      <c r="D24" s="3539">
        <v>0.06</v>
      </c>
      <c r="E24" s="3537" t="s">
        <v>4071</v>
      </c>
      <c r="F24" s="3536">
        <f>1-(1/(POWER(1+D24,B24)))</f>
        <v>0.9266694400061779</v>
      </c>
      <c r="G24" s="3536"/>
    </row>
    <row r="25" spans="1:19">
      <c r="C25" s="3538"/>
      <c r="D25" s="3538"/>
    </row>
    <row r="26" spans="1:19" ht="14.25">
      <c r="A26" s="3537" t="s">
        <v>4072</v>
      </c>
      <c r="B26" s="3540">
        <v>5000</v>
      </c>
      <c r="D26" s="3537" t="s">
        <v>4073</v>
      </c>
      <c r="E26" s="3540">
        <v>5000</v>
      </c>
    </row>
    <row r="27" spans="1:19" ht="14.25">
      <c r="A27" s="3537" t="s">
        <v>4073</v>
      </c>
      <c r="B27" s="3538">
        <f>ROUND(B26*F24/F23,2)</f>
        <v>4999.7700000000004</v>
      </c>
      <c r="D27" s="3537" t="s">
        <v>4072</v>
      </c>
      <c r="E27" s="3538">
        <f>ROUND(E26*F23/F24,2)</f>
        <v>5000.2299999999996</v>
      </c>
    </row>
  </sheetData>
  <mergeCells count="12">
    <mergeCell ref="S16:S17"/>
    <mergeCell ref="L14:L15"/>
    <mergeCell ref="M14:M15"/>
    <mergeCell ref="N14:N15"/>
    <mergeCell ref="Q14:Q15"/>
    <mergeCell ref="R14:R15"/>
    <mergeCell ref="S14:S15"/>
    <mergeCell ref="L16:L17"/>
    <mergeCell ref="M16:M17"/>
    <mergeCell ref="N16:N17"/>
    <mergeCell ref="Q16:Q17"/>
    <mergeCell ref="R16:R17"/>
  </mergeCells>
  <phoneticPr fontId="206" type="noConversion"/>
  <pageMargins left="0.70866141732283472" right="0.70866141732283472" top="0.74803149606299213" bottom="0.74803149606299213" header="0.31496062992125984" footer="0.31496062992125984"/>
  <pageSetup paperSize="9"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56" t="s">
        <v>2406</v>
      </c>
      <c r="B1" s="3556"/>
      <c r="C1" s="3556"/>
      <c r="D1" s="3556"/>
      <c r="E1" s="3556"/>
      <c r="F1" s="3556"/>
      <c r="G1" s="3556"/>
      <c r="H1" s="3556"/>
      <c r="I1" s="3556"/>
    </row>
    <row r="2" spans="1:9" ht="30" customHeight="1" thickTop="1">
      <c r="A2" s="3557" t="s">
        <v>3284</v>
      </c>
      <c r="B2" s="3557" t="s">
        <v>2407</v>
      </c>
      <c r="C2" s="3557" t="s">
        <v>2408</v>
      </c>
      <c r="D2" s="3557" t="str">
        <f>结果表!D116</f>
        <v>出让国有建设用地使用权价值</v>
      </c>
      <c r="E2" s="3557"/>
      <c r="F2" s="3557" t="str">
        <f>结果表!F116</f>
        <v>建筑物价值</v>
      </c>
      <c r="G2" s="3557"/>
      <c r="H2" s="3557" t="s">
        <v>6</v>
      </c>
      <c r="I2" s="3557"/>
    </row>
    <row r="3" spans="1:9" ht="14.25">
      <c r="A3" s="3558"/>
      <c r="B3" s="3558"/>
      <c r="C3" s="3558"/>
      <c r="D3" s="1918" t="s">
        <v>7</v>
      </c>
      <c r="E3" s="1918" t="s">
        <v>2409</v>
      </c>
      <c r="F3" s="1918" t="s">
        <v>7</v>
      </c>
      <c r="G3" s="1918" t="s">
        <v>8</v>
      </c>
      <c r="H3" s="1918" t="s">
        <v>7</v>
      </c>
      <c r="I3" s="1918" t="s">
        <v>8</v>
      </c>
    </row>
    <row r="4" spans="1:9" ht="28.5">
      <c r="A4" s="1989" t="str">
        <f>项目基本情况!S2</f>
        <v>香河香河开发区第一城城内房地产</v>
      </c>
      <c r="B4" s="1983">
        <f>项目基本情况!C17</f>
        <v>494831.87</v>
      </c>
      <c r="C4" s="1983">
        <f>项目基本情况!C18</f>
        <v>619634</v>
      </c>
      <c r="D4" s="1983">
        <f ca="1">结果表!D118</f>
        <v>294905</v>
      </c>
      <c r="E4" s="1983">
        <f ca="1">结果表!E118</f>
        <v>5960</v>
      </c>
      <c r="F4" s="1983">
        <f ca="1">结果表!F118</f>
        <v>249200</v>
      </c>
      <c r="G4" s="1983">
        <f ca="1">结果表!G118</f>
        <v>5036</v>
      </c>
      <c r="H4" s="1983">
        <f ca="1">结果表!H118</f>
        <v>544105</v>
      </c>
      <c r="I4" s="1983">
        <f ca="1">结果表!I118</f>
        <v>10996</v>
      </c>
    </row>
    <row r="5" spans="1:9" ht="30" customHeight="1">
      <c r="A5" s="3558" t="s">
        <v>9</v>
      </c>
      <c r="B5" s="3558"/>
      <c r="C5" s="3558"/>
      <c r="D5" s="3559" t="str">
        <f ca="1">结果表!D119</f>
        <v>贰拾玖亿肆仟玖佰零伍万元整</v>
      </c>
      <c r="E5" s="3559"/>
      <c r="F5" s="3559" t="str">
        <f ca="1">结果表!F119</f>
        <v>贰拾肆亿玖仟贰佰万元整</v>
      </c>
      <c r="G5" s="3559"/>
      <c r="H5" s="3559" t="str">
        <f ca="1">结果表!H119</f>
        <v>伍拾肆亿肆仟壹佰零伍万元整</v>
      </c>
      <c r="I5" s="3559"/>
    </row>
    <row r="6" spans="1:9" ht="15.75">
      <c r="A6" s="3560" t="str">
        <f>结果表!A120</f>
        <v>估价师知悉的除抵押担保权以外的法定优先受偿款</v>
      </c>
      <c r="B6" s="3560"/>
      <c r="C6" s="3560"/>
      <c r="D6" s="3561">
        <f>结果表!D120</f>
        <v>21899</v>
      </c>
      <c r="E6" s="3561"/>
      <c r="F6" s="3561"/>
      <c r="G6" s="3561"/>
      <c r="H6" s="3561"/>
      <c r="I6" s="3561"/>
    </row>
    <row r="7" spans="1:9" ht="14.25">
      <c r="A7" s="3558" t="s">
        <v>9</v>
      </c>
      <c r="B7" s="3558"/>
      <c r="C7" s="3558"/>
      <c r="D7" s="3562" t="str">
        <f>结果表!D121</f>
        <v>贰亿壹仟捌佰玖拾玖万元整</v>
      </c>
      <c r="E7" s="3563"/>
      <c r="F7" s="3563"/>
      <c r="G7" s="3563"/>
      <c r="H7" s="3563"/>
      <c r="I7" s="3564"/>
    </row>
    <row r="8" spans="1:9" ht="15.75">
      <c r="A8" s="3560" t="str">
        <f>结果表!A122</f>
        <v>房地产抵押价值</v>
      </c>
      <c r="B8" s="3560"/>
      <c r="C8" s="3560"/>
      <c r="D8" s="3561">
        <f ca="1">结果表!D122</f>
        <v>522206</v>
      </c>
      <c r="E8" s="3561"/>
      <c r="F8" s="3561"/>
      <c r="G8" s="3561"/>
      <c r="H8" s="3561"/>
      <c r="I8" s="3561"/>
    </row>
    <row r="9" spans="1:9" ht="14.25">
      <c r="A9" s="3558" t="s">
        <v>9</v>
      </c>
      <c r="B9" s="3558"/>
      <c r="C9" s="3558"/>
      <c r="D9" s="3559" t="str">
        <f ca="1">结果表!D123</f>
        <v>伍拾贰亿贰仟贰佰零陆万元整</v>
      </c>
      <c r="E9" s="3559"/>
      <c r="F9" s="3559"/>
      <c r="G9" s="3559"/>
      <c r="H9" s="3559"/>
      <c r="I9" s="3559"/>
    </row>
    <row r="10" spans="1:9" ht="15.75">
      <c r="A10" s="3560" t="str">
        <f>结果表!A124</f>
        <v/>
      </c>
      <c r="B10" s="3560"/>
      <c r="C10" s="3560"/>
      <c r="D10" s="3561" t="str">
        <f>结果表!D124</f>
        <v>——</v>
      </c>
      <c r="E10" s="3561"/>
      <c r="F10" s="3561"/>
      <c r="G10" s="3561"/>
      <c r="H10" s="3561"/>
      <c r="I10" s="3561"/>
    </row>
    <row r="11" spans="1:9" ht="14.25">
      <c r="A11" s="3558" t="s">
        <v>9</v>
      </c>
      <c r="B11" s="3558"/>
      <c r="C11" s="3558"/>
      <c r="D11" s="3559" t="e">
        <f>结果表!D125</f>
        <v>#VALUE!</v>
      </c>
      <c r="E11" s="3559"/>
      <c r="F11" s="3559"/>
      <c r="G11" s="3559"/>
      <c r="H11" s="3559"/>
      <c r="I11" s="3559"/>
    </row>
    <row r="12" spans="1:9" ht="15.75">
      <c r="A12" s="3560" t="str">
        <f>结果表!A126</f>
        <v/>
      </c>
      <c r="B12" s="3560"/>
      <c r="C12" s="3560"/>
      <c r="D12" s="3561" t="str">
        <f>结果表!D126</f>
        <v>——</v>
      </c>
      <c r="E12" s="3561"/>
      <c r="F12" s="3561"/>
      <c r="G12" s="3561"/>
      <c r="H12" s="3561"/>
      <c r="I12" s="3561"/>
    </row>
    <row r="13" spans="1:9" ht="15" thickBot="1">
      <c r="A13" s="3565" t="s">
        <v>9</v>
      </c>
      <c r="B13" s="3565"/>
      <c r="C13" s="3565"/>
      <c r="D13" s="3566" t="e">
        <f>结果表!D127</f>
        <v>#VALUE!</v>
      </c>
      <c r="E13" s="3566"/>
      <c r="F13" s="3566"/>
      <c r="G13" s="3566"/>
      <c r="H13" s="3566"/>
      <c r="I13" s="3566"/>
    </row>
    <row r="14" spans="1:9" ht="14.25" thickTop="1">
      <c r="A14" s="3567" t="s">
        <v>2410</v>
      </c>
      <c r="B14" s="3567"/>
      <c r="C14" s="3567"/>
      <c r="D14" s="3567"/>
      <c r="E14" s="3567"/>
      <c r="F14" s="3567"/>
      <c r="G14" s="3567"/>
      <c r="H14" s="3567"/>
      <c r="I14" s="3567"/>
    </row>
    <row r="16" spans="1:9" ht="18.75">
      <c r="A16" s="1998" t="s">
        <v>2411</v>
      </c>
      <c r="B16" s="1999"/>
      <c r="C16" s="1999"/>
      <c r="D16" s="1999"/>
      <c r="E16" s="1999"/>
      <c r="F16" s="1999"/>
      <c r="G16" s="1999"/>
      <c r="H16" s="1999"/>
      <c r="I16" s="1999"/>
    </row>
    <row r="17" spans="1:9">
      <c r="A17" s="1999"/>
      <c r="B17" s="1999"/>
      <c r="C17" s="1999"/>
      <c r="D17" s="1999"/>
      <c r="E17" s="1999"/>
      <c r="F17" s="1999"/>
      <c r="G17" s="1999"/>
      <c r="H17" s="1999"/>
      <c r="I17" s="1999"/>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c r="B22" s="1999"/>
      <c r="C22" s="1999"/>
      <c r="D22" s="1999"/>
      <c r="E22" s="1999"/>
      <c r="F22" s="1999"/>
      <c r="G22" s="1999"/>
      <c r="H22" s="1999"/>
      <c r="I22" s="19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568" t="s">
        <v>3260</v>
      </c>
      <c r="B1" s="3568"/>
      <c r="C1" s="3568"/>
      <c r="D1" s="3568"/>
    </row>
    <row r="2" spans="1:4" ht="18.75">
      <c r="A2" s="3569" t="s">
        <v>2481</v>
      </c>
      <c r="B2" s="3569"/>
      <c r="C2" s="3569"/>
      <c r="D2" s="3569"/>
    </row>
    <row r="3" spans="1:4" ht="18.75">
      <c r="A3" s="2627" t="s">
        <v>2482</v>
      </c>
      <c r="B3" s="2627" t="s">
        <v>2483</v>
      </c>
      <c r="C3" s="2627" t="s">
        <v>2484</v>
      </c>
      <c r="D3" s="2627" t="s">
        <v>2485</v>
      </c>
    </row>
    <row r="4" spans="1:4" ht="56.25" customHeight="1">
      <c r="A4" s="2633" t="str">
        <f>项目基本情况!B4</f>
        <v>梁津</v>
      </c>
      <c r="B4" s="2628">
        <f ca="1">项目基本情况!C4</f>
        <v>1119970066</v>
      </c>
      <c r="C4" s="2631"/>
      <c r="D4" s="2629" t="s">
        <v>2486</v>
      </c>
    </row>
    <row r="5" spans="1:4" ht="56.25" customHeight="1">
      <c r="A5" s="2633" t="str">
        <f>项目基本情况!D4</f>
        <v>欧红伟</v>
      </c>
      <c r="B5" s="2628">
        <f ca="1">项目基本情况!E4</f>
        <v>1120000080</v>
      </c>
      <c r="C5" s="2632"/>
      <c r="D5" s="2629" t="s">
        <v>2486</v>
      </c>
    </row>
    <row r="6" spans="1:4" ht="18.75">
      <c r="A6" s="3569" t="s">
        <v>3016</v>
      </c>
      <c r="B6" s="3569"/>
      <c r="C6" s="3569"/>
      <c r="D6" s="3569"/>
    </row>
    <row r="7" spans="1:4" ht="18.75">
      <c r="A7" s="2627" t="s">
        <v>2482</v>
      </c>
      <c r="B7" s="2628" t="s">
        <v>2487</v>
      </c>
      <c r="C7" s="2627" t="s">
        <v>2484</v>
      </c>
      <c r="D7" s="2627" t="s">
        <v>2485</v>
      </c>
    </row>
    <row r="8" spans="1:4" ht="56.25" customHeight="1">
      <c r="A8" s="2630" t="s">
        <v>2488</v>
      </c>
      <c r="B8" s="2630" t="s">
        <v>23</v>
      </c>
      <c r="C8" s="2631"/>
      <c r="D8" s="2629" t="s">
        <v>2486</v>
      </c>
    </row>
    <row r="9" spans="1:4">
      <c r="A9" s="1500"/>
      <c r="B9" s="1500"/>
      <c r="C9" s="1500"/>
      <c r="D9" s="1500"/>
    </row>
    <row r="10" spans="1:4" ht="18.75">
      <c r="A10" s="2100" t="s">
        <v>2489</v>
      </c>
      <c r="B10" s="1500"/>
      <c r="C10" s="1500"/>
      <c r="D10" s="1500"/>
    </row>
    <row r="11" spans="1:4" ht="30" customHeight="1">
      <c r="A11" s="3570" t="s">
        <v>3113</v>
      </c>
      <c r="B11" s="3571"/>
      <c r="C11" s="3571"/>
      <c r="D11" s="3571"/>
    </row>
    <row r="12" spans="1:4" ht="14.25">
      <c r="A12" s="3571" t="str">
        <f>IF(项目基本情况!B8="抵押","2.本《评估意见函》仅供金融机构进行内部审核使用，不做其他目的之用。","")</f>
        <v>2.本《评估意见函》仅供金融机构进行内部审核使用，不做其他目的之用。</v>
      </c>
      <c r="B12" s="3572"/>
      <c r="C12" s="3572"/>
      <c r="D12" s="3572"/>
    </row>
    <row r="13" spans="1:4" ht="30" customHeight="1">
      <c r="A13" s="35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2"/>
      <c r="C13" s="3572"/>
      <c r="D13" s="3572"/>
    </row>
    <row r="14" spans="1:4" ht="15.75" customHeight="1">
      <c r="A14" s="3571" t="str">
        <f>IF(项目基本情况!B8="抵押","4.本次评估估价师所知悉的法定优先受偿款情况说明如下：","")</f>
        <v>4.本次评估估价师所知悉的法定优先受偿款情况说明如下：</v>
      </c>
      <c r="B14" s="3572"/>
      <c r="C14" s="3572"/>
      <c r="D14" s="3572"/>
    </row>
    <row r="15" spans="1:4" ht="42" customHeight="1">
      <c r="A15" s="357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571"/>
      <c r="C15" s="3571"/>
      <c r="D15" s="3571"/>
    </row>
    <row r="16" spans="1:4" ht="30" customHeight="1">
      <c r="A16" s="3574" t="s">
        <v>2493</v>
      </c>
      <c r="B16" s="3574"/>
      <c r="C16" s="3574"/>
      <c r="D16" s="3574"/>
    </row>
    <row r="17" spans="1:4" ht="144" customHeight="1">
      <c r="A17" s="3574" t="s">
        <v>2494</v>
      </c>
      <c r="B17" s="3574"/>
      <c r="C17" s="3574"/>
      <c r="D17" s="3574"/>
    </row>
    <row r="18" spans="1:4" ht="15.75" customHeight="1">
      <c r="A18" s="3571" t="str">
        <f>IF(项目基本情况!B8="抵押",结果表!K120,"")</f>
        <v>故，本次评估估价师知悉的除抵押担保权以外的法定优先受偿款为人民币21899万元整。</v>
      </c>
      <c r="B18" s="3571"/>
      <c r="C18" s="3571"/>
      <c r="D18" s="3571"/>
    </row>
    <row r="19" spans="1:4" ht="46.5" customHeight="1">
      <c r="A19" s="357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571"/>
      <c r="C20" s="3571"/>
      <c r="D20" s="3571"/>
    </row>
    <row r="21" spans="1:4" ht="57.75" customHeight="1">
      <c r="A21" s="357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575"/>
      <c r="C21" s="3575"/>
      <c r="D21" s="3575"/>
    </row>
    <row r="22" spans="1:4" ht="18.75" customHeight="1">
      <c r="A22" s="3576" t="s">
        <v>3282</v>
      </c>
      <c r="B22" s="3576"/>
      <c r="C22" s="3576"/>
      <c r="D22" s="3576"/>
    </row>
    <row r="23" spans="1:4">
      <c r="A23" s="1990"/>
      <c r="B23" s="1999"/>
      <c r="C23" s="1999"/>
      <c r="D23" s="1999"/>
    </row>
    <row r="24" spans="1:4">
      <c r="A24" s="1990"/>
      <c r="B24" s="1999"/>
      <c r="C24" s="1999"/>
      <c r="D24" s="1999"/>
    </row>
    <row r="25" spans="1:4" ht="18.75">
      <c r="A25" s="1988" t="s">
        <v>2490</v>
      </c>
    </row>
    <row r="26" spans="1:4" ht="18.75">
      <c r="A26" s="1960"/>
    </row>
    <row r="27" spans="1:4" ht="18.75">
      <c r="A27" s="1960" t="s">
        <v>2491</v>
      </c>
    </row>
    <row r="30" spans="1:4" ht="18.75">
      <c r="D30" s="1988" t="s">
        <v>2492</v>
      </c>
    </row>
    <row r="31" spans="1:4" ht="13.5" customHeight="1">
      <c r="C31" s="3573">
        <v>42551</v>
      </c>
      <c r="D31" s="357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9" customWidth="1"/>
    <col min="3" max="10" width="12.5" style="1999" customWidth="1"/>
    <col min="11" max="16384" width="9" style="1999"/>
  </cols>
  <sheetData>
    <row r="1" spans="1:10" ht="18.75">
      <c r="A1" s="2890" t="s">
        <v>2498</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6" customWidth="1"/>
    <col min="2" max="16384" width="14.5" style="1144"/>
  </cols>
  <sheetData>
    <row r="1" spans="1:7" s="1142" customFormat="1" ht="18.75">
      <c r="A1" s="1141" t="s">
        <v>800</v>
      </c>
    </row>
    <row r="3" spans="1:7">
      <c r="A3" s="1143" t="s">
        <v>773</v>
      </c>
      <c r="B3" s="1144" t="s">
        <v>774</v>
      </c>
      <c r="G3" s="1145"/>
    </row>
    <row r="4" spans="1:7">
      <c r="G4" s="1145"/>
    </row>
    <row r="5" spans="1:7">
      <c r="A5" s="1147" t="s">
        <v>764</v>
      </c>
      <c r="B5" s="1144" t="s">
        <v>775</v>
      </c>
      <c r="G5" s="1145"/>
    </row>
    <row r="6" spans="1:7">
      <c r="G6" s="1145"/>
    </row>
    <row r="7" spans="1:7">
      <c r="A7" s="1148" t="s">
        <v>1483</v>
      </c>
      <c r="B7" s="1144" t="s">
        <v>776</v>
      </c>
      <c r="G7" s="1145"/>
    </row>
    <row r="8" spans="1:7">
      <c r="G8" s="1145"/>
    </row>
    <row r="9" spans="1:7">
      <c r="A9" s="1149" t="s">
        <v>765</v>
      </c>
      <c r="B9" s="1144" t="s">
        <v>777</v>
      </c>
    </row>
    <row r="11" spans="1:7">
      <c r="A11" s="1150" t="s">
        <v>766</v>
      </c>
      <c r="B11" s="1151" t="s">
        <v>763</v>
      </c>
    </row>
    <row r="13" spans="1:7">
      <c r="A13" s="1152" t="s">
        <v>778</v>
      </c>
    </row>
    <row r="15" spans="1:7" ht="13.5">
      <c r="A15" s="3582" t="s">
        <v>779</v>
      </c>
      <c r="B15" s="3577" t="s">
        <v>1484</v>
      </c>
      <c r="C15" s="3578"/>
    </row>
    <row r="16" spans="1:7" ht="13.5">
      <c r="A16" s="3583"/>
      <c r="B16" s="3577" t="s">
        <v>751</v>
      </c>
      <c r="C16" s="3578"/>
    </row>
    <row r="17" spans="1:3" ht="13.5">
      <c r="A17" s="3583"/>
      <c r="B17" s="3580" t="s">
        <v>780</v>
      </c>
      <c r="C17" s="1153" t="s">
        <v>779</v>
      </c>
    </row>
    <row r="18" spans="1:3" ht="13.5">
      <c r="A18" s="3583"/>
      <c r="B18" s="3580"/>
      <c r="C18" s="1153" t="s">
        <v>781</v>
      </c>
    </row>
    <row r="19" spans="1:3" ht="13.5">
      <c r="A19" s="3583"/>
      <c r="B19" s="3580"/>
      <c r="C19" s="1153" t="s">
        <v>782</v>
      </c>
    </row>
    <row r="20" spans="1:3" ht="13.5">
      <c r="A20" s="3584"/>
      <c r="B20" s="3579" t="s">
        <v>783</v>
      </c>
      <c r="C20" s="3578"/>
    </row>
    <row r="21" spans="1:3" ht="13.5">
      <c r="A21" s="1154" t="s">
        <v>784</v>
      </c>
      <c r="B21" s="1155"/>
      <c r="C21" s="1156"/>
    </row>
    <row r="22" spans="1:3" ht="13.5">
      <c r="A22" s="3581" t="s">
        <v>785</v>
      </c>
      <c r="B22" s="3579" t="s">
        <v>786</v>
      </c>
      <c r="C22" s="3578"/>
    </row>
    <row r="23" spans="1:3" ht="13.5">
      <c r="A23" s="3581"/>
      <c r="B23" s="3579" t="s">
        <v>787</v>
      </c>
      <c r="C23" s="3578"/>
    </row>
    <row r="24" spans="1:3" ht="13.5">
      <c r="A24" s="3581"/>
      <c r="B24" s="3579" t="s">
        <v>788</v>
      </c>
      <c r="C24" s="3578"/>
    </row>
    <row r="25" spans="1:3" ht="13.5">
      <c r="A25" s="3581"/>
      <c r="B25" s="3580" t="s">
        <v>789</v>
      </c>
      <c r="C25" s="1153" t="s">
        <v>790</v>
      </c>
    </row>
    <row r="26" spans="1:3" ht="13.5">
      <c r="A26" s="3581"/>
      <c r="B26" s="3580"/>
      <c r="C26" s="1153" t="s">
        <v>791</v>
      </c>
    </row>
    <row r="27" spans="1:3" ht="13.5">
      <c r="A27" s="3581"/>
      <c r="B27" s="3580"/>
      <c r="C27" s="1153" t="s">
        <v>792</v>
      </c>
    </row>
    <row r="28" spans="1:3" ht="13.5">
      <c r="A28" s="3581"/>
      <c r="B28" s="3580"/>
      <c r="C28" s="1153" t="s">
        <v>793</v>
      </c>
    </row>
    <row r="29" spans="1:3" ht="13.5">
      <c r="A29" s="3581"/>
      <c r="B29" s="3580"/>
      <c r="C29" s="1153" t="s">
        <v>794</v>
      </c>
    </row>
    <row r="30" spans="1:3" ht="13.5">
      <c r="A30" s="3581"/>
      <c r="B30" s="3580"/>
      <c r="C30" s="1153" t="s">
        <v>795</v>
      </c>
    </row>
    <row r="31" spans="1:3" ht="13.5">
      <c r="A31" s="3581"/>
      <c r="B31" s="3580"/>
      <c r="C31" s="1153" t="s">
        <v>796</v>
      </c>
    </row>
    <row r="32" spans="1:3" ht="13.5">
      <c r="A32" s="3581"/>
      <c r="B32" s="3580"/>
      <c r="C32" s="1153" t="s">
        <v>797</v>
      </c>
    </row>
    <row r="33" spans="1:3" ht="13.5">
      <c r="A33" s="3581"/>
      <c r="B33" s="3580"/>
      <c r="C33" s="1153" t="s">
        <v>798</v>
      </c>
    </row>
    <row r="34" spans="1:3">
      <c r="A34" s="1157" t="s">
        <v>767</v>
      </c>
    </row>
    <row r="37" spans="1:3">
      <c r="A37" s="1157" t="s">
        <v>799</v>
      </c>
    </row>
    <row r="38" spans="1:3" ht="13.5">
      <c r="A38" s="1158" t="s">
        <v>768</v>
      </c>
    </row>
    <row r="39" spans="1:3" ht="13.5">
      <c r="A39" s="1158" t="s">
        <v>769</v>
      </c>
    </row>
    <row r="40" spans="1:3" ht="13.5">
      <c r="A40" s="1158" t="s">
        <v>770</v>
      </c>
    </row>
    <row r="41" spans="1:3" ht="13.5">
      <c r="A41" s="1159" t="s">
        <v>771</v>
      </c>
    </row>
    <row r="42" spans="1:3" ht="13.5">
      <c r="A42" s="1158" t="s">
        <v>772</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3"/>
    <col min="3" max="3" width="23.625" style="1893" bestFit="1" customWidth="1"/>
    <col min="4" max="5" width="22.625" style="1893"/>
    <col min="6" max="6" width="25.625" style="1893" customWidth="1"/>
    <col min="7" max="16384" width="22.625" style="1893"/>
  </cols>
  <sheetData>
    <row r="2" spans="1:6" ht="24" customHeight="1">
      <c r="A2" s="1895" t="s">
        <v>2326</v>
      </c>
      <c r="B2" s="1896">
        <f ca="1">TODAY()</f>
        <v>42912</v>
      </c>
      <c r="C2" s="1897" t="s">
        <v>2327</v>
      </c>
      <c r="D2" s="1897"/>
    </row>
    <row r="3" spans="1:6" ht="24" customHeight="1">
      <c r="A3" s="1898" t="s">
        <v>2328</v>
      </c>
      <c r="B3" s="1899" t="s">
        <v>2329</v>
      </c>
      <c r="C3" s="1899" t="s">
        <v>2330</v>
      </c>
      <c r="D3" s="1900" t="s">
        <v>2331</v>
      </c>
      <c r="E3" s="1901" t="s">
        <v>2332</v>
      </c>
      <c r="F3" s="1899" t="s">
        <v>2330</v>
      </c>
    </row>
    <row r="4" spans="1:6" ht="24" customHeight="1">
      <c r="A4" s="3227" t="s">
        <v>2333</v>
      </c>
      <c r="B4" s="1901">
        <f ca="1">IF(C4&lt;B2,"已过期",1119970066)</f>
        <v>1119970066</v>
      </c>
      <c r="C4" s="3228">
        <v>43849</v>
      </c>
      <c r="D4" s="3227" t="s">
        <v>2333</v>
      </c>
      <c r="E4" s="1901">
        <f ca="1">IF(F4&lt;B2,"已过期",96010014)</f>
        <v>96010014</v>
      </c>
      <c r="F4" s="1910">
        <v>47118</v>
      </c>
    </row>
    <row r="5" spans="1:6" ht="24" customHeight="1">
      <c r="A5" s="3227" t="s">
        <v>2334</v>
      </c>
      <c r="B5" s="1901">
        <f ca="1">IF(C5&lt;B2,"已过期",1119970074)</f>
        <v>1119970074</v>
      </c>
      <c r="C5" s="3228">
        <v>43849</v>
      </c>
      <c r="D5" s="3227" t="s">
        <v>2334</v>
      </c>
      <c r="E5" s="1901">
        <f ca="1">IF(F5&lt;B2,"已过期",2002110027)</f>
        <v>2002110027</v>
      </c>
      <c r="F5" s="1910">
        <v>46752</v>
      </c>
    </row>
    <row r="6" spans="1:6" ht="24" customHeight="1">
      <c r="A6" s="3227" t="s">
        <v>2335</v>
      </c>
      <c r="B6" s="1901">
        <f ca="1">IF(C6&lt;B2,"已过期",1119970111)</f>
        <v>1119970111</v>
      </c>
      <c r="C6" s="3228">
        <v>43849</v>
      </c>
      <c r="D6" s="3227" t="s">
        <v>2335</v>
      </c>
      <c r="E6" s="1901">
        <f ca="1">IF(F6&lt;B2,"已过期",94010078)</f>
        <v>94010078</v>
      </c>
      <c r="F6" s="1910">
        <v>46387</v>
      </c>
    </row>
    <row r="7" spans="1:6" ht="24" customHeight="1">
      <c r="A7" s="3227" t="s">
        <v>2336</v>
      </c>
      <c r="B7" s="1901">
        <f ca="1">IF(C7&lt;B2,"已过期",1120050019)</f>
        <v>1120050019</v>
      </c>
      <c r="C7" s="3228">
        <v>43359</v>
      </c>
      <c r="D7" s="3227" t="s">
        <v>2336</v>
      </c>
      <c r="E7" s="1901">
        <f ca="1">IF(F7&lt;B2,"已过期",2002110030)</f>
        <v>2002110030</v>
      </c>
      <c r="F7" s="1910">
        <v>46387</v>
      </c>
    </row>
    <row r="8" spans="1:6" ht="24" customHeight="1">
      <c r="A8" s="3227" t="s">
        <v>2337</v>
      </c>
      <c r="B8" s="1901">
        <f ca="1">IF(C8&lt;B2,"已过期",1120000080)</f>
        <v>1120000080</v>
      </c>
      <c r="C8" s="3228">
        <v>43849</v>
      </c>
      <c r="D8" s="3227" t="s">
        <v>2337</v>
      </c>
      <c r="E8" s="1901">
        <f ca="1">IF(F8&lt;B2,"已过期",2000110082)</f>
        <v>2000110082</v>
      </c>
      <c r="F8" s="1910">
        <v>46387</v>
      </c>
    </row>
    <row r="9" spans="1:6" ht="24" customHeight="1">
      <c r="A9" s="3227" t="s">
        <v>2338</v>
      </c>
      <c r="B9" s="1901">
        <f ca="1">IF(C9&lt;B2,"已过期",1419970001)</f>
        <v>1419970001</v>
      </c>
      <c r="C9" s="3228">
        <v>43867</v>
      </c>
      <c r="D9" s="3227" t="s">
        <v>2338</v>
      </c>
      <c r="E9" s="1901">
        <f ca="1">IF(F9&lt;B2,"已过期",2002110125)</f>
        <v>2002110125</v>
      </c>
      <c r="F9" s="1910">
        <v>47118</v>
      </c>
    </row>
    <row r="10" spans="1:6" ht="24" customHeight="1">
      <c r="A10" s="3227" t="s">
        <v>2339</v>
      </c>
      <c r="B10" s="1901">
        <f ca="1">IF(C10&lt;B2,"已过期",1120060040)</f>
        <v>1120060040</v>
      </c>
      <c r="C10" s="3228">
        <v>43483</v>
      </c>
      <c r="D10" s="3227" t="s">
        <v>2339</v>
      </c>
      <c r="E10" s="1901">
        <f ca="1">IF(F10&lt;B2,"已过期",2004110096)</f>
        <v>2004110096</v>
      </c>
      <c r="F10" s="1910">
        <v>47118</v>
      </c>
    </row>
    <row r="11" spans="1:6" ht="24" customHeight="1">
      <c r="A11" s="3227" t="s">
        <v>2340</v>
      </c>
      <c r="B11" s="1901">
        <f ca="1">IF(C11&lt;B2,"已过期",1120100036)</f>
        <v>1120100036</v>
      </c>
      <c r="C11" s="3228">
        <v>43622</v>
      </c>
      <c r="D11" s="3227" t="s">
        <v>2340</v>
      </c>
      <c r="E11" s="1901">
        <f ca="1">IF(F11&lt;B2,"已过期",2010110070)</f>
        <v>2010110070</v>
      </c>
      <c r="F11" s="1910">
        <v>47907</v>
      </c>
    </row>
    <row r="12" spans="1:6" ht="24" customHeight="1">
      <c r="A12" s="3227"/>
      <c r="B12" s="1901"/>
      <c r="C12" s="3228"/>
      <c r="D12" s="3227"/>
      <c r="E12" s="1901"/>
      <c r="F12" s="1901"/>
    </row>
    <row r="13" spans="1:6" ht="24" customHeight="1">
      <c r="A13" s="3227" t="s">
        <v>2341</v>
      </c>
      <c r="B13" s="1901">
        <f ca="1">IF(C13&lt;B2,"已过期",1120070131)</f>
        <v>1120070131</v>
      </c>
      <c r="C13" s="3228">
        <v>43814</v>
      </c>
      <c r="D13" s="3227" t="s">
        <v>2341</v>
      </c>
      <c r="E13" s="1901">
        <v>2014110011</v>
      </c>
      <c r="F13" s="1910">
        <v>49302</v>
      </c>
    </row>
    <row r="14" spans="1:6" ht="24" customHeight="1">
      <c r="A14" s="3227" t="s">
        <v>2342</v>
      </c>
      <c r="B14" s="1901">
        <f ca="1">IF(C14&lt;B2,"已过期",1120130020)</f>
        <v>1120130020</v>
      </c>
      <c r="C14" s="3228">
        <v>43622</v>
      </c>
      <c r="D14" s="3227"/>
      <c r="E14" s="1901"/>
      <c r="F14" s="1901"/>
    </row>
    <row r="15" spans="1:6" ht="24" customHeight="1">
      <c r="A15" s="3229" t="s">
        <v>3111</v>
      </c>
      <c r="B15" s="1901">
        <v>1120070085</v>
      </c>
      <c r="C15" s="3228">
        <v>43814</v>
      </c>
      <c r="D15" s="3229" t="s">
        <v>3111</v>
      </c>
      <c r="E15" s="1901">
        <v>2004110128</v>
      </c>
      <c r="F15" s="1902">
        <v>47118</v>
      </c>
    </row>
    <row r="16" spans="1:6" ht="24" customHeight="1">
      <c r="A16" s="3227" t="s">
        <v>2343</v>
      </c>
      <c r="B16" s="1901">
        <f ca="1">IF(C16&lt;B2,"已过期",1120140022)</f>
        <v>1120140022</v>
      </c>
      <c r="C16" s="3228">
        <v>42987</v>
      </c>
      <c r="D16" s="3227" t="s">
        <v>2343</v>
      </c>
      <c r="E16" s="1901">
        <f ca="1">IF(F16&lt;B2,"已过期",2008110059)</f>
        <v>2008110059</v>
      </c>
      <c r="F16" s="1910">
        <v>47177</v>
      </c>
    </row>
    <row r="17" spans="1:7" ht="24" customHeight="1">
      <c r="A17" s="3227" t="s">
        <v>2344</v>
      </c>
      <c r="B17" s="1901">
        <f ca="1">IF(C17&lt;B2,"已过期",1120140020)</f>
        <v>1120140020</v>
      </c>
      <c r="C17" s="3228">
        <v>42987</v>
      </c>
      <c r="D17" s="3227"/>
      <c r="E17" s="1901"/>
      <c r="F17" s="1910"/>
    </row>
    <row r="18" spans="1:7" ht="24" customHeight="1">
      <c r="A18" s="3227" t="s">
        <v>2345</v>
      </c>
      <c r="B18" s="1901">
        <f ca="1">IF(C18&lt;B2,"已过期",1120140024)</f>
        <v>1120140024</v>
      </c>
      <c r="C18" s="3228">
        <v>42987</v>
      </c>
      <c r="D18" s="3227" t="s">
        <v>2345</v>
      </c>
      <c r="E18" s="1901">
        <f ca="1">IF(F18&lt;B2,"已过期",2011110048)</f>
        <v>2011110048</v>
      </c>
      <c r="F18" s="1910">
        <v>48302</v>
      </c>
    </row>
    <row r="19" spans="1:7" ht="24" customHeight="1">
      <c r="A19" s="3227" t="s">
        <v>2346</v>
      </c>
      <c r="B19" s="1901">
        <f ca="1">IF(C19&lt;B2,"已过期",1120140019)</f>
        <v>1120140019</v>
      </c>
      <c r="C19" s="3228">
        <v>42987</v>
      </c>
      <c r="D19" s="3227"/>
      <c r="E19" s="1901"/>
      <c r="F19" s="1901"/>
    </row>
    <row r="20" spans="1:7" ht="24" customHeight="1">
      <c r="A20" s="3227" t="s">
        <v>2347</v>
      </c>
      <c r="B20" s="1901">
        <f ca="1">IF(C20&lt;B2,"已过期",1120140023)</f>
        <v>1120140023</v>
      </c>
      <c r="C20" s="3228">
        <v>42987</v>
      </c>
      <c r="D20" s="3227"/>
      <c r="E20" s="1901"/>
      <c r="F20" s="1901"/>
    </row>
    <row r="21" spans="1:7" ht="24" customHeight="1">
      <c r="A21" s="3227"/>
      <c r="B21" s="1901"/>
      <c r="C21" s="3228"/>
      <c r="D21" s="3227" t="s">
        <v>2348</v>
      </c>
      <c r="E21" s="1901">
        <f ca="1">IF(F21&lt;B2,"已过期",2011110090)</f>
        <v>2011110090</v>
      </c>
      <c r="F21" s="1910">
        <v>48302</v>
      </c>
    </row>
    <row r="22" spans="1:7" ht="24" customHeight="1">
      <c r="A22" s="3227" t="s">
        <v>2349</v>
      </c>
      <c r="B22" s="1901">
        <f ca="1">IF(C22&lt;B2,"已过期",1120020033)</f>
        <v>1120020033</v>
      </c>
      <c r="C22" s="3228">
        <v>43304</v>
      </c>
      <c r="D22" s="3227" t="s">
        <v>2349</v>
      </c>
      <c r="E22" s="1901">
        <f ca="1">IF(F22&lt;B2,"已过期",2000110137)</f>
        <v>2000110137</v>
      </c>
      <c r="F22" s="1910">
        <v>46387</v>
      </c>
    </row>
    <row r="23" spans="1:7" ht="24" customHeight="1">
      <c r="A23" s="3227" t="s">
        <v>2350</v>
      </c>
      <c r="B23" s="1901">
        <f ca="1">IF(C23&lt;B2,"已过期",1120130048)</f>
        <v>1120130048</v>
      </c>
      <c r="C23" s="3228">
        <v>43686</v>
      </c>
      <c r="D23" s="3227"/>
      <c r="E23" s="1901"/>
      <c r="F23" s="1901"/>
    </row>
    <row r="24" spans="1:7" s="1903" customFormat="1" ht="24" customHeight="1">
      <c r="A24" s="3229" t="s">
        <v>3349</v>
      </c>
      <c r="B24" s="3229" t="s">
        <v>3349</v>
      </c>
      <c r="C24" s="3229" t="s">
        <v>3349</v>
      </c>
      <c r="D24" s="3229" t="s">
        <v>3349</v>
      </c>
      <c r="E24" s="3229" t="s">
        <v>3349</v>
      </c>
      <c r="F24" s="3229" t="s">
        <v>3349</v>
      </c>
    </row>
    <row r="25" spans="1:7" ht="24" customHeight="1">
      <c r="A25" s="3585" t="s">
        <v>2351</v>
      </c>
      <c r="B25" s="3585"/>
      <c r="C25" s="3585"/>
      <c r="D25" s="3585"/>
      <c r="E25" s="3585"/>
      <c r="F25" s="3585"/>
      <c r="G25" s="3585"/>
    </row>
    <row r="26" spans="1:7" s="1905" customFormat="1" ht="24" customHeight="1">
      <c r="A26" s="3586" t="s">
        <v>2352</v>
      </c>
      <c r="B26" s="3586"/>
      <c r="C26" s="3586"/>
      <c r="D26" s="1904"/>
      <c r="E26" s="3586" t="s">
        <v>2353</v>
      </c>
      <c r="F26" s="3586"/>
      <c r="G26" s="3586"/>
    </row>
    <row r="27" spans="1:7" s="1907" customFormat="1" ht="24" customHeight="1">
      <c r="A27" s="1906" t="s">
        <v>2354</v>
      </c>
      <c r="B27" s="1899" t="s">
        <v>2355</v>
      </c>
      <c r="C27" s="1899" t="s">
        <v>2356</v>
      </c>
      <c r="D27" s="1899"/>
      <c r="E27" s="1901" t="s">
        <v>2354</v>
      </c>
      <c r="F27" s="1899" t="s">
        <v>2355</v>
      </c>
      <c r="G27" s="1899" t="s">
        <v>2356</v>
      </c>
    </row>
    <row r="28" spans="1:7" s="1907" customFormat="1" ht="24" customHeight="1">
      <c r="A28" s="1908" t="s">
        <v>2357</v>
      </c>
      <c r="B28" s="1909" t="s">
        <v>2358</v>
      </c>
      <c r="C28" s="1910">
        <v>43725</v>
      </c>
      <c r="D28" s="1910"/>
      <c r="E28" s="1908" t="s">
        <v>2359</v>
      </c>
      <c r="F28" s="1908" t="s">
        <v>2360</v>
      </c>
      <c r="G28" s="2119">
        <v>44377</v>
      </c>
    </row>
    <row r="29" spans="1:7" s="1907" customFormat="1" ht="24" customHeight="1">
      <c r="A29" s="1908"/>
      <c r="B29" s="1908"/>
      <c r="C29" s="1911"/>
      <c r="D29" s="1911"/>
      <c r="E29" s="1908" t="s">
        <v>2361</v>
      </c>
      <c r="F29" s="2446" t="s">
        <v>2752</v>
      </c>
      <c r="G29" s="2447">
        <v>42916</v>
      </c>
    </row>
    <row r="30" spans="1:7" ht="24" customHeight="1">
      <c r="C30" s="1912"/>
      <c r="D30" s="1912"/>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138</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Sheet3</vt:lpstr>
      <vt:lpstr>土地使用证</vt:lpstr>
      <vt:lpstr>房产证</vt:lpstr>
      <vt:lpstr>主营业务收入</vt:lpstr>
      <vt:lpstr>其他业务利润</vt:lpstr>
      <vt:lpstr>成本法（废）</vt:lpstr>
      <vt:lpstr>区片价</vt:lpstr>
      <vt:lpstr>因素修正幅度</vt:lpstr>
      <vt:lpstr>存贷款利率</vt:lpstr>
      <vt:lpstr>Sheet1</vt:lpstr>
      <vt:lpstr>年期修正系数</vt:lpstr>
      <vt:lpstr>估价师及机构信息!Print_Area</vt:lpstr>
      <vt:lpstr>年期修正系数!Print_Area</vt:lpstr>
      <vt:lpstr>收益法!Print_Area</vt:lpstr>
      <vt:lpstr>'收益法 (元)'!Print_Area</vt:lpstr>
      <vt:lpstr>'数据-汇总表'!Print_Area</vt:lpstr>
      <vt:lpstr>土地使用证!Print_Area</vt:lpstr>
      <vt:lpstr>'预评函-4'!Print_Area</vt:lpstr>
      <vt:lpstr>主营业务收入!Print_Titles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2017-06-26T08:27:39Z</dcterms:modified>
</cp:coreProperties>
</file>