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72" windowWidth="14808" windowHeight="1317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88" i="9" l="1"/>
  <c r="C6" i="68" l="1"/>
  <c r="J7" i="68"/>
  <c r="N6" i="1"/>
  <c r="L19" i="1"/>
  <c r="C11" i="4" l="1"/>
  <c r="B7" i="4"/>
  <c r="C88" i="9" l="1"/>
  <c r="I91" i="9"/>
  <c r="Y6" i="1" l="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Q7" i="1"/>
  <c r="R22" i="31"/>
  <c r="L27" i="6"/>
  <c r="AP7" i="1"/>
  <c r="K16"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R8" i="1"/>
  <c r="C34" i="69"/>
  <c r="C35" i="69" s="1"/>
  <c r="AE7" i="1"/>
  <c r="AE8" i="1"/>
  <c r="AG6" i="1"/>
  <c r="H109" i="9"/>
  <c r="H110" i="9"/>
  <c r="D18" i="53" s="1"/>
  <c r="B35" i="72" s="1"/>
  <c r="D124" i="9"/>
  <c r="D16" i="53"/>
  <c r="B34" i="72" s="1"/>
  <c r="D10" i="52"/>
  <c r="H14" i="74"/>
  <c r="D17" i="53"/>
  <c r="B36" i="72" s="1"/>
  <c r="D125" i="9"/>
  <c r="D11" i="52" s="1"/>
  <c r="B7" i="74"/>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34" i="68"/>
  <c r="F5" i="73"/>
  <c r="M27" i="67"/>
  <c r="F43" i="67"/>
  <c r="AO10" i="1"/>
  <c r="F38" i="15"/>
  <c r="E2" i="69"/>
  <c r="M21" i="67"/>
  <c r="F6" i="67"/>
  <c r="M22" i="15"/>
  <c r="F13" i="15"/>
  <c r="M24" i="15"/>
  <c r="L47" i="15"/>
  <c r="F20" i="31"/>
  <c r="AO11" i="1"/>
  <c r="L48" i="15"/>
  <c r="F40" i="15"/>
  <c r="M23" i="67"/>
  <c r="F8" i="67"/>
  <c r="AO7" i="1"/>
  <c r="F6" i="73"/>
  <c r="F26" i="15"/>
  <c r="F42" i="15"/>
  <c r="F38" i="67"/>
  <c r="D2" i="36"/>
  <c r="L48" i="67"/>
  <c r="F3" i="73"/>
  <c r="B8" i="76"/>
  <c r="M29" i="67"/>
  <c r="F42" i="67"/>
  <c r="E10" i="76"/>
  <c r="AO9" i="1"/>
  <c r="F37" i="15"/>
  <c r="C76" i="67"/>
  <c r="F35" i="67"/>
  <c r="F9" i="67"/>
  <c r="E2" i="68"/>
  <c r="M29" i="15"/>
  <c r="F40" i="67"/>
  <c r="F7" i="73"/>
  <c r="F43" i="15"/>
  <c r="M27" i="15"/>
  <c r="F36" i="67"/>
  <c r="D3" i="73"/>
  <c r="D7" i="73"/>
  <c r="F8" i="15"/>
  <c r="F41" i="67"/>
  <c r="D6" i="73"/>
  <c r="M26" i="15"/>
  <c r="M8" i="67"/>
  <c r="M28" i="67"/>
  <c r="F26" i="67"/>
  <c r="M6" i="67"/>
  <c r="E9" i="76"/>
  <c r="C14" i="15"/>
  <c r="AO12" i="1"/>
  <c r="B7" i="76"/>
  <c r="F6" i="15"/>
  <c r="M26" i="67"/>
  <c r="B13" i="76"/>
  <c r="B11" i="76"/>
  <c r="E7" i="76"/>
  <c r="M24" i="67"/>
  <c r="J15" i="15"/>
  <c r="D2" i="35"/>
  <c r="F16" i="67"/>
  <c r="M22" i="67"/>
  <c r="F37" i="67"/>
  <c r="L47" i="67"/>
  <c r="D4" i="73"/>
  <c r="E13" i="76"/>
  <c r="B10" i="76"/>
  <c r="E11" i="76"/>
  <c r="F7" i="67"/>
  <c r="F16" i="15"/>
  <c r="M9" i="67"/>
  <c r="F4" i="73"/>
  <c r="E8" i="76"/>
  <c r="M6" i="15"/>
  <c r="M28" i="15"/>
  <c r="M9" i="15"/>
  <c r="F36" i="15"/>
  <c r="D2" i="34"/>
  <c r="F13" i="67"/>
  <c r="D2" i="33"/>
  <c r="AO13" i="1"/>
  <c r="B9" i="76"/>
  <c r="M8" i="15"/>
  <c r="B12" i="76"/>
  <c r="D5" i="73"/>
  <c r="J15" i="67"/>
  <c r="AO8" i="1"/>
  <c r="D2" i="37"/>
  <c r="F7" i="15"/>
  <c r="D2" i="21"/>
  <c r="C76" i="15"/>
  <c r="F9" i="15"/>
  <c r="M23" i="15"/>
  <c r="E12" i="76"/>
  <c r="C21" i="68" l="1"/>
  <c r="C40" i="69"/>
  <c r="K56" i="9"/>
  <c r="H83" i="43"/>
  <c r="H87" i="43"/>
  <c r="H85" i="43"/>
  <c r="H84" i="43"/>
  <c r="H86" i="43"/>
  <c r="H81" i="43"/>
  <c r="H88" i="43"/>
  <c r="E41" i="43"/>
  <c r="C41" i="43" s="1"/>
  <c r="G17" i="43"/>
  <c r="C16" i="43" s="1"/>
  <c r="D5" i="43" s="1"/>
  <c r="P61" i="15"/>
  <c r="H82" i="43"/>
  <c r="C92" i="9"/>
  <c r="F28" i="15"/>
  <c r="C28" i="15" s="1"/>
  <c r="F31" i="12"/>
  <c r="D68" i="9"/>
  <c r="M18" i="67"/>
  <c r="F30" i="68"/>
  <c r="C24" i="12"/>
  <c r="C30" i="68"/>
  <c r="C77" i="9"/>
  <c r="C74" i="9" s="1"/>
  <c r="F54" i="9"/>
  <c r="M18" i="15"/>
  <c r="F32" i="15"/>
  <c r="F60" i="15" s="1"/>
  <c r="F30" i="69"/>
  <c r="F32" i="67"/>
  <c r="F60" i="67" s="1"/>
  <c r="F52" i="9"/>
  <c r="F28" i="67"/>
  <c r="C28" i="67" s="1"/>
  <c r="F30" i="11"/>
  <c r="F53" i="9"/>
  <c r="C31" i="12"/>
  <c r="C21" i="69"/>
  <c r="D22" i="67"/>
  <c r="E2" i="70"/>
  <c r="AY6" i="3"/>
  <c r="E3" i="6"/>
  <c r="D9" i="69"/>
  <c r="C9" i="69" s="1"/>
  <c r="E56" i="40"/>
  <c r="E12" i="6"/>
  <c r="F27" i="6"/>
  <c r="F31" i="6" s="1"/>
  <c r="E56" i="39"/>
  <c r="E16" i="6"/>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AR8" i="1"/>
  <c r="O12" i="1"/>
  <c r="P12" i="1" s="1"/>
  <c r="O14" i="1"/>
  <c r="P14" i="1" s="1"/>
  <c r="P6" i="1"/>
  <c r="O7" i="1"/>
  <c r="M16" i="1"/>
  <c r="P7" i="1"/>
  <c r="O9" i="1"/>
  <c r="P9" i="1" s="1"/>
  <c r="O8" i="1"/>
  <c r="P8" i="1" s="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75" i="43"/>
  <c r="A19" i="51"/>
  <c r="B14" i="72" s="1"/>
  <c r="T35" i="4"/>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7" i="15"/>
  <c r="D9" i="68"/>
  <c r="C16" i="15"/>
  <c r="C16" i="67"/>
  <c r="C14" i="67"/>
  <c r="C36" i="68"/>
  <c r="C34" i="68"/>
  <c r="C19" i="43" l="1"/>
  <c r="T11" i="43" s="1"/>
  <c r="V11" i="43" s="1"/>
  <c r="C35" i="68"/>
  <c r="C38" i="68"/>
  <c r="C9" i="68"/>
  <c r="T14" i="43"/>
  <c r="V14" i="43" s="1"/>
  <c r="C35" i="43"/>
  <c r="E35" i="43" s="1"/>
  <c r="C39" i="43"/>
  <c r="E39" i="43" s="1"/>
  <c r="C34" i="43"/>
  <c r="G34" i="43" s="1"/>
  <c r="I34" i="43" s="1"/>
  <c r="F48" i="68"/>
  <c r="C48" i="68"/>
  <c r="C48" i="11"/>
  <c r="C30" i="11"/>
  <c r="F48" i="69"/>
  <c r="C48" i="69"/>
  <c r="C30" i="69"/>
  <c r="O16" i="1"/>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7" i="11"/>
  <c r="C37" i="11" s="1"/>
  <c r="M18" i="9"/>
  <c r="B118" i="9" s="1"/>
  <c r="B14" i="74" s="1"/>
  <c r="B1" i="74" s="1"/>
  <c r="C7" i="74" s="1"/>
  <c r="D3" i="21"/>
  <c r="D19" i="11"/>
  <c r="C19" i="11" s="1"/>
  <c r="C20" i="11" s="1"/>
  <c r="D14" i="12"/>
  <c r="AC6" i="3"/>
  <c r="E62" i="39"/>
  <c r="E66" i="39" s="1"/>
  <c r="E57" i="40"/>
  <c r="D22" i="43"/>
  <c r="H6" i="3"/>
  <c r="P16" i="1"/>
  <c r="C11" i="12" s="1"/>
  <c r="F27" i="69"/>
  <c r="F28" i="12"/>
  <c r="C29" i="12" s="1"/>
  <c r="D28" i="12" s="1"/>
  <c r="F27" i="11"/>
  <c r="N16" i="1"/>
  <c r="L16" i="1"/>
  <c r="C34" i="1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0" i="43"/>
  <c r="V10" i="43" s="1"/>
  <c r="T12" i="43"/>
  <c r="V12" i="43" s="1"/>
  <c r="J10" i="40"/>
  <c r="W10" i="40" s="1"/>
  <c r="H10" i="39"/>
  <c r="AB10" i="39" s="1"/>
  <c r="F10" i="40"/>
  <c r="AA10" i="40" s="1"/>
  <c r="J10" i="39"/>
  <c r="W10" i="39" s="1"/>
  <c r="H10" i="40"/>
  <c r="U10" i="40" s="1"/>
  <c r="T16" i="43"/>
  <c r="V16"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G39" i="43"/>
  <c r="I39" i="43" s="1"/>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G35" i="43" l="1"/>
  <c r="I35" i="43" s="1"/>
  <c r="T15" i="43"/>
  <c r="V15" i="43" s="1"/>
  <c r="T8" i="43"/>
  <c r="V8" i="43" s="1"/>
  <c r="T9" i="43"/>
  <c r="V9" i="43" s="1"/>
  <c r="T13" i="43"/>
  <c r="V13" i="43" s="1"/>
  <c r="C37" i="43"/>
  <c r="E37" i="43" s="1"/>
  <c r="C38" i="43"/>
  <c r="E38" i="43" s="1"/>
  <c r="C33" i="43"/>
  <c r="C36" i="43"/>
  <c r="G38" i="43"/>
  <c r="I38" i="43" s="1"/>
  <c r="G37" i="43"/>
  <c r="I37" i="43" s="1"/>
  <c r="AC10" i="40"/>
  <c r="AB10" i="40"/>
  <c r="U10" i="39"/>
  <c r="D17" i="12"/>
  <c r="C17" i="12" s="1"/>
  <c r="C14" i="12"/>
  <c r="D20" i="12"/>
  <c r="C20" i="12" s="1"/>
  <c r="D10" i="11"/>
  <c r="C10" i="11" s="1"/>
  <c r="D10" i="69"/>
  <c r="D19" i="6"/>
  <c r="D25" i="6"/>
  <c r="D22" i="6"/>
  <c r="D24" i="6"/>
  <c r="D11" i="6"/>
  <c r="D29" i="6"/>
  <c r="M19" i="9"/>
  <c r="C118" i="9" s="1"/>
  <c r="C14" i="74" s="1"/>
  <c r="B2" i="74" s="1"/>
  <c r="D7" i="74" s="1"/>
  <c r="D15" i="6"/>
  <c r="D21" i="6"/>
  <c r="D20" i="6"/>
  <c r="D5" i="6"/>
  <c r="L19" i="9"/>
  <c r="E61" i="40"/>
  <c r="D13" i="6"/>
  <c r="D6" i="6"/>
  <c r="D23" i="6"/>
  <c r="C18" i="4"/>
  <c r="D10" i="6"/>
  <c r="D28" i="6"/>
  <c r="D30" i="6" s="1"/>
  <c r="D9" i="6"/>
  <c r="D14" i="6"/>
  <c r="D8" i="6"/>
  <c r="D16" i="6" s="1"/>
  <c r="D26" i="6"/>
  <c r="K26" i="6"/>
  <c r="M26" i="6" s="1"/>
  <c r="I26" i="6" s="1"/>
  <c r="S26" i="6" s="1"/>
  <c r="K24" i="6"/>
  <c r="M24" i="6" s="1"/>
  <c r="I24" i="6" s="1"/>
  <c r="S24" i="6" s="1"/>
  <c r="K23" i="6"/>
  <c r="M23" i="6" s="1"/>
  <c r="I23" i="6" s="1"/>
  <c r="K22" i="6"/>
  <c r="M22" i="6" s="1"/>
  <c r="I22" i="6" s="1"/>
  <c r="E31" i="6"/>
  <c r="K20" i="6"/>
  <c r="M20" i="6" s="1"/>
  <c r="I20" i="6" s="1"/>
  <c r="S20" i="6" s="1"/>
  <c r="K19" i="6"/>
  <c r="S6" i="1" s="1"/>
  <c r="K25" i="6"/>
  <c r="M25" i="6" s="1"/>
  <c r="I25" i="6" s="1"/>
  <c r="K21" i="6"/>
  <c r="M21" i="6" s="1"/>
  <c r="I21" i="6" s="1"/>
  <c r="E6" i="3"/>
  <c r="AC10" i="39"/>
  <c r="C38" i="11"/>
  <c r="C35" i="11"/>
  <c r="F50" i="11"/>
  <c r="F50" i="68"/>
  <c r="F50" i="69"/>
  <c r="F45" i="68"/>
  <c r="C47" i="68"/>
  <c r="D45" i="68" s="1"/>
  <c r="C29" i="68"/>
  <c r="D27" i="68" s="1"/>
  <c r="F45" i="69"/>
  <c r="C47" i="69"/>
  <c r="D45" i="69" s="1"/>
  <c r="C29" i="69"/>
  <c r="D27" i="69" s="1"/>
  <c r="C47" i="11"/>
  <c r="D45" i="11" s="1"/>
  <c r="C29" i="11"/>
  <c r="D27" i="11" s="1"/>
  <c r="C28" i="11"/>
  <c r="C27" i="11" s="1"/>
  <c r="C15" i="12"/>
  <c r="C12" i="12"/>
  <c r="S3" i="43"/>
  <c r="T3" i="43" s="1"/>
  <c r="V3" i="43" s="1"/>
  <c r="S7" i="43"/>
  <c r="T7" i="43" s="1"/>
  <c r="V7" i="43" s="1"/>
  <c r="S6" i="43"/>
  <c r="T6" i="43" s="1"/>
  <c r="V6" i="43" s="1"/>
  <c r="S4" i="43"/>
  <c r="T4" i="43" s="1"/>
  <c r="V4" i="43" s="1"/>
  <c r="S5" i="43"/>
  <c r="T5" i="43" s="1"/>
  <c r="V5" i="43" s="1"/>
  <c r="S2" i="43"/>
  <c r="T2" i="43" s="1"/>
  <c r="V2" i="43" s="1"/>
  <c r="C23" i="43"/>
  <c r="C21" i="43" s="1"/>
  <c r="C29"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D10" i="68"/>
  <c r="G33" i="43" l="1"/>
  <c r="I33" i="43" s="1"/>
  <c r="E33" i="43"/>
  <c r="E36" i="43"/>
  <c r="G36" i="43"/>
  <c r="I36" i="43" s="1"/>
  <c r="F69" i="15"/>
  <c r="J29" i="15"/>
  <c r="C26" i="43"/>
  <c r="B2" i="43" s="1"/>
  <c r="AQ6" i="1"/>
  <c r="AR6" i="1"/>
  <c r="T6" i="1"/>
  <c r="T16" i="1" s="1"/>
  <c r="S16" i="1"/>
  <c r="S21" i="6"/>
  <c r="H21" i="6"/>
  <c r="R21" i="6" s="1"/>
  <c r="M19" i="6"/>
  <c r="K27" i="6"/>
  <c r="H23" i="6"/>
  <c r="R23" i="6" s="1"/>
  <c r="S23" i="6"/>
  <c r="H20" i="6"/>
  <c r="R20" i="6" s="1"/>
  <c r="H24" i="6"/>
  <c r="C4" i="52"/>
  <c r="B45" i="72" s="1"/>
  <c r="A10" i="51"/>
  <c r="B9" i="72" s="1"/>
  <c r="A7" i="51"/>
  <c r="B7" i="72" s="1"/>
  <c r="D27" i="6"/>
  <c r="D31" i="6" s="1"/>
  <c r="I6" i="6" s="1"/>
  <c r="C10" i="68"/>
  <c r="B29" i="1" s="1"/>
  <c r="C8" i="68" s="1"/>
  <c r="C5" i="68" s="1"/>
  <c r="C23" i="68" s="1"/>
  <c r="D19" i="68"/>
  <c r="S25" i="6"/>
  <c r="H25" i="6"/>
  <c r="R25" i="6" s="1"/>
  <c r="H22" i="6"/>
  <c r="R22" i="6" s="1"/>
  <c r="S22" i="6"/>
  <c r="H26" i="6"/>
  <c r="R26" i="6" s="1"/>
  <c r="R24" i="6"/>
  <c r="C10" i="69"/>
  <c r="C8" i="69" s="1"/>
  <c r="C5" i="69" s="1"/>
  <c r="C23" i="69" s="1"/>
  <c r="D19" i="69"/>
  <c r="C16" i="12"/>
  <c r="C33" i="11"/>
  <c r="C39" i="11" s="1"/>
  <c r="C46" i="11" s="1"/>
  <c r="C45" i="11" s="1"/>
  <c r="E29" i="43"/>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8" i="12" l="1"/>
  <c r="C21" i="12" s="1"/>
  <c r="C22" i="12" s="1"/>
  <c r="C27" i="12" s="1"/>
  <c r="C25" i="12" s="1"/>
  <c r="C42" i="11"/>
  <c r="C43" i="11"/>
  <c r="C19" i="69"/>
  <c r="C24" i="69" s="1"/>
  <c r="D37" i="69"/>
  <c r="C37" i="69" s="1"/>
  <c r="C33" i="69" s="1"/>
  <c r="C19" i="68"/>
  <c r="D37" i="68"/>
  <c r="C37" i="68" s="1"/>
  <c r="C33" i="68" s="1"/>
  <c r="I5" i="6"/>
  <c r="M27" i="6"/>
  <c r="I19" i="6"/>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5" i="69" s="1"/>
  <c r="C22" i="69" s="1"/>
  <c r="C41" i="11"/>
  <c r="C49" i="11" s="1"/>
  <c r="C51" i="11" s="1"/>
  <c r="C52" i="11" s="1"/>
  <c r="B2" i="11" s="1"/>
  <c r="B3" i="11" s="1"/>
  <c r="B3" i="76"/>
  <c r="S19" i="6"/>
  <c r="S27" i="6" s="1"/>
  <c r="H19" i="6"/>
  <c r="I27" i="6"/>
  <c r="C20" i="68"/>
  <c r="C25" i="68" s="1"/>
  <c r="C24" i="68"/>
  <c r="C39" i="69"/>
  <c r="C43" i="69" s="1"/>
  <c r="C42" i="69"/>
  <c r="C39" i="68"/>
  <c r="C42" i="68"/>
  <c r="C28" i="69"/>
  <c r="C27"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41" i="69"/>
  <c r="C22" i="68"/>
  <c r="C46" i="69"/>
  <c r="C45" i="69" s="1"/>
  <c r="C46" i="68"/>
  <c r="C45" i="68" s="1"/>
  <c r="C43" i="68"/>
  <c r="C41" i="68" s="1"/>
  <c r="C28" i="68"/>
  <c r="C27" i="68" s="1"/>
  <c r="R19" i="6"/>
  <c r="H27" i="6"/>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31" i="68"/>
  <c r="C49" i="68"/>
  <c r="C51" i="68" s="1"/>
  <c r="R27" i="6"/>
  <c r="R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F63" i="15" l="1"/>
  <c r="C62" i="15" s="1"/>
  <c r="C59" i="15" s="1"/>
  <c r="C58" i="15" s="1"/>
  <c r="C67" i="15" s="1"/>
  <c r="C68" i="15" s="1"/>
  <c r="C34" i="15"/>
  <c r="C31" i="15" s="1"/>
  <c r="C30" i="15" s="1"/>
  <c r="C39" i="15" s="1"/>
  <c r="J20" i="15"/>
  <c r="J17" i="15" s="1"/>
  <c r="J16" i="15" s="1"/>
  <c r="J25" i="15" s="1"/>
  <c r="R16" i="1"/>
  <c r="C52" i="68"/>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B3" i="68"/>
  <c r="L51" i="15"/>
  <c r="C102" i="9" l="1"/>
  <c r="C21" i="9"/>
  <c r="L57" i="15"/>
  <c r="L60" i="15" s="1"/>
  <c r="Q67" i="15"/>
  <c r="C80" i="15"/>
  <c r="C79" i="15" s="1"/>
  <c r="Q69" i="15"/>
  <c r="Q68" i="15" s="1"/>
  <c r="C40" i="15"/>
  <c r="C46" i="15" s="1"/>
  <c r="C71" i="15"/>
  <c r="C57" i="68"/>
  <c r="H7" i="39"/>
  <c r="J7" i="39"/>
  <c r="AA7" i="39"/>
  <c r="R47" i="39" s="1"/>
  <c r="S7" i="39"/>
  <c r="R39" i="35"/>
  <c r="E38" i="35"/>
  <c r="M63" i="40"/>
  <c r="L65" i="40"/>
  <c r="D35" i="9"/>
  <c r="C20" i="9"/>
  <c r="C103" i="9" l="1"/>
  <c r="C56" i="68"/>
  <c r="Q56" i="15"/>
  <c r="C43" i="15"/>
  <c r="C83" i="15"/>
  <c r="C82" i="15" s="1"/>
  <c r="Q65" i="15"/>
  <c r="Q47" i="15"/>
  <c r="Q53" i="15" s="1"/>
  <c r="L46" i="15"/>
  <c r="B2" i="15" s="1"/>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19" i="9"/>
  <c r="D34" i="9"/>
  <c r="Q75" i="15" l="1"/>
  <c r="G19" i="9"/>
  <c r="G21" i="9" s="1"/>
  <c r="D22" i="9"/>
  <c r="D102" i="9"/>
  <c r="D21" i="9"/>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G4" i="52" s="1"/>
  <c r="B52" i="72" s="1"/>
  <c r="D119" i="9"/>
  <c r="D5" i="52" s="1"/>
  <c r="B49" i="72" s="1"/>
  <c r="C104" i="9"/>
  <c r="H119" i="9"/>
  <c r="H5" i="52" s="1"/>
  <c r="H4" i="52"/>
  <c r="D14" i="74"/>
  <c r="H101" i="9"/>
  <c r="I118" i="9"/>
  <c r="I4" i="52" l="1"/>
  <c r="H102" i="9"/>
  <c r="D7" i="53" s="1"/>
  <c r="B21" i="72" s="1"/>
  <c r="C105" i="9"/>
  <c r="E118" i="9"/>
  <c r="E4" i="52" s="1"/>
  <c r="B48" i="72" s="1"/>
  <c r="F14" i="74"/>
  <c r="B5" i="74"/>
  <c r="E14" i="74"/>
  <c r="M48" i="9"/>
  <c r="D5" i="53"/>
  <c r="H107" i="9"/>
  <c r="D45" i="9"/>
  <c r="D5" i="74" l="1"/>
  <c r="C5" i="74"/>
  <c r="D13" i="53"/>
  <c r="D122" i="9"/>
  <c r="H108" i="9"/>
  <c r="D15" i="53" s="1"/>
  <c r="B31" i="72" s="1"/>
  <c r="M49" i="9"/>
  <c r="D53" i="9"/>
  <c r="D52" i="9"/>
  <c r="C93" i="9"/>
  <c r="C86" i="9" s="1"/>
  <c r="C78" i="9"/>
  <c r="C73" i="9" s="1"/>
  <c r="C85" i="9"/>
  <c r="D55" i="9"/>
  <c r="M53" i="9" s="1"/>
  <c r="C72" i="9"/>
  <c r="C64" i="9"/>
  <c r="C63" i="9" s="1"/>
  <c r="C67" i="9" s="1"/>
  <c r="D6" i="53"/>
  <c r="B22" i="72" s="1"/>
  <c r="B20" i="72"/>
  <c r="C79" i="9" l="1"/>
  <c r="C80" i="9" s="1"/>
  <c r="E80" i="9" s="1"/>
  <c r="E81" i="9" s="1"/>
  <c r="C95" i="9"/>
  <c r="C96" i="9" s="1"/>
  <c r="E96" i="9" s="1"/>
  <c r="E97" i="9" s="1"/>
  <c r="C68" i="9"/>
  <c r="D54" i="9" s="1"/>
  <c r="D48" i="9" s="1"/>
  <c r="M52" i="9" s="1"/>
  <c r="D59" i="9"/>
  <c r="M55" i="9" s="1"/>
  <c r="L67" i="9"/>
  <c r="M67" i="9" s="1"/>
  <c r="L64" i="9"/>
  <c r="M64" i="9" s="1"/>
  <c r="L65" i="9"/>
  <c r="M65" i="9" s="1"/>
  <c r="L63" i="9"/>
  <c r="M63" i="9" s="1"/>
  <c r="L68" i="9"/>
  <c r="M68" i="9" s="1"/>
  <c r="L66" i="9"/>
  <c r="M66" i="9" s="1"/>
  <c r="G14" i="74"/>
  <c r="B6" i="74" s="1"/>
  <c r="D8" i="52"/>
  <c r="D123" i="9"/>
  <c r="D9" i="52" s="1"/>
  <c r="B30" i="72"/>
  <c r="D14" i="53"/>
  <c r="B32" i="72" s="1"/>
  <c r="C97" i="9" l="1"/>
  <c r="D58" i="9" s="1"/>
  <c r="D56" i="9" s="1"/>
  <c r="M54" i="9" s="1"/>
  <c r="N57" i="9" s="1"/>
  <c r="P57" i="9" s="1"/>
  <c r="C81" i="9"/>
  <c r="C6" i="74"/>
  <c r="D6" i="74"/>
  <c r="M69" i="9"/>
  <c r="N69" i="9" s="1"/>
  <c r="N58" i="9" l="1"/>
  <c r="N59" i="9"/>
  <c r="N60" i="9" s="1"/>
  <c r="H111" i="9" l="1"/>
  <c r="D19" i="53" s="1"/>
  <c r="N61" i="9"/>
  <c r="H112" i="9" s="1"/>
  <c r="D21" i="53" s="1"/>
  <c r="B39" i="72" s="1"/>
  <c r="D126" i="9" l="1"/>
  <c r="I14" i="74" s="1"/>
  <c r="B8" i="74" s="1"/>
  <c r="B38" i="72"/>
  <c r="D20" i="53"/>
  <c r="B40" i="72" s="1"/>
  <c r="D12" i="52" l="1"/>
  <c r="D127" i="9"/>
  <c r="D13" i="5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<sst xmlns="http://schemas.openxmlformats.org/spreadsheetml/2006/main" count="7409" uniqueCount="3168">
  <si>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</si>
  <si>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</si>
  <si>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</si>
  <si>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</si>
  <si>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</si>
  <si>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</si>
  <si>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</si>
  <si>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</si>
  <si>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</si>
  <si>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</si>
  <si>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</si>
  <si>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</si>
  <si>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</si>
  <si>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</si>
  <si>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</si>
  <si>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</si>
  <si>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</si>
  <si>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</si>
  <si>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</si>
  <si>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</si>
  <si>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</si>
  <si>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</si>
  <si>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</si>
  <si>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</si>
  <si>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</si>
  <si>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</si>
  <si>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</si>
  <si>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</si>
  <si>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</si>
  <si>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</si>
  <si>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</si>
  <si>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</si>
  <si>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</si>
  <si>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</si>
  <si>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</si>
  <si>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</si>
  <si>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</si>
  <si>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</si>
  <si>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</si>
  <si>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</si>
  <si>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</si>
  <si>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</si>
  <si>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</si>
  <si>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</si>
  <si>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</si>
  <si>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</si>
  <si>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</si>
  <si>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</si>
  <si>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</si>
  <si>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</si>
  <si>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</si>
  <si>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</si>
  <si>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</si>
  <si>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</si>
  <si>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</si>
  <si>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</si>
  <si>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</si>
  <si>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</si>
  <si>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</si>
  <si>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</si>
  <si>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</si>
  <si>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</si>
  <si>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</si>
  <si>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</si>
  <si>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</si>
  <si>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</si>
  <si>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</si>
  <si>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</si>
  <si>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</si>
  <si>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</si>
  <si>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</si>
  <si>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</si>
  <si>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</si>
  <si>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</si>
  <si>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</si>
  <si>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</si>
  <si>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</si>
  <si>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</si>
  <si>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</si>
  <si>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</si>
  <si>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</si>
  <si>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</si>
  <si>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</si>
  <si>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</si>
  <si>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</si>
  <si>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</si>
  <si>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</si>
  <si>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</si>
  <si>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</si>
  <si>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</si>
  <si>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</si>
  <si>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</si>
  <si>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</si>
  <si>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</si>
  <si>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</si>
  <si>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</si>
  <si>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</si>
  <si>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</si>
  <si>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</si>
  <si>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</si>
  <si>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</si>
  <si>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</si>
  <si>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</si>
  <si>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</si>
  <si>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</si>
  <si>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</si>
  <si>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</si>
  <si>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</si>
  <si>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</si>
  <si>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</si>
  <si>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</si>
  <si>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</si>
  <si>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</si>
  <si>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</si>
  <si>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</si>
  <si>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</si>
  <si>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</si>
  <si>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</si>
  <si>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</si>
  <si>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</si>
  <si>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</si>
  <si>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</si>
  <si>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</si>
  <si>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</si>
  <si>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</si>
  <si>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</si>
  <si>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</si>
  <si>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</si>
  <si>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</si>
  <si>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</si>
  <si>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</si>
  <si>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</si>
  <si>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</si>
  <si>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</si>
  <si>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</si>
  <si>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</si>
  <si>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</si>
  <si>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</si>
  <si>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</si>
  <si>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</si>
  <si>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</si>
  <si>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</si>
  <si>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</si>
  <si>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</si>
  <si>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</si>
  <si>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</si>
  <si>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</si>
  <si>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</si>
  <si>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</si>
  <si>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</si>
  <si>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</si>
  <si>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</si>
  <si>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</si>
  <si>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</si>
  <si>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</si>
  <si>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</si>
  <si>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</si>
  <si>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</si>
  <si>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</si>
  <si>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</si>
  <si>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</si>
  <si>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</si>
  <si>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</si>
  <si>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</si>
  <si>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</si>
  <si>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</si>
  <si>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</si>
  <si>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</si>
  <si>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</si>
  <si>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</si>
  <si>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</si>
  <si>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</si>
  <si>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</si>
  <si>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</si>
  <si>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</si>
  <si>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</si>
  <si>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</si>
  <si>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</si>
  <si>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</si>
  <si>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</si>
  <si>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</si>
  <si>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</si>
  <si>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</si>
  <si>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</si>
  <si>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</si>
  <si>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</si>
  <si>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</si>
  <si>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</si>
  <si>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</si>
  <si>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</si>
  <si>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</si>
  <si>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</si>
  <si>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</si>
  <si>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</si>
  <si>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</si>
  <si>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</si>
  <si>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</si>
  <si>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</si>
  <si>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</si>
  <si>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</si>
  <si>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</si>
  <si>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</si>
  <si>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</si>
  <si>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</si>
  <si>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</si>
  <si>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</si>
  <si>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</si>
  <si>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</si>
  <si>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</si>
  <si>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</si>
  <si>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</si>
  <si>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</si>
  <si>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</si>
  <si>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</si>
  <si>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</si>
  <si>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</si>
  <si>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</si>
  <si>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</si>
  <si>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</si>
  <si>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</si>
  <si>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</si>
  <si>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</si>
  <si>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</si>
  <si>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</si>
  <si>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</si>
  <si>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</si>
  <si>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</si>
  <si>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</si>
  <si>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</si>
  <si>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</si>
  <si>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</si>
  <si>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</si>
  <si>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</si>
  <si>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</si>
  <si>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</si>
  <si>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</si>
  <si>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</si>
  <si>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</si>
  <si>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</si>
  <si>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</si>
  <si>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</si>
  <si>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</si>
  <si>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</si>
  <si>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</si>
  <si>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</si>
  <si>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</si>
  <si>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</si>
  <si>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</si>
  <si>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</si>
  <si>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</si>
  <si>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</si>
  <si>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</si>
  <si>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</si>
  <si>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</si>
  <si>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</si>
  <si>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</si>
  <si>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</si>
  <si>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</si>
  <si>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</si>
  <si>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</si>
  <si>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</si>
  <si>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</si>
  <si>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</si>
  <si>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</si>
  <si>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</si>
  <si>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</si>
  <si>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</si>
  <si>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</si>
  <si>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</si>
  <si>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</si>
  <si>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</si>
  <si>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</si>
  <si>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</si>
  <si>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</si>
  <si>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</si>
  <si>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</si>
  <si>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</si>
  <si>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</si>
  <si>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</si>
  <si>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</si>
  <si>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</si>
  <si>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</si>
  <si>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</si>
  <si>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</si>
  <si>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</si>
  <si>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</si>
  <si>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</si>
  <si>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</si>
  <si>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</si>
  <si>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</si>
  <si>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</si>
  <si>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</si>
  <si>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</si>
  <si>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</si>
  <si>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</si>
  <si>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</si>
  <si>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</si>
  <si>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</si>
  <si>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</si>
  <si>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</si>
  <si>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</si>
  <si>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</si>
  <si>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</si>
  <si>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</si>
  <si>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</si>
  <si>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</si>
  <si>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</si>
  <si>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</si>
  <si>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</si>
  <si>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</si>
  <si>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</si>
  <si>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</si>
  <si>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</si>
  <si>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</si>
  <si>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</si>
  <si>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</si>
  <si>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</si>
  <si>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</si>
  <si>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</si>
  <si>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</si>
  <si>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</si>
  <si>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</si>
  <si>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</si>
  <si>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</si>
  <si>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</si>
  <si>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</si>
  <si>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</si>
  <si>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</si>
  <si>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</si>
  <si>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</si>
  <si>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</si>
  <si>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</si>
  <si>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</si>
  <si>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</si>
  <si>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</si>
  <si>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</si>
  <si>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</si>
  <si>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</si>
  <si>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</si>
  <si>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</si>
  <si>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</si>
  <si>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</si>
  <si>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</si>
  <si>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</si>
  <si>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</si>
  <si>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</si>
  <si>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</si>
  <si>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</si>
  <si>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</si>
  <si>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</si>
  <si>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</si>
  <si>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</si>
  <si>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</si>
  <si>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</si>
  <si>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</si>
  <si>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</si>
  <si>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</si>
  <si>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</si>
  <si>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</si>
  <si>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</si>
  <si>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</si>
  <si>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</si>
  <si>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</si>
  <si>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</si>
  <si>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</si>
  <si>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</si>
  <si>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</si>
  <si>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</si>
  <si>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</si>
  <si>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</si>
  <si>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</si>
  <si>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</si>
  <si>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</si>
  <si>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</si>
  <si>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</si>
  <si>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</si>
  <si>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</si>
  <si>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</si>
  <si>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</si>
  <si>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</si>
  <si>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</si>
  <si>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</si>
  <si>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</si>
  <si>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</si>
  <si>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</si>
  <si>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</si>
  <si>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</si>
  <si>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</si>
  <si>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</si>
  <si>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</si>
  <si>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</si>
  <si>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</si>
  <si>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</si>
  <si>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</si>
  <si>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</si>
  <si>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</si>
  <si>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</si>
  <si>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</si>
  <si>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</si>
  <si>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</si>
  <si>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</si>
  <si>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</si>
  <si>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</si>
  <si>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</si>
  <si>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</si>
  <si>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</si>
  <si>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</si>
  <si>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</si>
  <si>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</si>
  <si>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</si>
  <si>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</si>
  <si>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</si>
  <si>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</si>
  <si>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</si>
  <si>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</si>
  <si>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</si>
  <si>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</si>
  <si>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</si>
  <si>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</si>
  <si>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</si>
  <si>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</si>
  <si>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</si>
  <si>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</si>
  <si>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</si>
  <si>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</si>
  <si>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</si>
  <si>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</si>
  <si>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</si>
  <si>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</si>
  <si>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</si>
  <si>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</si>
  <si>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</si>
  <si>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</si>
  <si>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</si>
  <si>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</si>
  <si>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</si>
  <si>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</si>
  <si>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</si>
  <si>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</si>
  <si>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</si>
  <si>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</si>
  <si>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</si>
  <si>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</si>
  <si>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</si>
  <si>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</si>
  <si>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</si>
  <si>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</si>
  <si>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</si>
  <si>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</si>
  <si>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</si>
  <si>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</si>
  <si>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</si>
  <si>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</si>
  <si>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</si>
  <si>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</si>
  <si>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</si>
  <si>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</si>
  <si>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</si>
  <si>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</si>
  <si>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</si>
  <si>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</si>
  <si>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</si>
  <si>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</si>
  <si>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</si>
  <si>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</si>
  <si>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</si>
  <si>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</si>
  <si>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</si>
  <si>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</si>
  <si>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</si>
  <si>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</si>
  <si>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</si>
  <si>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</si>
  <si>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</si>
  <si>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</si>
  <si>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</si>
  <si>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</si>
  <si>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</si>
  <si>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</si>
  <si>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</si>
  <si>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</si>
  <si>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</si>
  <si>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</si>
  <si>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</si>
  <si>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</si>
  <si>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</si>
  <si>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</si>
  <si>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</si>
  <si>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</si>
  <si>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</si>
  <si>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</si>
  <si>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</si>
  <si>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</si>
  <si>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</si>
  <si>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</si>
  <si>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</si>
  <si>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</si>
  <si>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</si>
  <si>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</si>
  <si>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</si>
  <si>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</si>
  <si>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</si>
  <si>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</si>
  <si>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</si>
  <si>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</si>
  <si>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</si>
  <si>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</si>
  <si>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</si>
  <si>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</si>
  <si>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</si>
  <si>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</si>
  <si>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</si>
  <si>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</si>
  <si>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</si>
  <si>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</si>
  <si>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</si>
  <si>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</si>
  <si>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</si>
  <si>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</si>
  <si>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</si>
  <si>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</si>
  <si>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</si>
  <si>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</si>
  <si>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</si>
  <si>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</si>
  <si>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</si>
  <si>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</si>
  <si>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</si>
  <si>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</si>
  <si>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</si>
  <si>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</si>
  <si>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</si>
  <si>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</si>
  <si>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</si>
  <si>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</si>
  <si>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</si>
  <si>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</si>
  <si>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</si>
  <si>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</si>
  <si>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</si>
  <si>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</si>
  <si>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</si>
  <si>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</si>
  <si>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</si>
  <si>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</si>
  <si>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</si>
  <si>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</si>
  <si>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</si>
  <si>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</si>
  <si>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</si>
  <si>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</si>
  <si>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</si>
  <si>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</si>
  <si>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</si>
  <si>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</si>
  <si>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</si>
  <si>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</si>
  <si>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</si>
  <si>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</si>
  <si>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</si>
  <si>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</si>
  <si>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</si>
  <si>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</si>
  <si>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</si>
  <si>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</si>
  <si>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</si>
  <si>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</si>
  <si>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</si>
  <si>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</si>
  <si>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</si>
  <si>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</si>
  <si>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</si>
  <si>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</si>
  <si>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</si>
  <si>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</si>
  <si>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</si>
  <si>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</si>
  <si>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</si>
  <si>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</si>
  <si>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</si>
  <si>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</si>
  <si>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</si>
  <si>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</si>
  <si>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</si>
  <si>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</si>
  <si>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</si>
  <si>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</si>
  <si>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</si>
  <si>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</si>
  <si>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</si>
  <si>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</si>
  <si>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</si>
  <si>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</si>
  <si>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</si>
  <si>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</si>
  <si>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</si>
  <si>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</si>
  <si>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</si>
  <si>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</si>
  <si>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</si>
  <si>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</si>
  <si>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</si>
  <si>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</si>
  <si>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</si>
  <si>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</si>
  <si>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</si>
  <si>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</si>
  <si>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</si>
  <si>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</si>
  <si>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</si>
  <si>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</si>
  <si>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</si>
  <si>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</si>
  <si>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</si>
  <si>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</si>
  <si>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</si>
  <si>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</si>
  <si>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</si>
  <si>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</si>
  <si>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</si>
  <si>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</si>
  <si>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</si>
  <si>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</si>
  <si>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</si>
  <si>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</si>
  <si>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</si>
  <si>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</si>
  <si>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</si>
  <si>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</si>
  <si>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</si>
  <si>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</si>
  <si>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</si>
  <si>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</si>
  <si>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</si>
  <si>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</si>
  <si>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</si>
  <si>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</si>
  <si>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</si>
  <si>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</si>
  <si>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</si>
  <si>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</si>
  <si>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</si>
  <si>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</si>
  <si>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</si>
  <si>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</si>
  <si>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</si>
  <si>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</si>
  <si>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</si>
  <si>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</si>
  <si>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</si>
  <si>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</si>
  <si>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</si>
  <si>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</si>
  <si>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</si>
  <si>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</si>
  <si>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</si>
  <si>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</si>
  <si>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</si>
  <si>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</si>
  <si>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</si>
  <si>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</si>
  <si>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</si>
  <si>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</si>
  <si>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</si>
  <si>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</si>
  <si>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</si>
  <si>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</si>
  <si>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</si>
  <si>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</si>
  <si>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</si>
  <si>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</si>
  <si>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</si>
  <si>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</si>
  <si>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</si>
  <si>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</si>
  <si>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</si>
  <si>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</si>
  <si>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</si>
  <si>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</si>
  <si>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</si>
  <si>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</si>
  <si>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</si>
  <si>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</si>
  <si>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</si>
  <si>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</si>
  <si>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</si>
  <si>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</si>
  <si>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</si>
  <si>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</si>
  <si>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</si>
  <si>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</si>
  <si>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</si>
  <si>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</si>
  <si>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</si>
  <si>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</si>
  <si>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</si>
  <si>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</si>
  <si>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</si>
  <si>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</si>
  <si>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</si>
  <si>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</si>
  <si>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</si>
  <si>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</si>
  <si>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</si>
  <si>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</si>
  <si>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</si>
  <si>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</si>
  <si>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</si>
  <si>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</si>
  <si>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</si>
  <si>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</si>
  <si>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</si>
  <si>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</si>
  <si>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</si>
  <si>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</si>
  <si>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</si>
  <si>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</si>
  <si>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</si>
  <si>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</si>
  <si>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</si>
  <si>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</si>
  <si>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</si>
  <si>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</si>
  <si>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</si>
  <si>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</si>
  <si>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</si>
  <si>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</si>
  <si>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</si>
  <si>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</si>
  <si>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</si>
  <si>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</si>
  <si>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</si>
  <si>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</si>
  <si>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</si>
  <si>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</si>
  <si>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</si>
  <si>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</si>
  <si>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</si>
  <si>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</si>
  <si>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</si>
  <si>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</si>
  <si>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</si>
  <si>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</si>
  <si>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</si>
  <si>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</si>
  <si>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</si>
  <si>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</si>
  <si>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</si>
  <si>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</si>
  <si>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</si>
  <si>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</si>
  <si>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</si>
  <si>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</si>
  <si>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</si>
  <si>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</si>
  <si>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</si>
  <si>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</si>
  <si>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</si>
  <si>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</si>
  <si>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</si>
  <si>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</si>
  <si>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</si>
  <si>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</si>
  <si>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</si>
  <si>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</si>
  <si>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</si>
  <si>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</si>
  <si>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</si>
  <si>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</si>
  <si>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</si>
  <si>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</si>
  <si>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</si>
  <si>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</si>
  <si>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</si>
  <si>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</si>
  <si>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</si>
  <si>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</si>
  <si>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</si>
  <si>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</si>
  <si>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</si>
  <si>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</si>
  <si>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</si>
  <si>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</si>
  <si>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</si>
  <si>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</si>
  <si>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</si>
  <si>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</si>
  <si>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</si>
  <si>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</si>
  <si>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</si>
  <si>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</si>
  <si>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</si>
  <si>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</si>
  <si>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</si>
  <si>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</si>
  <si>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</si>
  <si>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</si>
  <si>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</si>
  <si>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</si>
  <si>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</si>
  <si>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</si>
  <si>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</si>
  <si>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</si>
  <si>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</si>
  <si>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</si>
  <si>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</si>
  <si>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</si>
  <si>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</si>
  <si>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</si>
  <si>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</si>
  <si>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</si>
  <si>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</si>
  <si>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</si>
  <si>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</si>
  <si>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</si>
  <si>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</si>
  <si>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</si>
  <si>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</si>
  <si>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</si>
  <si>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</si>
  <si>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</si>
  <si>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</si>
  <si>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</si>
  <si>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</si>
  <si>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</si>
  <si>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</si>
  <si>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</si>
  <si>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</si>
  <si>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</si>
  <si>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</si>
  <si>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</si>
  <si>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</si>
  <si>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</si>
  <si>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</si>
  <si>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</si>
  <si>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</si>
  <si>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</si>
  <si>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</si>
  <si>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</si>
  <si>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</si>
  <si>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</si>
  <si>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</si>
  <si>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</si>
  <si>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</si>
  <si>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</si>
  <si>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</si>
  <si>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</si>
  <si>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</si>
  <si>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</si>
  <si>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</si>
  <si>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</si>
  <si>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</si>
  <si>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</si>
  <si>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</si>
  <si>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</si>
  <si>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</si>
  <si>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</si>
  <si>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</si>
  <si>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</si>
  <si>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</si>
  <si>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</si>
  <si>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</si>
  <si>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</si>
  <si>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</si>
  <si>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</si>
  <si>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</si>
  <si>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</si>
  <si>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</si>
  <si>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</si>
  <si>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</si>
  <si>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</si>
  <si>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</si>
  <si>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</si>
  <si>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</si>
  <si>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</si>
  <si>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</si>
  <si>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</si>
  <si>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</si>
  <si>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</si>
  <si>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</si>
  <si>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</si>
  <si>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</si>
  <si>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</si>
  <si>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</si>
  <si>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</si>
  <si>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</si>
  <si>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</si>
  <si>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</si>
  <si>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</si>
  <si>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</si>
  <si>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</si>
  <si>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</si>
  <si>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</si>
  <si>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</si>
  <si>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</si>
  <si>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</si>
  <si>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</si>
  <si>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</si>
  <si>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</si>
  <si>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</si>
  <si>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</si>
  <si>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</si>
  <si>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</si>
  <si>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</si>
  <si>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</si>
  <si>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</si>
  <si>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</si>
  <si>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</si>
  <si>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</si>
  <si>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</si>
  <si>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</si>
  <si>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</si>
  <si>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</si>
  <si>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</si>
  <si>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</si>
  <si>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</si>
  <si>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</si>
  <si>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</si>
  <si>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</si>
  <si>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</si>
  <si>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</si>
  <si>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</si>
  <si>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</si>
  <si>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</si>
  <si>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</si>
  <si>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</si>
  <si>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</si>
  <si>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</si>
  <si>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</si>
  <si>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</si>
  <si>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</si>
  <si>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</si>
  <si>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</si>
  <si>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</si>
  <si>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</si>
  <si>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</si>
  <si>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</si>
  <si>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</si>
  <si>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</si>
  <si>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</si>
  <si>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</si>
  <si>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</si>
  <si>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</si>
  <si>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</si>
  <si>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</si>
  <si>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</si>
  <si>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</si>
  <si>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</si>
  <si>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</si>
  <si>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</si>
  <si>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</si>
  <si>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</si>
  <si>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</si>
  <si>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</si>
  <si>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</si>
  <si>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</si>
  <si>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</si>
  <si>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</si>
  <si>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</si>
  <si>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</si>
  <si>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</si>
  <si>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</si>
  <si>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</si>
  <si>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</si>
  <si>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</si>
  <si>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</si>
  <si>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</si>
  <si>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</si>
  <si>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</si>
  <si>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</si>
  <si>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</si>
  <si>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</si>
  <si>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</si>
  <si>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</si>
  <si>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</si>
  <si>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</si>
  <si>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</si>
  <si>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</si>
  <si>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</si>
  <si>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</si>
  <si>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</si>
  <si>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</si>
  <si>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</si>
  <si>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</si>
  <si>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</si>
  <si>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</si>
  <si>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</si>
  <si>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</si>
  <si>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</si>
  <si>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</si>
  <si>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</si>
  <si>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</si>
  <si>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</si>
  <si>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</si>
  <si>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</si>
  <si>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</si>
  <si>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</si>
  <si>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</si>
  <si>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</si>
  <si>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</si>
  <si>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</si>
  <si>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</si>
  <si>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</si>
  <si>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</si>
  <si>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</si>
  <si>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</si>
  <si>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</si>
  <si>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</si>
  <si>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</si>
  <si>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</si>
  <si>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</si>
  <si>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</si>
  <si>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</si>
  <si>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</si>
  <si>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</si>
  <si>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</si>
  <si>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</si>
  <si>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</si>
  <si>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</si>
  <si>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</si>
  <si>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</si>
  <si>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</si>
  <si>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</si>
  <si>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</si>
  <si>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</si>
  <si>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</si>
  <si>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</si>
  <si>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</si>
  <si>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</si>
  <si>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</si>
  <si>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</si>
  <si>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</si>
  <si>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</si>
  <si>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</si>
  <si>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</si>
  <si>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</si>
  <si>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</si>
  <si>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</si>
  <si>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</si>
  <si>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</si>
  <si>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</si>
  <si>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</si>
  <si>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</si>
  <si>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</si>
  <si>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</si>
  <si>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</si>
  <si>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</si>
  <si>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</si>
  <si>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</si>
  <si>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</si>
  <si>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</si>
  <si>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</si>
  <si>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</si>
  <si>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</si>
  <si>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</si>
  <si>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</si>
  <si>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</si>
  <si>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</si>
  <si>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</si>
  <si>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</si>
  <si>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</si>
  <si>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</si>
  <si>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</si>
  <si>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</si>
  <si>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</si>
  <si>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</si>
  <si>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</si>
  <si>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</si>
  <si>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</si>
  <si>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</si>
  <si>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</si>
  <si>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</si>
  <si>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</si>
  <si>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</si>
  <si>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</si>
  <si>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</si>
  <si>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</si>
  <si>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</si>
  <si>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</si>
  <si>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</si>
  <si>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</si>
  <si>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</si>
  <si>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</si>
  <si>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</si>
  <si>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</si>
  <si>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</si>
  <si>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</si>
  <si>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</si>
  <si>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</si>
  <si>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</si>
  <si>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</si>
  <si>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</si>
  <si>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</si>
  <si>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</si>
  <si>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</si>
  <si>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</si>
  <si>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</si>
  <si>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</si>
  <si>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</si>
  <si>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</si>
  <si>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</si>
  <si>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</si>
  <si>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</si>
  <si>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</si>
  <si>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</si>
  <si>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</si>
  <si>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</si>
  <si>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</si>
  <si>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</si>
  <si>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</si>
  <si>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</si>
  <si>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</si>
  <si>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</si>
  <si>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</si>
  <si>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</si>
  <si>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</si>
  <si>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</si>
  <si>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</si>
  <si>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</si>
  <si>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</si>
  <si>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</si>
  <si>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</si>
  <si>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</si>
  <si>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</si>
  <si>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</si>
  <si>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</si>
  <si>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</si>
  <si>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</si>
  <si>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</si>
  <si>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</si>
  <si>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</si>
  <si>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</si>
  <si>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</si>
  <si>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</si>
  <si>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</si>
  <si>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</si>
  <si>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</si>
  <si>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</si>
  <si>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</si>
  <si>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</si>
  <si>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</si>
  <si>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</si>
  <si>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</si>
  <si>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</si>
  <si>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</si>
  <si>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</si>
  <si>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</si>
  <si>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</si>
  <si>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</si>
  <si>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</si>
  <si>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</si>
  <si>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</si>
  <si>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</si>
  <si>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</si>
  <si>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</si>
  <si>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</si>
  <si>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</si>
  <si>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</si>
  <si>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</si>
  <si>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</si>
  <si>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</si>
  <si>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</si>
  <si>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</si>
  <si>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</si>
  <si>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</si>
  <si>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</si>
  <si>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</si>
  <si>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</si>
  <si>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</si>
  <si>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</si>
  <si>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</si>
  <si>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</si>
  <si>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</si>
  <si>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</si>
  <si>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</si>
  <si>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</si>
  <si>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</si>
  <si>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</si>
  <si>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</si>
  <si>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</si>
  <si>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</si>
  <si>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</si>
  <si>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</si>
  <si>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</si>
  <si>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</si>
  <si>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</si>
  <si>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</si>
  <si>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</si>
  <si>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</si>
  <si>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</si>
  <si>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</si>
  <si>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</si>
  <si>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</si>
  <si>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</si>
  <si>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</si>
  <si>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</si>
  <si>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</si>
  <si>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</si>
  <si>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</si>
  <si>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</si>
  <si>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</si>
  <si>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</si>
  <si>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</si>
  <si>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</si>
  <si>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</si>
  <si>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</si>
  <si>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</si>
  <si>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</si>
  <si>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</si>
  <si>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</si>
  <si>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</si>
  <si>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</si>
  <si>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</si>
  <si>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</si>
  <si>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</si>
  <si>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</si>
  <si>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</si>
  <si>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</si>
  <si>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</si>
  <si>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</si>
  <si>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</si>
  <si>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</si>
  <si>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</si>
  <si>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</si>
  <si>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</si>
  <si>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</si>
  <si>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</si>
  <si>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</si>
  <si>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</si>
  <si>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</si>
  <si>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</si>
  <si>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</si>
  <si>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</si>
  <si>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</si>
  <si>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</si>
  <si>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</si>
  <si>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</si>
  <si>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</si>
  <si>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</si>
  <si>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</si>
  <si>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</si>
  <si>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</si>
  <si>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</si>
  <si>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</si>
  <si>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</si>
  <si>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</si>
  <si>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</si>
  <si>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</si>
  <si>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</si>
  <si>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</si>
  <si>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</si>
  <si>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</si>
  <si>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</si>
  <si>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</si>
  <si>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</si>
  <si>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</si>
  <si>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</si>
  <si>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</si>
  <si>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</si>
  <si>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</si>
  <si>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</si>
  <si>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</si>
  <si>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</si>
  <si>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</si>
  <si>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</si>
  <si>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</si>
  <si>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</si>
  <si>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</si>
  <si>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</si>
  <si>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</si>
  <si>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</si>
  <si>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</si>
  <si>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</si>
  <si>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</si>
  <si>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</si>
  <si>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</si>
  <si>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</si>
  <si>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</si>
  <si>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</si>
  <si>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</si>
  <si>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</si>
  <si>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</si>
  <si>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</si>
  <si>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</si>
  <si>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</si>
  <si>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</si>
  <si>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</si>
  <si>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</si>
  <si>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</si>
  <si>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</si>
  <si>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</si>
  <si>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</si>
  <si>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</si>
  <si>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</si>
  <si>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</si>
  <si>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</si>
  <si>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</si>
  <si>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</si>
  <si>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</si>
  <si>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</si>
  <si>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</si>
  <si>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</si>
  <si>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</si>
  <si>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</si>
  <si>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</si>
  <si>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</si>
  <si>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</si>
  <si>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</si>
  <si>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</si>
  <si>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</si>
  <si>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</si>
  <si>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</si>
  <si>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</si>
  <si>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</si>
  <si>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</si>
  <si>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</si>
  <si>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</si>
  <si>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</si>
  <si>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</si>
  <si>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</si>
  <si>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</si>
  <si>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</si>
  <si>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</si>
  <si>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</si>
  <si>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</si>
  <si>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</si>
  <si>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</si>
  <si>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</si>
  <si>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</si>
  <si>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</si>
  <si>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</si>
  <si>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</si>
  <si>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</si>
  <si>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</si>
  <si>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</si>
  <si>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</si>
  <si>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</si>
  <si>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</si>
  <si>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</si>
  <si>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</si>
  <si>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</si>
  <si>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</si>
  <si>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</si>
  <si>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</si>
  <si>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</si>
  <si>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</si>
  <si>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</si>
  <si>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</si>
  <si>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</si>
  <si>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</si>
  <si>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</si>
  <si>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</si>
  <si>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</si>
  <si>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</si>
  <si>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</si>
  <si>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</si>
  <si>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</si>
  <si>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</si>
  <si>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</si>
  <si>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</si>
  <si>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</si>
  <si>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</si>
  <si>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</si>
  <si>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</si>
  <si>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</si>
  <si>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</si>
  <si>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</si>
  <si>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</si>
  <si>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</si>
  <si>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</si>
  <si>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</si>
  <si>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</si>
  <si>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</si>
  <si>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</si>
  <si>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</si>
  <si>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</si>
  <si>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</si>
  <si>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</si>
  <si>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</si>
  <si>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</si>
  <si>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</si>
  <si>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</si>
  <si>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</si>
  <si>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</si>
  <si>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</si>
  <si>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</si>
  <si>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</si>
  <si>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</si>
  <si>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</si>
  <si>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</si>
  <si>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</si>
  <si>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</si>
  <si>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</si>
  <si>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</si>
  <si>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</si>
  <si>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</si>
  <si>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</si>
  <si>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</si>
  <si>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</si>
  <si>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</si>
  <si>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</si>
  <si>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</si>
  <si>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</si>
  <si>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</si>
  <si>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</si>
  <si>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</si>
  <si>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</si>
  <si>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</si>
  <si>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</si>
  <si>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</si>
  <si>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</si>
  <si>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</si>
  <si>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</si>
  <si>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</si>
  <si>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</si>
  <si>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</si>
  <si>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</si>
  <si>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</si>
  <si>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</si>
  <si>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</si>
  <si>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</si>
  <si>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</si>
  <si>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</si>
  <si>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</si>
  <si>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</si>
  <si>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</si>
  <si>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</si>
  <si>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</si>
  <si>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</si>
  <si>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</si>
  <si>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</si>
  <si>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</si>
  <si>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</si>
  <si>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</si>
  <si>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</si>
  <si>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</si>
  <si>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</si>
  <si>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</si>
  <si>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</si>
  <si>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</si>
  <si>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</si>
  <si>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</si>
  <si>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</si>
  <si>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</si>
  <si>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</si>
  <si>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</si>
  <si>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</si>
  <si>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</si>
  <si>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</si>
  <si>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</si>
  <si>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</si>
  <si>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</si>
  <si>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</si>
  <si>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</si>
  <si>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</si>
  <si>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</si>
  <si>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</si>
  <si>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</si>
  <si>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</si>
  <si>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</si>
  <si>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</si>
  <si>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</si>
  <si>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</si>
  <si>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</si>
  <si>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</si>
  <si>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</si>
  <si>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</si>
  <si>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</si>
  <si>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</si>
  <si>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</si>
  <si>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</si>
  <si>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</si>
  <si>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</si>
  <si>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</si>
  <si>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</si>
  <si>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</si>
  <si>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</si>
  <si>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</si>
  <si>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</si>
  <si>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</si>
  <si>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</si>
  <si>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</si>
  <si>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</si>
  <si>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</si>
  <si>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</si>
  <si>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</si>
  <si>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</si>
  <si>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</si>
  <si>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</si>
  <si>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</si>
  <si>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</si>
  <si>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</si>
  <si>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</si>
  <si>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</si>
  <si>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</si>
  <si>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</si>
  <si>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</si>
  <si>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</si>
  <si>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</si>
  <si>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</si>
  <si>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</si>
  <si>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</si>
  <si>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</si>
  <si>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</si>
  <si>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</si>
  <si>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</si>
  <si>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</si>
  <si>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</si>
  <si>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</si>
  <si>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</si>
  <si>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</si>
  <si>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</si>
  <si>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</si>
  <si>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</si>
  <si>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</si>
  <si>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</si>
  <si>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</si>
  <si>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</si>
  <si>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</si>
  <si>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</si>
  <si>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</si>
  <si>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</si>
  <si>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</si>
  <si>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</si>
  <si>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</si>
  <si>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</si>
  <si>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</si>
  <si>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</si>
  <si>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</si>
  <si>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</si>
  <si>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</si>
  <si>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</si>
  <si>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</si>
  <si>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</si>
  <si>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</si>
  <si>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</si>
  <si>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</si>
  <si>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</si>
  <si>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</si>
  <si>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</si>
  <si>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</si>
  <si>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</si>
  <si>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</si>
  <si>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</si>
  <si>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</si>
  <si>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</si>
  <si>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</si>
  <si>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</si>
  <si>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</si>
  <si>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</si>
  <si>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</si>
  <si>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</si>
  <si>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</si>
  <si>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</si>
  <si>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</si>
  <si>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</si>
  <si>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</si>
  <si>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</si>
  <si>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</si>
  <si>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</si>
  <si>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</si>
  <si>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</si>
  <si>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</si>
  <si>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</si>
  <si>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</si>
  <si>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</si>
  <si>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</si>
  <si>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</si>
  <si>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</si>
  <si>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</si>
  <si>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</si>
  <si>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</si>
  <si>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</si>
  <si>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</si>
  <si>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</si>
  <si>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</si>
  <si>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</si>
  <si>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</si>
  <si>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</si>
  <si>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</si>
  <si>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</si>
  <si>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</si>
  <si>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</si>
  <si>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</si>
  <si>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</si>
  <si>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</si>
  <si>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</si>
  <si>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</si>
  <si>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</si>
  <si>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</si>
  <si>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</si>
  <si>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</si>
  <si>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</si>
  <si>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</si>
  <si>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</si>
  <si>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</si>
  <si>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</si>
  <si>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</si>
  <si>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</si>
  <si>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</si>
  <si>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</si>
  <si>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</si>
  <si>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</si>
  <si>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</si>
  <si>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</si>
  <si>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</si>
  <si>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</si>
  <si>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</si>
  <si>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</si>
  <si>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</si>
  <si>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</si>
  <si>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</si>
  <si>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</si>
  <si>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</si>
  <si>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</si>
  <si>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</si>
  <si>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</si>
  <si>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</si>
  <si>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</si>
  <si>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</si>
  <si>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</si>
  <si>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</si>
  <si>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</si>
  <si>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</si>
  <si>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</si>
  <si>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</si>
  <si>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</si>
  <si>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</si>
  <si>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</si>
  <si>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</si>
  <si>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</si>
  <si>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</si>
  <si>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</si>
  <si>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</si>
  <si>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</si>
  <si>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</si>
  <si>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</si>
  <si>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</si>
  <si>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</si>
  <si>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</si>
  <si>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</si>
  <si>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</si>
  <si>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</si>
  <si>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</si>
  <si>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</si>
  <si>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</si>
  <si>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</si>
  <si>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</si>
  <si>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</si>
  <si>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</si>
  <si>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</si>
  <si>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</si>
  <si>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</si>
  <si>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</si>
  <si>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</si>
  <si>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</si>
  <si>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</si>
  <si>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</si>
  <si>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</si>
  <si>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</si>
  <si>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</si>
  <si>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</si>
  <si>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</si>
  <si>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</si>
  <si>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</si>
  <si>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</si>
  <si>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</si>
  <si>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</si>
  <si>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</si>
  <si>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</si>
  <si>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</si>
  <si>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</si>
  <si>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</si>
  <si>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</si>
  <si>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</si>
  <si>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</si>
  <si>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</si>
  <si>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</si>
  <si>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</si>
  <si>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</si>
  <si>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</si>
  <si>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</si>
  <si>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</si>
  <si>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</si>
  <si>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</si>
  <si>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</si>
  <si>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</si>
  <si>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</si>
  <si>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</si>
  <si>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</si>
  <si>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</si>
  <si>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</si>
  <si>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</si>
  <si>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</si>
  <si>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</si>
  <si>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</si>
  <si>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</si>
  <si>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</si>
  <si>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</si>
  <si>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</si>
  <si>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</si>
  <si>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</si>
  <si>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</si>
  <si>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</si>
  <si>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</si>
  <si>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</si>
  <si>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</si>
  <si>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</si>
  <si>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</si>
  <si>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</si>
  <si>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</si>
  <si>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</si>
  <si>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</si>
  <si>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</si>
  <si>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</si>
  <si>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</si>
  <si>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</si>
  <si>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</si>
  <si>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</si>
  <si>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</si>
  <si>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</si>
  <si>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</si>
  <si>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</si>
  <si>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</si>
  <si>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</si>
  <si>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</si>
  <si>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</si>
  <si>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</si>
  <si>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</si>
  <si>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</si>
  <si>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</si>
  <si>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</si>
  <si>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</si>
  <si>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</si>
  <si>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</si>
  <si>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</si>
  <si>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</si>
  <si>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</si>
  <si>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</si>
  <si>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</si>
  <si>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</si>
  <si>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</si>
  <si>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</si>
  <si>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</si>
  <si>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</si>
  <si>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</si>
  <si>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</si>
  <si>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</si>
  <si>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</si>
  <si>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</si>
  <si>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</si>
  <si>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</si>
  <si>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</si>
  <si>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</si>
  <si>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</si>
  <si>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</si>
  <si>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</si>
  <si>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</si>
  <si>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</si>
  <si>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</si>
  <si>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</si>
  <si>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</si>
  <si>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</si>
  <si>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</si>
  <si>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</si>
  <si>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</si>
  <si>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</si>
  <si>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</si>
  <si>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</si>
  <si>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</si>
  <si>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</si>
  <si>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</si>
  <si>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</si>
  <si>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</si>
  <si>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</si>
  <si>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</si>
  <si>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</si>
  <si>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</si>
  <si>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</si>
  <si>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</si>
  <si>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</si>
  <si>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</si>
  <si>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</si>
  <si>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</si>
  <si>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</si>
  <si>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</si>
  <si>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</si>
  <si>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</si>
  <si>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</si>
  <si>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</si>
  <si>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</si>
  <si>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</si>
  <si>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</si>
  <si>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</si>
  <si>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</si>
  <si>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</si>
  <si>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</si>
  <si>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</si>
  <si>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</si>
  <si>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</si>
  <si>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</si>
  <si>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</si>
  <si>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</si>
  <si>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</si>
  <si>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</si>
  <si>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</si>
  <si>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</si>
  <si>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</si>
  <si>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</si>
  <si>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</si>
  <si>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</si>
  <si>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</si>
  <si>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</si>
  <si>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</si>
  <si>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</si>
  <si>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</si>
  <si>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</si>
  <si>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</si>
  <si>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</si>
  <si>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</si>
  <si>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</si>
  <si>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</si>
  <si>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</si>
  <si>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</si>
  <si>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</si>
  <si>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</si>
  <si>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</si>
  <si>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</si>
  <si>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</si>
  <si>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</si>
  <si>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</si>
  <si>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</si>
  <si>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</si>
  <si>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</si>
  <si>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</si>
  <si>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</si>
  <si>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</si>
  <si>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</si>
  <si>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</si>
  <si>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</si>
  <si>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</si>
  <si>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</si>
  <si>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</si>
  <si>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</si>
  <si>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</si>
  <si>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</si>
  <si>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</si>
  <si>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</si>
  <si>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</si>
  <si>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</si>
  <si>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</si>
  <si>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</si>
  <si>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</si>
  <si>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</si>
  <si>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</si>
  <si>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</si>
  <si>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</si>
  <si>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</si>
  <si>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</si>
  <si>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</si>
  <si>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</si>
  <si>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</si>
  <si>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</si>
  <si>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</si>
  <si>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</si>
  <si>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</si>
  <si>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</si>
  <si>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</si>
  <si>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</si>
  <si>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</si>
  <si>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</si>
  <si>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</si>
  <si>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</si>
  <si>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</si>
  <si>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</si>
  <si>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</si>
  <si>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</si>
  <si>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</si>
  <si>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</si>
  <si>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</si>
  <si>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</si>
  <si>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</si>
  <si>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</si>
  <si>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</si>
  <si>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</si>
  <si>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</si>
  <si>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</si>
  <si>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</si>
  <si>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</si>
  <si>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</si>
  <si>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</si>
  <si>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</si>
  <si>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</si>
  <si>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</si>
  <si>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</si>
  <si>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</si>
  <si>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</si>
  <si>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</si>
  <si>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</si>
  <si>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</si>
  <si>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</si>
  <si>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</si>
  <si>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</si>
  <si>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</si>
  <si>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</si>
  <si>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</si>
  <si>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</si>
  <si>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</si>
  <si>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</si>
  <si>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</si>
  <si>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</si>
  <si>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</si>
  <si>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</si>
  <si>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</si>
  <si>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</si>
  <si>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</si>
  <si>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</si>
  <si>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</si>
  <si>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</si>
  <si>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</si>
  <si>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</si>
  <si>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</si>
  <si>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</si>
  <si>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</si>
  <si>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</si>
  <si>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</si>
  <si>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</si>
  <si>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</si>
  <si>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</si>
  <si>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</si>
  <si>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</si>
  <si>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</si>
  <si>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</si>
  <si>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</si>
  <si>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</si>
  <si>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</si>
  <si>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</si>
  <si>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</si>
  <si>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</si>
  <si>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</si>
  <si>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</si>
  <si>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</si>
  <si>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</si>
  <si>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</si>
  <si>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</si>
  <si>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</si>
  <si>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</si>
  <si>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</si>
  <si>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</si>
  <si>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</si>
  <si>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</si>
  <si>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</si>
  <si>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</si>
  <si>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</si>
  <si>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</si>
  <si>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</si>
  <si>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</si>
  <si>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</si>
  <si>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</si>
  <si>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</si>
  <si>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</si>
  <si>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</si>
  <si>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</si>
  <si>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</si>
  <si>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</si>
  <si>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</si>
  <si>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</si>
  <si>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</si>
  <si>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</si>
  <si>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</si>
  <si>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</si>
  <si>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</si>
  <si>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</si>
  <si>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</si>
  <si>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</si>
  <si>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</si>
  <si>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</si>
  <si>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</si>
  <si>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</si>
  <si>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</si>
  <si>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</si>
  <si>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</si>
  <si>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</si>
  <si>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</si>
  <si>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</si>
  <si>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</si>
  <si>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</si>
  <si>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</si>
  <si>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</si>
  <si>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</si>
  <si>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</si>
  <si>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</si>
  <si>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</si>
  <si>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</si>
  <si>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</si>
  <si>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</si>
  <si>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</si>
  <si>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</si>
  <si>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</si>
  <si>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</si>
  <si>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</si>
  <si>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</si>
  <si>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</si>
  <si>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</si>
  <si>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</si>
  <si>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</si>
  <si>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</si>
  <si>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</si>
  <si>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</si>
  <si>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</si>
  <si>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</si>
  <si>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</si>
  <si>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</si>
  <si>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</si>
  <si>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</si>
  <si>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</si>
  <si>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</si>
  <si>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</si>
  <si>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</si>
  <si>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</si>
  <si>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</si>
  <si>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</si>
  <si>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</si>
  <si>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</si>
  <si>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</si>
  <si>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</si>
  <si>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</si>
  <si>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</si>
  <si>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</si>
  <si>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</si>
  <si>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</si>
  <si>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</si>
  <si>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</si>
  <si>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</si>
  <si>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</si>
  <si>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</si>
  <si>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</si>
  <si>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</si>
  <si>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</si>
  <si>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</si>
  <si>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</si>
  <si>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</si>
  <si>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</si>
  <si>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</si>
  <si>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</si>
  <si>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</si>
  <si>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</si>
  <si>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</si>
  <si>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</si>
  <si>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</si>
  <si>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</si>
  <si>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</si>
  <si>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</si>
  <si>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</si>
  <si>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</si>
  <si>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</si>
  <si>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</si>
  <si>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</si>
  <si>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</si>
  <si>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</si>
  <si>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</si>
  <si>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</si>
  <si>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</si>
  <si>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</si>
  <si>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</si>
  <si>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</si>
  <si>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</si>
  <si>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</si>
  <si>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</si>
  <si>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</si>
  <si>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</si>
  <si>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</si>
  <si>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</si>
  <si>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</si>
  <si>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</si>
  <si>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</si>
  <si>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</si>
  <si>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</si>
  <si>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</si>
  <si>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</si>
  <si>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</si>
  <si>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</si>
  <si>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</si>
  <si>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</si>
  <si>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</si>
  <si>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</si>
  <si>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</si>
  <si>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</si>
  <si>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</si>
  <si>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</si>
  <si>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</si>
  <si>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</si>
  <si>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</si>
  <si>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</si>
  <si>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</si>
  <si>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</si>
  <si>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</si>
  <si>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</si>
  <si>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</si>
  <si>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</si>
  <si>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</si>
  <si>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</si>
  <si>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</si>
  <si>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</si>
  <si>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</si>
  <si>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</si>
  <si>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</si>
  <si>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</si>
  <si>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</si>
  <si>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</si>
  <si>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</si>
  <si>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</si>
  <si>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</si>
  <si>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</si>
  <si>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</si>
  <si>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</si>
  <si>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</si>
  <si>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</si>
  <si>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</si>
  <si>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</si>
  <si>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</si>
  <si>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</si>
  <si>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</si>
  <si>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</si>
  <si>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</si>
  <si>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</si>
  <si>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</si>
  <si>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</si>
  <si>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</si>
  <si>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</si>
  <si>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</si>
  <si>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</si>
  <si>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</si>
  <si>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</si>
  <si>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</si>
  <si>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</si>
  <si>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</si>
  <si>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</si>
  <si>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</si>
  <si>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</si>
  <si>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</si>
  <si>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</si>
  <si>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</si>
  <si>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</si>
  <si>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</si>
  <si>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</si>
  <si>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</si>
  <si>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</si>
  <si>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</si>
  <si>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</si>
  <si>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</si>
  <si>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</si>
  <si>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</si>
  <si>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</si>
  <si>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</si>
  <si>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</si>
  <si>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</si>
  <si>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</si>
  <si>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</si>
  <si>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</si>
  <si>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</si>
  <si>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</si>
  <si>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</si>
  <si>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</si>
  <si>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</si>
  <si>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</si>
  <si>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</si>
  <si>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</si>
  <si>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</si>
  <si>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</si>
  <si>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</si>
  <si>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</si>
  <si>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</si>
  <si>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</si>
  <si>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</si>
  <si>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</si>
  <si>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</si>
  <si>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</si>
  <si>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</si>
  <si>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</si>
  <si>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</si>
  <si>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</si>
  <si>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</si>
  <si>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</si>
  <si>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</si>
  <si>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</si>
  <si>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</si>
  <si>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</si>
  <si>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</si>
  <si>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</si>
  <si>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</si>
  <si>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</si>
  <si>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</si>
  <si>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</si>
  <si>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</si>
  <si>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</si>
  <si>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</si>
  <si>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</si>
  <si>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</si>
  <si>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</si>
  <si>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</si>
  <si>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</si>
  <si>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</si>
  <si>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</si>
  <si>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</si>
  <si>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</si>
  <si>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</si>
  <si>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</si>
  <si>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</si>
  <si>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</si>
  <si>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</si>
  <si>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</si>
  <si>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</si>
  <si>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</si>
  <si>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</si>
  <si>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</si>
  <si>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</si>
  <si>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</si>
  <si>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</si>
  <si>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</si>
  <si>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</si>
  <si>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</si>
  <si>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</si>
  <si>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</si>
  <si>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</si>
  <si>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</si>
  <si>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</si>
  <si>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</si>
  <si>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</si>
  <si>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</si>
  <si>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</si>
  <si>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</si>
  <si>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</si>
  <si>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</si>
  <si>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</si>
  <si>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</si>
  <si>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</si>
  <si>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</si>
  <si>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</si>
  <si>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</si>
  <si>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</si>
  <si>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</si>
  <si>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</si>
  <si>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</si>
  <si>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</si>
  <si>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</si>
  <si>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</si>
  <si>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</si>
  <si>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</si>
  <si>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</si>
  <si>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</si>
  <si>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</si>
  <si>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</si>
  <si>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</si>
  <si>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</si>
  <si>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</si>
  <si>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</si>
  <si>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</si>
  <si>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</si>
  <si>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</si>
  <si>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</si>
  <si>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</si>
  <si>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</si>
  <si>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</si>
  <si>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</si>
  <si>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</si>
  <si>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</si>
  <si>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</si>
  <si>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</si>
  <si>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</si>
  <si>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</si>
  <si>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</si>
  <si>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</si>
  <si>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</si>
  <si>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</si>
  <si>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</si>
  <si>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</si>
  <si>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</si>
  <si>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</si>
  <si>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</si>
  <si>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</si>
  <si>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</si>
  <si>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</si>
  <si>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</si>
  <si>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</si>
  <si>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</si>
  <si>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</si>
  <si>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</si>
  <si>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</si>
  <si>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</si>
  <si>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</si>
  <si>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</si>
  <si>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</si>
  <si>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</si>
  <si>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</si>
  <si>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</si>
  <si>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</si>
  <si>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</si>
  <si>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</si>
  <si>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</si>
  <si>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</si>
  <si>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</si>
  <si>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</si>
  <si>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</si>
  <si>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</si>
  <si>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</si>
  <si>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</si>
  <si>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</si>
  <si>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</si>
  <si>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</si>
  <si>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</si>
  <si>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</si>
  <si>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</si>
  <si>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</si>
  <si>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</si>
  <si>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</si>
  <si>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</si>
  <si>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</si>
  <si>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</si>
  <si>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</si>
  <si>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</si>
  <si>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</si>
  <si>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</si>
  <si>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</si>
  <si>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</si>
  <si>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</si>
  <si>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</si>
  <si>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</si>
  <si>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</si>
  <si>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</si>
  <si>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</si>
  <si>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</si>
  <si>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</si>
  <si>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</si>
  <si>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</si>
  <si>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</si>
  <si>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</si>
  <si>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</si>
  <si>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</si>
  <si>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</si>
  <si>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</si>
  <si>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</si>
  <si>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</si>
  <si>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</si>
  <si>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</si>
  <si>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</si>
  <si>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</si>
  <si>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</si>
  <si>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</si>
  <si>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</si>
  <si>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</si>
  <si>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</si>
  <si>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</si>
  <si>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</si>
  <si>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</si>
  <si>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</si>
  <si>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</si>
  <si>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</si>
  <si>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</si>
  <si>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</si>
  <si>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</si>
  <si>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</si>
  <si>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</si>
  <si>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</si>
  <si>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</si>
  <si>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</si>
  <si>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</si>
  <si>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</si>
  <si>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</si>
  <si>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</si>
  <si>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</si>
  <si>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</si>
  <si>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</si>
  <si>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</si>
  <si>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</si>
  <si>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</si>
  <si>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</si>
  <si>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</si>
  <si>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</si>
  <si>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</si>
  <si>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</si>
  <si>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</si>
  <si>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</si>
  <si>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</si>
  <si>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</si>
  <si>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</si>
  <si>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</si>
  <si>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</si>
  <si>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</si>
  <si>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</si>
  <si>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</si>
  <si>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</si>
  <si>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</si>
  <si>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</si>
  <si>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</si>
  <si>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</si>
  <si>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</si>
  <si>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</si>
  <si>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</si>
  <si>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</si>
  <si>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</si>
  <si>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</si>
  <si>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</si>
  <si>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</si>
  <si>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</si>
  <si>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</si>
  <si>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</si>
  <si>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</si>
  <si>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</si>
  <si>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</si>
  <si>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</si>
  <si>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</si>
  <si>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</si>
  <si>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</si>
  <si>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</si>
  <si>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</si>
  <si>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</si>
  <si>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</si>
  <si>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</si>
  <si>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</si>
  <si>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</si>
  <si>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</si>
  <si>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</si>
  <si>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</si>
  <si>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</si>
  <si>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</si>
  <si>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</si>
  <si>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</si>
  <si>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</si>
  <si>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</si>
  <si>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</si>
  <si>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</si>
  <si>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</si>
  <si>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</si>
  <si>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</si>
  <si>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</si>
  <si>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</si>
  <si>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</si>
  <si>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</si>
  <si>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</si>
  <si>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</si>
  <si>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</si>
  <si>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</si>
  <si>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</si>
  <si>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</si>
  <si>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</si>
  <si>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</si>
  <si>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</si>
  <si>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</si>
  <si>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</si>
  <si>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</si>
  <si>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</si>
  <si>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</si>
  <si>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</si>
  <si>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</si>
  <si>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</si>
  <si>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</si>
  <si>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</si>
  <si>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</si>
  <si>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</si>
  <si>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</si>
  <si>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</si>
  <si>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</si>
  <si>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</si>
  <si>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</si>
  <si>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</si>
  <si>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</si>
  <si>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</si>
  <si>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</si>
  <si>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</si>
  <si>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</si>
  <si>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</si>
  <si>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</si>
  <si>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</si>
  <si>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</si>
  <si>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</si>
  <si>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</si>
  <si>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</si>
  <si>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</si>
  <si>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</si>
  <si>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</si>
  <si>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</si>
  <si>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</si>
  <si>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</si>
  <si>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</si>
  <si>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</si>
  <si>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</si>
  <si>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</si>
  <si>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</si>
  <si>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</si>
  <si>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</si>
  <si>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</si>
  <si>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</si>
  <si>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</si>
  <si>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</si>
  <si>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</si>
  <si>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</si>
  <si>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</si>
  <si>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</si>
  <si>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</si>
  <si>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</si>
  <si>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</si>
  <si>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</si>
  <si>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</si>
  <si>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</si>
  <si>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</si>
  <si>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</si>
  <si>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</si>
  <si>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</si>
  <si>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</si>
  <si>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</si>
  <si>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</si>
  <si>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</si>
  <si>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</si>
  <si>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</si>
  <si>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</si>
  <si>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</si>
  <si>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</si>
  <si>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</si>
  <si>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</si>
  <si>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</si>
  <si>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</si>
  <si>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</si>
  <si>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</si>
  <si>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</si>
  <si>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</si>
  <si>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</si>
  <si>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</si>
  <si>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</si>
  <si>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</si>
  <si>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</si>
  <si>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</si>
  <si>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</si>
  <si>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</si>
  <si>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</si>
  <si>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</si>
  <si>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</si>
  <si>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</si>
  <si>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</si>
  <si>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</si>
  <si>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</si>
  <si>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</si>
  <si>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</si>
  <si>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</si>
  <si>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</si>
  <si>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</si>
  <si>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</si>
  <si>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</si>
  <si>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</si>
  <si>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</si>
  <si>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</si>
  <si>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</si>
  <si>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</si>
  <si>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</si>
  <si>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</si>
  <si>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</si>
  <si>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</si>
  <si>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</si>
  <si>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</si>
  <si>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</si>
  <si>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</si>
  <si>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</si>
  <si>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</si>
  <si>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</si>
  <si>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</si>
  <si>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</si>
  <si>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</si>
  <si>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</si>
  <si>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</si>
  <si>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</si>
  <si>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</si>
  <si>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</si>
  <si>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</si>
  <si>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</si>
  <si>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</si>
  <si>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</si>
  <si>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</si>
  <si>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</si>
  <si>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</si>
  <si>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</si>
  <si>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</si>
  <si>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</si>
  <si>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</si>
  <si>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</si>
  <si>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</si>
  <si>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</si>
  <si>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</si>
  <si>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</si>
  <si>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</si>
  <si>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</si>
  <si>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</si>
  <si>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</si>
  <si>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</si>
  <si>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</si>
  <si>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</si>
  <si>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</si>
  <si>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</si>
  <si>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</si>
  <si>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</si>
  <si>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</si>
  <si>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</si>
  <si>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</si>
  <si>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</si>
  <si>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</si>
  <si>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</si>
  <si>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</si>
  <si>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</si>
  <si>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</si>
  <si>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</si>
  <si>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</si>
  <si>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</si>
  <si>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</si>
  <si>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</si>
  <si>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</si>
  <si>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</si>
  <si>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</si>
  <si>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</si>
  <si>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</si>
  <si>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</si>
  <si>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</si>
  <si>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</si>
  <si>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</si>
  <si>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</si>
  <si>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</si>
  <si>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</si>
  <si>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</si>
  <si>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</si>
  <si>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</si>
  <si>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</si>
  <si>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</si>
  <si>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</si>
  <si>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</si>
  <si>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</si>
  <si>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</si>
  <si>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</si>
  <si>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</si>
  <si>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</si>
  <si>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</si>
  <si>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</si>
  <si>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</si>
  <si>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</si>
  <si>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</si>
  <si>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</si>
  <si>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</si>
  <si>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</si>
  <si>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</si>
  <si>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</si>
  <si>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</si>
  <si>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</si>
  <si>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</si>
  <si>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</si>
  <si>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</si>
  <si>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</si>
  <si>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</si>
  <si>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</si>
  <si>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</si>
  <si>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</si>
  <si>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</si>
  <si>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</si>
  <si>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</si>
  <si>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</si>
  <si>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</si>
  <si>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</si>
  <si>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</si>
  <si>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</si>
  <si>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</si>
  <si>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</si>
  <si>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</si>
  <si>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</si>
  <si>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</si>
  <si>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</si>
  <si>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</si>
  <si>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</si>
  <si>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</si>
  <si>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</si>
  <si>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</si>
  <si>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</si>
  <si>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</si>
  <si>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</si>
  <si>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</si>
  <si>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</si>
  <si>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</si>
  <si>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</si>
  <si>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</si>
  <si>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</si>
  <si>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</si>
  <si>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</si>
  <si>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</si>
  <si>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</si>
  <si>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</si>
  <si>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</si>
  <si>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</si>
  <si>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</si>
  <si>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</si>
  <si>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</si>
  <si>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</si>
  <si>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</si>
  <si>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</si>
  <si>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</si>
  <si>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</si>
  <si>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</si>
  <si>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</si>
  <si>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</si>
  <si>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</si>
  <si>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</si>
  <si>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</si>
  <si>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</si>
  <si>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</si>
  <si>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</si>
  <si>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</si>
  <si>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</si>
  <si>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</si>
  <si>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</si>
  <si>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</si>
  <si>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</si>
  <si>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</si>
  <si>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</si>
  <si>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</si>
  <si>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</si>
  <si>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</si>
  <si>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</si>
  <si>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</si>
  <si>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</si>
  <si>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</si>
  <si>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</si>
  <si>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</si>
  <si>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</si>
  <si>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</si>
  <si>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</si>
  <si>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</si>
  <si>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</si>
  <si>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</si>
  <si>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</si>
  <si>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</si>
  <si>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</si>
  <si>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</si>
  <si>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</si>
  <si>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</si>
  <si>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</si>
  <si>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</si>
  <si>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</si>
  <si>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</si>
  <si>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</si>
  <si>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</si>
  <si>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</si>
  <si>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</si>
  <si>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</si>
  <si>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</si>
  <si>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</si>
  <si>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</si>
  <si>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</si>
  <si>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</si>
  <si>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</si>
  <si>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</si>
  <si>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</si>
  <si>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</si>
  <si>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</si>
  <si>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</si>
  <si>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</si>
  <si>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</si>
  <si>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</si>
  <si>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</si>
  <si>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</si>
  <si>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</si>
  <si>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</si>
  <si>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</si>
  <si>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</si>
  <si>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</si>
  <si>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</si>
  <si>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</si>
  <si>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</si>
  <si>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</si>
  <si>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</si>
  <si>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</si>
  <si>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</si>
  <si>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</si>
  <si>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</si>
  <si>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</si>
  <si>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</si>
  <si>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</si>
  <si>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</si>
  <si>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</si>
  <si>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</si>
  <si>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</si>
  <si>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</si>
  <si>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</si>
  <si>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</si>
  <si>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</si>
  <si>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</si>
  <si>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</si>
  <si>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</si>
  <si>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</si>
  <si>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</si>
  <si>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</si>
  <si>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</si>
  <si>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</si>
  <si>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</si>
  <si>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</si>
  <si>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</si>
  <si>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</si>
  <si>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</si>
  <si>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</si>
  <si>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</si>
  <si>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</si>
  <si>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</si>
  <si>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</si>
  <si>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</si>
  <si>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</si>
  <si>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</si>
  <si>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</si>
  <si>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</si>
  <si>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</si>
  <si>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</si>
  <si>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</si>
  <si>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</si>
  <si>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</si>
  <si>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</si>
  <si>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</si>
  <si>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</si>
  <si>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</si>
  <si>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</si>
  <si>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</si>
  <si>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</si>
  <si>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</si>
  <si>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</si>
  <si>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</si>
  <si>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</si>
  <si>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</si>
  <si>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</si>
  <si>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</si>
  <si>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</si>
  <si>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</si>
  <si>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</si>
  <si>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</si>
  <si>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</si>
  <si>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</si>
  <si>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</si>
  <si>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</si>
  <si>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</si>
  <si>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</si>
  <si>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</si>
  <si>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</si>
  <si>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</si>
  <si>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</si>
  <si>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</si>
  <si>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</si>
  <si>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</si>
  <si>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</si>
  <si>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</si>
  <si>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</si>
  <si>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</si>
  <si>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</si>
  <si>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</si>
  <si>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</si>
  <si>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</si>
  <si>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</si>
  <si>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</si>
  <si>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</si>
  <si>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</si>
  <si>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</si>
  <si>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</si>
  <si>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</si>
  <si>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</si>
  <si>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</si>
  <si>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</si>
  <si>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</si>
  <si>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</si>
  <si>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</si>
  <si>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</si>
  <si>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</si>
  <si>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</si>
  <si>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</si>
  <si>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</si>
  <si>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</si>
  <si>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</si>
  <si>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</si>
  <si>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</si>
  <si>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</si>
  <si>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</si>
  <si>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</si>
  <si>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</si>
  <si>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</si>
  <si>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</si>
  <si>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</si>
  <si>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</si>
  <si>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</si>
  <si>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</si>
  <si>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</si>
  <si>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</si>
  <si>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</si>
  <si>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</si>
  <si>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</si>
  <si>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</si>
  <si>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</si>
  <si>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</si>
  <si>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</si>
  <si>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</si>
  <si>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</si>
  <si>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</si>
  <si>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</si>
  <si>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</si>
  <si>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</si>
  <si>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</si>
  <si>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</si>
  <si>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</si>
  <si>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</si>
  <si>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</si>
  <si>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</si>
  <si>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</si>
  <si>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</si>
  <si>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</si>
  <si>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</si>
  <si>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</si>
  <si>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</si>
  <si>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</si>
  <si>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</si>
  <si>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</si>
  <si>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</si>
  <si>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</si>
  <si>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</si>
  <si>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</si>
  <si>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</si>
  <si>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</si>
  <si>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</si>
  <si>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</si>
  <si>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</si>
  <si>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</si>
  <si>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</si>
  <si>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</si>
  <si>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</si>
  <si>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</si>
  <si>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</si>
  <si>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</si>
  <si>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</si>
  <si>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</si>
  <si>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</si>
  <si>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</si>
  <si>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</si>
  <si>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</si>
  <si>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</si>
  <si>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</si>
  <si>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</si>
  <si>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</si>
  <si>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</si>
  <si>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</si>
  <si>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</si>
  <si>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</si>
  <si>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</si>
  <si>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</si>
  <si>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</si>
  <si>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</si>
  <si>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</si>
  <si>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</si>
  <si>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</si>
  <si>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</si>
  <si>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</si>
  <si>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</si>
  <si>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</si>
  <si>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</si>
  <si>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</si>
  <si>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</si>
  <si>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</si>
  <si>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</si>
  <si>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</si>
  <si>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</si>
  <si>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</si>
  <si>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</si>
  <si>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</si>
  <si>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</si>
  <si>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</si>
  <si>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</si>
  <si>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</si>
  <si>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</si>
  <si>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</si>
  <si>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</si>
  <si>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</si>
  <si>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</si>
  <si>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</si>
  <si>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</si>
  <si>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</si>
  <si>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</si>
  <si>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</si>
  <si>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</si>
  <si>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</si>
  <si>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</si>
  <si>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</si>
  <si>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</si>
  <si>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</si>
  <si>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</si>
  <si>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</si>
  <si>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</si>
  <si>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</si>
  <si>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</si>
  <si>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</si>
  <si>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</si>
  <si>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</si>
  <si>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</si>
  <si>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</si>
  <si>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</si>
  <si>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</si>
  <si>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</si>
  <si>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</si>
  <si>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</si>
  <si>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</si>
  <si>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</si>
  <si>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</si>
  <si>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</si>
  <si>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</si>
  <si>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</si>
  <si>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</si>
  <si>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</si>
  <si>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</si>
  <si>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</si>
  <si>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</si>
  <si>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</si>
  <si>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</si>
  <si>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</si>
  <si>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</si>
  <si>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</si>
  <si>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</si>
  <si>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</si>
  <si>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</si>
  <si>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</si>
  <si>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</si>
  <si>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</si>
  <si>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</si>
  <si>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</si>
  <si>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</si>
  <si>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</si>
  <si>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</si>
  <si>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</si>
  <si>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</si>
  <si>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</si>
  <si>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</si>
  <si>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</si>
  <si>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</si>
  <si>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</si>
  <si>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</si>
  <si>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</si>
  <si>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</si>
  <si>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</si>
  <si>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</si>
  <si>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</si>
  <si>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</si>
  <si>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</si>
  <si>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</si>
  <si>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</si>
  <si>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</si>
  <si>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</si>
  <si>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</si>
  <si>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</si>
  <si>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</si>
  <si>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</si>
  <si>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</si>
  <si>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</si>
  <si>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</si>
  <si>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</si>
  <si>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</si>
  <si>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</si>
  <si>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</si>
  <si>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</si>
  <si>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</si>
  <si>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</si>
  <si>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</si>
  <si>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</si>
  <si>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</si>
  <si>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</si>
  <si>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</si>
  <si>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</si>
  <si>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</si>
  <si>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</si>
  <si>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</si>
  <si>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</si>
  <si>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</si>
  <si>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</si>
  <si>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</si>
  <si>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</si>
  <si>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</si>
  <si>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</si>
  <si>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</si>
  <si>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</si>
  <si>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</si>
  <si>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</si>
  <si>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</si>
  <si>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</si>
  <si>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</si>
  <si>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</si>
  <si>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</si>
  <si>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</si>
  <si>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</si>
  <si>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</si>
  <si>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</si>
  <si>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</si>
  <si>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</si>
  <si>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</si>
  <si>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</si>
  <si>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</si>
  <si>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</si>
  <si>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</si>
  <si>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</si>
  <si>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</si>
  <si>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</si>
  <si>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</si>
  <si>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</si>
  <si>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</si>
  <si>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</si>
  <si>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</si>
  <si>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</si>
  <si>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</si>
  <si>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</si>
  <si>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</si>
  <si>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</si>
  <si>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</si>
  <si>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</si>
  <si>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</si>
  <si>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</si>
  <si>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</si>
  <si>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</si>
  <si>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</si>
  <si>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</si>
  <si>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</si>
  <si>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</si>
  <si>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</si>
  <si>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</si>
  <si>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</si>
  <si>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</si>
  <si>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</si>
  <si>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</si>
  <si>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</si>
  <si>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</si>
  <si>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</si>
  <si>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</si>
  <si>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</si>
  <si>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</si>
  <si>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</si>
  <si>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</si>
  <si>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</si>
  <si>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</si>
  <si>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</si>
  <si>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</si>
  <si>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</si>
  <si>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</si>
  <si>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</si>
  <si>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</si>
  <si>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Ⅵ-天竺保税区南</t>
  </si>
  <si>
    <t>收益法</t>
  </si>
  <si>
    <t>押一</t>
  </si>
  <si>
    <t>按租金收入计税</t>
  </si>
  <si>
    <t>钢混</t>
  </si>
  <si>
    <t>非生产用房</t>
  </si>
  <si>
    <t>工业用地</t>
  </si>
  <si>
    <t>与级别开发程度不一致</t>
  </si>
  <si>
    <t>平整</t>
  </si>
  <si>
    <t>按公示增长率计算</t>
  </si>
  <si>
    <t>未包含在土地购买价格中</t>
  </si>
  <si>
    <t>全部缴纳</t>
  </si>
  <si>
    <t>已包含在土地取得成本中</t>
  </si>
  <si>
    <t>成本法</t>
  </si>
  <si>
    <t>总价</t>
  </si>
  <si>
    <t>成本比率</t>
  </si>
  <si>
    <t>正常</t>
  </si>
  <si>
    <t>自行开发建设</t>
  </si>
  <si>
    <t>情况3</t>
  </si>
  <si>
    <t>非个人房产</t>
  </si>
  <si>
    <t>企业提供（在右侧录入）</t>
  </si>
  <si>
    <t>北京科华微电子材料有限公司</t>
    <phoneticPr fontId="6" type="noConversion"/>
  </si>
  <si>
    <t>招行</t>
    <phoneticPr fontId="6" type="noConversion"/>
  </si>
  <si>
    <r>
      <rPr>
        <sz val="10"/>
        <color theme="9" tint="-0.249977111117893"/>
        <rFont val="宋体"/>
        <family val="3"/>
        <charset val="134"/>
      </rPr>
      <t>顺义区竺园路</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</si>
</sst>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24" xfId="0" applyNumberFormat="1" applyFont="1" applyFill="1" applyBorder="1" applyAlignment="1" applyProtection="1">
      <alignment horizontal="center" vertical="center"/>
      <protection locked="0"/>
    </xf>
    <xf numFmtId="181" fontId="49" fillId="18" borderId="5" xfId="0" applyNumberFormat="1" applyFont="1" applyFill="1" applyBorder="1" applyAlignment="1" applyProtection="1">
      <alignment horizontal="center" vertical="center"/>
      <protection locked="0"/>
    </xf>
    <xf numFmtId="191" fontId="55" fillId="18" borderId="1" xfId="0" applyNumberFormat="1" applyFont="1" applyFill="1" applyBorder="1" applyAlignment="1" applyProtection="1">
      <alignment horizontal="lef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AppData\Local\Temp\HZ$D.797.366\HZ$D.797.368\&#25307;&#34892;&#31185;&#21326;&#25151;&#20135;-&#37026;&#36722;20220413-111410\&#25307;&#34892;&#31185;&#21326;&#25151;&#20135;-&#37026;&#36722;20220413-111410\&#12304;2022&#12305;&#22522;&#20934;&#22320;&#20215;&#31995;&#25968;&#20462;&#27491;-&#31482;&#22253;&#36335;4&#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2110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北京市顺义区竺园路4号1幢1至2层101房地产抵押价值预评估</v>
      </c>
    </row>
    <row r="3" spans="1:2" s="1337" customFormat="1">
      <c r="A3" s="1335" t="s">
        <v>1129</v>
      </c>
      <c r="B3" s="1336" t="str">
        <f>'预评函-封皮'!B40</f>
        <v>北京科华微电子材料有限公司</v>
      </c>
    </row>
    <row r="4" spans="1:2" s="1337" customFormat="1">
      <c r="A4" s="1335" t="s">
        <v>1130</v>
      </c>
      <c r="B4" s="1336" t="str">
        <f>'预评函-封皮'!B46</f>
        <v>（注册号：0)、（注册号：0)</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受贵公司委托，我公司对北京市顺义区竺园路4号1幢1至2层101房地产抵押价值进行了预评估。</v>
      </c>
    </row>
    <row r="7" spans="1:2" s="1337" customFormat="1">
      <c r="A7" s="1335" t="s">
        <v>1172</v>
      </c>
      <c r="B7" s="1336" t="str">
        <f>'预评函-1'!A7</f>
        <v>估价对象为北京市顺义区竺园路4号1幢1至2层101房地产，为北京科华微电子材料有限公司所有。根据《国有土地使用证》[]，估价对象（分摊）出让国有建设用地使用权面积为16308.9平方米，建筑面积为9321.13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为估价委托人在向招行办理贷款手续过程中，确定房地产抵押贷款额度提供参考依据而评估房地产抵押价值。</v>
      </c>
    </row>
    <row r="12" spans="1:2" s="1337" customFormat="1">
      <c r="A12" s="1335" t="s">
        <v>1134</v>
      </c>
      <c r="B12" s="1336" t="str">
        <f>'预评函-1'!A15</f>
        <v>2022年4月12日</v>
      </c>
    </row>
    <row r="13" spans="1:2" s="1337" customFormat="1">
      <c r="A13" s="1335" t="s">
        <v>1135</v>
      </c>
      <c r="B13" s="133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9200</v>
      </c>
    </row>
    <row r="21" spans="1:2" s="1337" customFormat="1">
      <c r="A21" s="1335" t="s">
        <v>1143</v>
      </c>
      <c r="B21" s="1336">
        <f ca="1">'预评函-2'!D7</f>
        <v>9870</v>
      </c>
    </row>
    <row r="22" spans="1:2" s="1337" customFormat="1">
      <c r="A22" s="1335" t="s">
        <v>1144</v>
      </c>
      <c r="B22" s="1336" t="str">
        <f ca="1">'预评函-2'!D6</f>
        <v>玖仟贰佰万元整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9200</v>
      </c>
    </row>
    <row r="31" spans="1:2" s="1337" customFormat="1">
      <c r="A31" s="1335" t="s">
        <v>1182</v>
      </c>
      <c r="B31" s="1336">
        <f ca="1">'预评函-2'!D15</f>
        <v>9870</v>
      </c>
    </row>
    <row r="32" spans="1:2" s="1337" customFormat="1">
      <c r="A32" s="1335" t="s">
        <v>1149</v>
      </c>
      <c r="B32" s="1336" t="str">
        <f ca="1">'预评函-2'!D14</f>
        <v>玖仟贰佰万元整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8509</v>
      </c>
    </row>
    <row r="39" spans="1:2" s="1337" customFormat="1">
      <c r="A39" s="1335" t="s">
        <v>1151</v>
      </c>
      <c r="B39" s="1336">
        <f ca="1">'预评函-2'!D21</f>
        <v>9129</v>
      </c>
    </row>
    <row r="40" spans="1:2" s="1337" customFormat="1">
      <c r="A40" s="1335" t="s">
        <v>1152</v>
      </c>
      <c r="B40" s="1336" t="str">
        <f ca="1">'预评函-2'!D20</f>
        <v>捌仟伍佰零玖万元整</v>
      </c>
    </row>
    <row r="41" spans="1:2" s="1337" customFormat="1">
      <c r="A41" s="1335" t="s">
        <v>1198</v>
      </c>
      <c r="B41" s="1336" t="str">
        <f>'预评函-3'!A4</f>
        <v>北京市顺义区竺园路4号1幢1至2层101房地产</v>
      </c>
    </row>
    <row r="42" spans="1:2" s="1337" customFormat="1" ht="31.2">
      <c r="A42" s="1335" t="s">
        <v>1196</v>
      </c>
      <c r="B42" s="1336" t="str">
        <f>'预评函-3'!B2</f>
        <v>建筑面积</v>
      </c>
    </row>
    <row r="43" spans="1:2" s="1337" customFormat="1">
      <c r="A43" s="1335" t="s">
        <v>1197</v>
      </c>
      <c r="B43" s="1336">
        <f>'预评函-3'!B4</f>
        <v>9321.1299999999992</v>
      </c>
    </row>
    <row r="44" spans="1:2" s="1337" customFormat="1" ht="31.2">
      <c r="A44" s="1335" t="s">
        <v>1181</v>
      </c>
      <c r="B44" s="1336" t="str">
        <f>'预评函-3'!C2</f>
        <v>(分摊)土地面积</v>
      </c>
    </row>
    <row r="45" spans="1:2" s="1337" customFormat="1">
      <c r="A45" s="1335" t="s">
        <v>1153</v>
      </c>
      <c r="B45" s="1336">
        <f>'预评函-3'!C4</f>
        <v>16308.9</v>
      </c>
    </row>
    <row r="46" spans="1:2" s="1337" customFormat="1">
      <c r="A46" s="1335" t="s">
        <v>1179</v>
      </c>
      <c r="B46" s="1336" t="str">
        <f>'预评函-3'!D2</f>
        <v>出让国有建设用地使用权价值</v>
      </c>
    </row>
    <row r="47" spans="1:2" s="1337" customFormat="1">
      <c r="A47" s="1335" t="s">
        <v>1154</v>
      </c>
      <c r="B47" s="1336">
        <f ca="1">'预评函-3'!D4</f>
        <v>5391</v>
      </c>
    </row>
    <row r="48" spans="1:2" s="1337" customFormat="1">
      <c r="A48" s="1335" t="s">
        <v>1155</v>
      </c>
      <c r="B48" s="1336">
        <f ca="1">'预评函-3'!E4</f>
        <v>5784</v>
      </c>
    </row>
    <row r="49" spans="1:2" s="1337" customFormat="1">
      <c r="A49" s="1335" t="s">
        <v>1156</v>
      </c>
      <c r="B49" s="1336" t="str">
        <f ca="1">'预评函-3'!D5</f>
        <v>伍仟叁佰玖拾壹万元整</v>
      </c>
    </row>
    <row r="50" spans="1:2" s="1337" customFormat="1">
      <c r="A50" s="1335" t="s">
        <v>1180</v>
      </c>
      <c r="B50" s="1336" t="str">
        <f>'预评函-3'!F2</f>
        <v>在建建筑物价值</v>
      </c>
    </row>
    <row r="51" spans="1:2" s="1337" customFormat="1">
      <c r="A51" s="1335" t="s">
        <v>1157</v>
      </c>
      <c r="B51" s="1336">
        <f ca="1">'预评函-3'!F4</f>
        <v>3809</v>
      </c>
    </row>
    <row r="52" spans="1:2" s="1337" customFormat="1">
      <c r="A52" s="1335" t="s">
        <v>1158</v>
      </c>
      <c r="B52" s="1336">
        <f ca="1">'预评函-3'!G4</f>
        <v>4086</v>
      </c>
    </row>
    <row r="53" spans="1:2" s="1337" customFormat="1">
      <c r="A53" s="1335" t="s">
        <v>1186</v>
      </c>
      <c r="B53" s="1336" t="str">
        <f ca="1">'预评函-3'!F5</f>
        <v>叁仟捌佰零玖万元整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f>'预评函-4'!A4</f>
        <v>0</v>
      </c>
    </row>
    <row r="71" spans="1:2">
      <c r="A71" s="1335" t="s">
        <v>1169</v>
      </c>
      <c r="B71" s="1336">
        <f>'预评函-4'!B4</f>
        <v>0</v>
      </c>
    </row>
    <row r="72" spans="1:2">
      <c r="A72" s="1335" t="s">
        <v>1170</v>
      </c>
      <c r="B72" s="1344">
        <f>'预评函-4'!A5</f>
        <v>0</v>
      </c>
    </row>
    <row r="73" spans="1:2" s="1331" customFormat="1" ht="16.2" thickBot="1">
      <c r="A73" s="1338" t="s">
        <v>1171</v>
      </c>
      <c r="B73" s="1339">
        <f>'预评函-4'!B5</f>
        <v>0</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微电子材料有限公司拟使用北京市顺义区竺园路4号1幢1至2层101房地产作为抵押担保物，向招行办理贷款手续。招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2" sqref="C12"/>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2855</v>
      </c>
      <c r="B1" s="3251" t="str">
        <f>IF(B10="北京市","北京市",C10)&amp;F10&amp;IF(结果表!G1="在建","出让国有建设用地使用权及在建建筑物",IF(结果表!G1="土地","出让国有建设用地使用权",))&amp;B9&amp;"预评估"</f>
        <v>北京市顺义区竺园路4号1幢1至2层101房地产抵押价值预评估</v>
      </c>
      <c r="C1" s="3252"/>
      <c r="D1" s="3252"/>
      <c r="E1" s="3252"/>
      <c r="F1" s="3252"/>
      <c r="G1" s="3252"/>
      <c r="H1" s="3252"/>
      <c r="I1" s="3253"/>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北京市顺义区竺园路4号1幢1至2层101房地产抵押价值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北京市顺义区竺园路4号1幢1至2层101房地产</v>
      </c>
      <c r="T2" s="1901"/>
      <c r="U2" s="1901"/>
      <c r="V2" s="1901"/>
      <c r="W2" s="1901"/>
      <c r="X2" s="1901"/>
      <c r="Y2" s="1901"/>
      <c r="Z2" s="1901"/>
      <c r="AA2" s="1901"/>
      <c r="AB2" s="1901"/>
    </row>
    <row r="3" spans="1:28">
      <c r="A3" s="308" t="s">
        <v>2857</v>
      </c>
      <c r="B3" s="2567"/>
      <c r="C3" s="2568" t="s">
        <v>2858</v>
      </c>
      <c r="D3" s="2567">
        <v>44663</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8"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8" thickTop="1">
      <c r="A5" s="2573" t="s">
        <v>2860</v>
      </c>
      <c r="B5" s="3207" t="s">
        <v>3165</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3166</v>
      </c>
      <c r="C6" s="2577"/>
      <c r="D6" s="2578"/>
      <c r="E6" s="2857"/>
      <c r="F6" s="2859"/>
      <c r="G6" s="2859"/>
      <c r="H6" s="2859"/>
      <c r="I6" s="2859"/>
      <c r="J6" s="2633"/>
      <c r="K6" s="2809" t="str">
        <f>IF(COUNTIF(B6,"*上海银行*"),"上海银行","")</f>
        <v/>
      </c>
      <c r="L6" s="2807"/>
      <c r="M6" s="2807"/>
      <c r="N6" s="2633"/>
      <c r="O6" s="2644"/>
      <c r="P6" s="2633"/>
      <c r="Q6" s="2633"/>
      <c r="R6" s="2633"/>
    </row>
    <row r="7" spans="1:28" ht="52.8">
      <c r="A7" s="2576" t="s">
        <v>2862</v>
      </c>
      <c r="B7" s="2579" t="str">
        <f>B5</f>
        <v>北京科华微电子材料有限公司</v>
      </c>
      <c r="C7" s="2577"/>
      <c r="D7" s="2578"/>
      <c r="E7" s="2857"/>
      <c r="F7" s="2859"/>
      <c r="G7" s="2859"/>
      <c r="H7" s="2859"/>
      <c r="I7" s="2859"/>
      <c r="J7" s="2633"/>
      <c r="K7" s="2810"/>
      <c r="L7" s="2807"/>
      <c r="M7" s="2807"/>
      <c r="N7" s="2633"/>
      <c r="O7" s="2644"/>
      <c r="P7" s="2633"/>
      <c r="Q7" s="2633"/>
      <c r="R7" s="2633"/>
    </row>
    <row r="8" spans="1:28">
      <c r="A8" s="2580" t="s">
        <v>2863</v>
      </c>
      <c r="B8" s="2581" t="s">
        <v>3129</v>
      </c>
      <c r="C8" s="2582"/>
      <c r="D8" s="3254" t="s">
        <v>2864</v>
      </c>
      <c r="E8" s="2583" t="s">
        <v>3130</v>
      </c>
      <c r="F8" s="2584"/>
      <c r="G8" s="2858"/>
      <c r="H8" s="2858"/>
      <c r="I8" s="2858"/>
      <c r="J8" s="2633"/>
      <c r="K8" s="2808"/>
      <c r="L8" s="2807"/>
      <c r="M8" s="2807"/>
      <c r="N8" s="2633"/>
      <c r="O8" s="2644"/>
      <c r="P8" s="2633"/>
      <c r="Q8" s="2633"/>
      <c r="R8" s="2633"/>
    </row>
    <row r="9" spans="1:28" ht="13.8" thickBot="1">
      <c r="A9" s="2585" t="s">
        <v>2865</v>
      </c>
      <c r="B9" s="2586" t="s">
        <v>3130</v>
      </c>
      <c r="C9" s="2587"/>
      <c r="D9" s="3255"/>
      <c r="E9" s="2586" t="s">
        <v>1193</v>
      </c>
      <c r="F9" s="2588"/>
      <c r="G9" s="2860"/>
      <c r="H9" s="2860"/>
      <c r="I9" s="2860"/>
      <c r="J9" s="2633"/>
      <c r="K9" s="2810"/>
      <c r="L9" s="2807"/>
      <c r="M9" s="2807"/>
      <c r="N9" s="2633"/>
      <c r="O9" s="2644"/>
      <c r="P9" s="2633"/>
      <c r="Q9" s="2633"/>
      <c r="R9" s="2633"/>
    </row>
    <row r="10" spans="1:28" ht="13.8" thickTop="1">
      <c r="A10" s="2589" t="s">
        <v>2866</v>
      </c>
      <c r="B10" s="2590" t="s">
        <v>3131</v>
      </c>
      <c r="C10" s="2591"/>
      <c r="D10" s="2575"/>
      <c r="E10" s="2592" t="s">
        <v>2867</v>
      </c>
      <c r="F10" s="2861" t="s">
        <v>3167</v>
      </c>
      <c r="G10" s="2862"/>
      <c r="H10" s="2863"/>
      <c r="I10" s="2864"/>
      <c r="J10" s="2633"/>
      <c r="K10" s="2810"/>
      <c r="L10" s="2807"/>
      <c r="M10" s="2807"/>
      <c r="N10" s="2633"/>
      <c r="O10" s="2644"/>
      <c r="P10" s="2633"/>
      <c r="Q10" s="2633"/>
      <c r="R10" s="2633"/>
    </row>
    <row r="11" spans="1:28" ht="39.6">
      <c r="A11" s="2593" t="s">
        <v>2868</v>
      </c>
      <c r="B11" s="2594" t="s">
        <v>3132</v>
      </c>
      <c r="C11" s="2595" t="str">
        <f>B5</f>
        <v>北京科华微电子材料有限公司</v>
      </c>
      <c r="D11" s="2596"/>
      <c r="E11" s="2564"/>
      <c r="F11" s="2564"/>
      <c r="G11" s="2564"/>
      <c r="H11" s="2564"/>
      <c r="I11" s="2564"/>
      <c r="J11" s="2633"/>
      <c r="K11" s="2810"/>
      <c r="L11" s="2807"/>
      <c r="M11" s="2807"/>
      <c r="N11" s="2633"/>
      <c r="O11" s="2644"/>
      <c r="P11" s="2633"/>
      <c r="Q11" s="2633"/>
      <c r="R11" s="2633"/>
    </row>
    <row r="12" spans="1:28">
      <c r="A12" s="2597" t="s">
        <v>2869</v>
      </c>
      <c r="B12" s="2594" t="s">
        <v>3133</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c r="G13" s="965"/>
      <c r="H13" s="965"/>
      <c r="I13" s="965">
        <v>57205</v>
      </c>
      <c r="J13" s="2633"/>
      <c r="K13" s="2810"/>
      <c r="L13" s="2807"/>
      <c r="M13" s="2807"/>
      <c r="N13" s="2633"/>
      <c r="O13" s="2644"/>
      <c r="P13" s="2633"/>
      <c r="Q13" s="2633"/>
      <c r="R13" s="2633"/>
    </row>
    <row r="14" spans="1:28">
      <c r="A14" s="1213"/>
      <c r="B14" s="2599"/>
      <c r="C14" s="2600" t="s">
        <v>2878</v>
      </c>
      <c r="D14" s="2601"/>
      <c r="E14" s="2601"/>
      <c r="F14" s="2601"/>
      <c r="G14" s="2601"/>
      <c r="H14" s="2601"/>
      <c r="I14" s="2601">
        <v>50</v>
      </c>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34.36</v>
      </c>
      <c r="J15" s="2633"/>
      <c r="K15" s="2812"/>
      <c r="L15" s="2645"/>
      <c r="M15" s="2645"/>
      <c r="N15" s="2703"/>
      <c r="O15" s="2645"/>
      <c r="P15" s="2703"/>
      <c r="Q15" s="2633"/>
      <c r="R15" s="2633"/>
    </row>
    <row r="16" spans="1:28">
      <c r="A16" s="2592" t="s">
        <v>2880</v>
      </c>
      <c r="B16" s="3261"/>
      <c r="C16" s="3262"/>
      <c r="D16" s="3263"/>
      <c r="E16" s="2607" t="s">
        <v>2881</v>
      </c>
      <c r="F16" s="3264"/>
      <c r="G16" s="3265"/>
      <c r="H16" s="3265"/>
      <c r="I16" s="3266"/>
      <c r="J16" s="2633"/>
      <c r="K16" s="2812"/>
      <c r="L16" s="2645"/>
      <c r="M16" s="2645"/>
      <c r="N16" s="2703"/>
      <c r="O16" s="2645"/>
      <c r="P16" s="2703"/>
      <c r="Q16" s="2633"/>
      <c r="R16" s="2633"/>
    </row>
    <row r="17" spans="1:28">
      <c r="A17" s="319" t="s">
        <v>2882</v>
      </c>
      <c r="B17" s="308" t="s">
        <v>2883</v>
      </c>
      <c r="C17" s="11">
        <f>'数据-汇总表'!E3</f>
        <v>9321.1299999999992</v>
      </c>
      <c r="D17" s="2515" t="s">
        <v>2884</v>
      </c>
      <c r="E17" s="3267" t="s">
        <v>2885</v>
      </c>
      <c r="F17" s="3268"/>
      <c r="G17" s="3268"/>
      <c r="H17" s="3268"/>
      <c r="I17" s="3269"/>
      <c r="J17" s="2633"/>
      <c r="K17" s="2813"/>
      <c r="L17" s="2645"/>
      <c r="M17" s="2645"/>
      <c r="N17" s="2703"/>
      <c r="O17" s="2645"/>
      <c r="P17" s="2703"/>
      <c r="Q17" s="2633"/>
      <c r="R17" s="2633"/>
      <c r="S17" s="2633"/>
      <c r="T17" s="2633"/>
      <c r="U17" s="2633"/>
      <c r="V17" s="2633"/>
    </row>
    <row r="18" spans="1:28" ht="24.6" thickBot="1">
      <c r="A18" s="2608" t="s">
        <v>2886</v>
      </c>
      <c r="B18" s="1222" t="s">
        <v>2887</v>
      </c>
      <c r="C18" s="2609">
        <f>'数据-汇总表'!D3</f>
        <v>16308.9</v>
      </c>
      <c r="D18" s="1224" t="s">
        <v>2888</v>
      </c>
      <c r="E18" s="3270" t="s">
        <v>2889</v>
      </c>
      <c r="F18" s="3271"/>
      <c r="G18" s="3271"/>
      <c r="H18" s="3271"/>
      <c r="I18" s="3272"/>
      <c r="J18" s="2633"/>
      <c r="K18" s="2813"/>
      <c r="L18" s="2645"/>
      <c r="M18" s="2645"/>
      <c r="N18" s="2703"/>
      <c r="O18" s="2645"/>
      <c r="P18" s="2703"/>
      <c r="Q18" s="2633"/>
      <c r="R18" s="2633"/>
      <c r="S18" s="2633"/>
      <c r="T18" s="2633"/>
      <c r="U18" s="2633"/>
      <c r="V18" s="2633"/>
    </row>
    <row r="19" spans="1:28" ht="37.200000000000003" thickTop="1" thickBot="1">
      <c r="A19" s="333" t="s">
        <v>1681</v>
      </c>
      <c r="B19" s="313" t="s">
        <v>2890</v>
      </c>
      <c r="C19" s="1718"/>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57" t="s">
        <v>2893</v>
      </c>
      <c r="C20" s="3258"/>
      <c r="D20" s="3259" t="s">
        <v>2894</v>
      </c>
      <c r="E20" s="3260"/>
      <c r="F20" s="2842" t="s">
        <v>1682</v>
      </c>
      <c r="G20" s="2859"/>
      <c r="H20" s="2859"/>
      <c r="I20" s="2859"/>
      <c r="J20" s="2633"/>
      <c r="K20" s="325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36.6" thickBot="1">
      <c r="A21" s="2827"/>
      <c r="B21" s="2828" t="s">
        <v>2896</v>
      </c>
      <c r="C21" s="2829" t="s">
        <v>1683</v>
      </c>
      <c r="D21" s="1723" t="s">
        <v>2897</v>
      </c>
      <c r="E21" s="2830" t="s">
        <v>1683</v>
      </c>
      <c r="F21" s="2843"/>
      <c r="G21" s="2859"/>
      <c r="H21" s="2859"/>
      <c r="I21" s="2859"/>
      <c r="J21" s="2633"/>
      <c r="K21" s="32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36.6" thickBot="1">
      <c r="A22" s="2827"/>
      <c r="B22" s="2831" t="s">
        <v>2898</v>
      </c>
      <c r="C22" s="2829" t="s">
        <v>1684</v>
      </c>
      <c r="D22" s="2858"/>
      <c r="E22" s="2858"/>
      <c r="F22" s="2858"/>
      <c r="G22" s="2859"/>
      <c r="H22" s="2859"/>
      <c r="I22" s="2859"/>
      <c r="J22" s="2633"/>
      <c r="K22" s="32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8"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8" thickTop="1">
      <c r="A27" s="3274"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4"/>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4"/>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5"/>
      <c r="B30" s="308" t="s">
        <v>2905</v>
      </c>
      <c r="C30" s="3276"/>
      <c r="D30" s="3277"/>
      <c r="E30" s="2859"/>
      <c r="F30" s="2859"/>
      <c r="G30" s="2859"/>
      <c r="H30" s="2859"/>
      <c r="I30" s="2859"/>
      <c r="J30" s="2633"/>
      <c r="K30" s="2810"/>
      <c r="L30" s="2807"/>
      <c r="M30" s="2807"/>
      <c r="N30" s="2633"/>
      <c r="O30" s="2644"/>
      <c r="P30" s="2633"/>
      <c r="Q30" s="2633"/>
      <c r="R30" s="2633"/>
      <c r="S30" s="2633"/>
      <c r="T30" s="2633"/>
      <c r="U30" s="2633"/>
      <c r="V30" s="2633"/>
    </row>
    <row r="31" spans="1:28">
      <c r="A31" s="3278"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79"/>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79"/>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3134</v>
      </c>
      <c r="C34" s="2184" t="s">
        <v>3135</v>
      </c>
      <c r="D34" s="2184" t="s">
        <v>3136</v>
      </c>
      <c r="E34" s="2184" t="s">
        <v>3137</v>
      </c>
      <c r="F34" s="2184" t="s">
        <v>3138</v>
      </c>
      <c r="G34" s="2184"/>
      <c r="H34" s="2184"/>
      <c r="I34" s="2859"/>
      <c r="J34" s="2633"/>
      <c r="K34" s="2621">
        <f>COUNTIF(B34:H34,"——")</f>
        <v>0</v>
      </c>
      <c r="L34" s="329" t="s">
        <v>2908</v>
      </c>
      <c r="M34" s="329" t="s">
        <v>2909</v>
      </c>
      <c r="N34" s="329" t="s">
        <v>2910</v>
      </c>
      <c r="O34" s="329" t="s">
        <v>2911</v>
      </c>
      <c r="P34" s="329" t="s">
        <v>2912</v>
      </c>
      <c r="Q34" s="329" t="s">
        <v>2913</v>
      </c>
      <c r="R34" s="329" t="s">
        <v>2914</v>
      </c>
      <c r="S34" s="3273" t="s">
        <v>2915</v>
      </c>
      <c r="T34" s="2622" t="str">
        <f>NUMBERSTRING(7-K34,1)&amp;"通"</f>
        <v>七通</v>
      </c>
      <c r="U34" s="2633"/>
      <c r="V34" s="2633"/>
    </row>
    <row r="35" spans="1:30">
      <c r="A35" s="2623"/>
      <c r="B35" s="3280" t="s">
        <v>2916</v>
      </c>
      <c r="C35" s="3280"/>
      <c r="D35" s="3280"/>
      <c r="E35" s="3280"/>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3"/>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27" thickBot="1">
      <c r="A38" s="2826" t="s">
        <v>2918</v>
      </c>
      <c r="B38" s="2626"/>
      <c r="C38" s="2626"/>
      <c r="D38" s="2626"/>
      <c r="E38" s="2626" t="s">
        <v>3144</v>
      </c>
      <c r="F38" s="2866"/>
      <c r="G38" s="2860"/>
      <c r="H38" s="2860"/>
      <c r="I38" s="2860"/>
      <c r="J38" s="2633"/>
      <c r="K38" s="2810"/>
      <c r="L38" s="2807"/>
      <c r="M38" s="2807"/>
      <c r="N38" s="2633"/>
      <c r="O38" s="2644"/>
      <c r="P38" s="2633"/>
      <c r="Q38" s="2633"/>
      <c r="R38" s="2633"/>
      <c r="S38" s="2633"/>
      <c r="T38" s="2633"/>
      <c r="U38" s="2633"/>
      <c r="V38" s="2633"/>
    </row>
    <row r="39" spans="1:30" s="2629" customFormat="1" ht="14.4"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2">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16308.9</v>
      </c>
      <c r="B3" s="14">
        <f>IF(C3="否",G5-AT5,G5)</f>
        <v>9321.1299999999992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1697</v>
      </c>
      <c r="B5" s="1501"/>
      <c r="C5" s="1501"/>
      <c r="D5" s="1503"/>
      <c r="E5" s="16" t="s">
        <v>1</v>
      </c>
      <c r="F5" s="16">
        <f>SUM(F13:F587)</f>
        <v>0</v>
      </c>
      <c r="G5" s="16">
        <f>SUM(G13:G587)</f>
        <v>9321.1299999999992</v>
      </c>
      <c r="H5" s="16">
        <f t="shared" ref="H5:AT5" si="0">SUM(H13:H656)</f>
        <v>9321.1299999999992</v>
      </c>
      <c r="I5" s="16">
        <f t="shared" si="0"/>
        <v>9321.1299999999992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9321.1299999999992</v>
      </c>
      <c r="BA5" s="18">
        <f t="shared" si="1"/>
        <v>9321.1299999999992</v>
      </c>
      <c r="BB5" s="18">
        <f t="shared" si="1"/>
        <v>9321.1299999999992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1698</v>
      </c>
      <c r="B6" s="1741"/>
      <c r="C6" s="1741"/>
      <c r="D6" s="1742"/>
      <c r="E6" s="16">
        <f>H6+AC6+AT6</f>
        <v>16308.9</v>
      </c>
      <c r="F6" s="16" t="s">
        <v>1</v>
      </c>
      <c r="G6" s="16" t="s">
        <v>2</v>
      </c>
      <c r="H6" s="20">
        <f>SUMIF(I$12:AB$12,"总值",I6:AB6)</f>
        <v>16308.9</v>
      </c>
      <c r="I6" s="16">
        <f t="shared" ref="I6:AB6" si="2">ROUND($A$3*I5/$B$3,2)</f>
        <v>16308.9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16308.9</v>
      </c>
      <c r="AZ6" s="16" t="s">
        <v>3</v>
      </c>
      <c r="BA6" s="16">
        <f>ROUND($AY$6*BA5/$AZ$5,2)</f>
        <v>16308.9</v>
      </c>
      <c r="BB6" s="16">
        <f>ROUND($AY$6*BB5/$AZ$5,2)</f>
        <v>16308.9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1717</v>
      </c>
      <c r="I9" s="1758" t="s">
        <v>3139</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3.2">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1182"/>
      <c r="D13" s="1780" t="s">
        <v>3140</v>
      </c>
      <c r="E13" s="16">
        <f>IF($C$3="是",ROUND($A$3*G13/$B$3,2),ROUND($A$3*(G13-AT13)/$B$3,2))</f>
        <v>16308.9</v>
      </c>
      <c r="F13" s="32"/>
      <c r="G13" s="33">
        <f>H13+AC13+AT13</f>
        <v>9321.1299999999992</v>
      </c>
      <c r="H13" s="20">
        <f>SUMIF(I$12:AB$12,"总值",I13:AB13)</f>
        <v>9321.1299999999992</v>
      </c>
      <c r="I13" s="1781">
        <v>9321.1299999999992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16308.9</v>
      </c>
      <c r="AZ13" s="16">
        <f>BA13+BL13</f>
        <v>9321.1299999999992</v>
      </c>
      <c r="BA13" s="16">
        <f>SUM(BB13:BK13)</f>
        <v>9321.1299999999992</v>
      </c>
      <c r="BB13" s="16">
        <f>IF($D13="是",I13-J13,0)</f>
        <v>9321.1299999999992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46.8">
      <c r="A3" s="3281"/>
      <c r="B3" s="3281"/>
      <c r="C3" s="3281"/>
      <c r="D3" s="3282"/>
      <c r="E3" s="32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8" sqref="L38"/>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4"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1756</v>
      </c>
      <c r="B1" s="1273"/>
      <c r="C1" s="1273"/>
      <c r="D1" s="1273"/>
      <c r="E1" s="1273"/>
      <c r="F1" s="1273"/>
      <c r="G1" s="1273"/>
      <c r="H1" s="1273"/>
      <c r="I1" s="1273"/>
      <c r="J1" s="1273"/>
      <c r="K1" s="1273"/>
      <c r="L1" s="1273"/>
      <c r="M1" s="1273"/>
      <c r="N1" s="1273"/>
      <c r="O1" s="1273"/>
      <c r="P1" s="1273"/>
    </row>
    <row r="2" spans="1:16" ht="14.4">
      <c r="A2" s="3292" t="s">
        <v>1757</v>
      </c>
      <c r="B2" s="3292"/>
      <c r="C2" s="3292"/>
      <c r="D2" s="904" t="s">
        <v>1733</v>
      </c>
      <c r="E2" s="1794" t="s">
        <v>1734</v>
      </c>
      <c r="F2" s="2854"/>
      <c r="G2" s="2845"/>
      <c r="H2" s="2846"/>
      <c r="I2" s="2518" t="s">
        <v>1758</v>
      </c>
      <c r="J2" s="2854"/>
      <c r="K2" s="2854"/>
      <c r="L2" s="2854"/>
      <c r="M2" s="2854"/>
      <c r="N2" s="2856"/>
      <c r="O2" s="2854"/>
      <c r="P2" s="2854"/>
    </row>
    <row r="3" spans="1:16" ht="15" thickBot="1">
      <c r="A3" s="3293" t="s">
        <v>1731</v>
      </c>
      <c r="B3" s="3293"/>
      <c r="C3" s="3293"/>
      <c r="D3" s="46">
        <f>'数据-基础表'!AY6</f>
        <v>16308.9</v>
      </c>
      <c r="E3" s="46">
        <f>'数据-基础表'!AZ5</f>
        <v>9321.1299999999992</v>
      </c>
      <c r="F3" s="2854"/>
      <c r="G3" s="1279"/>
      <c r="H3" s="1157" t="s">
        <v>1732</v>
      </c>
      <c r="I3" s="964">
        <f>ROUND('数据-基础表'!B3/'数据-基础表'!A3,2)</f>
        <v>0.56999999999999995</v>
      </c>
      <c r="J3" s="2854"/>
      <c r="K3" s="2854"/>
      <c r="L3" s="2854"/>
      <c r="M3" s="2854"/>
      <c r="N3" s="2856"/>
      <c r="O3" s="2854"/>
      <c r="P3" s="2854"/>
    </row>
    <row r="4" spans="1:16" ht="14.4">
      <c r="A4" s="3294"/>
      <c r="B4" s="3295"/>
      <c r="C4" s="3296"/>
      <c r="D4" s="1796" t="s">
        <v>1733</v>
      </c>
      <c r="E4" s="1797" t="s">
        <v>1734</v>
      </c>
      <c r="F4" s="2854"/>
      <c r="G4" s="2847" t="s">
        <v>1759</v>
      </c>
      <c r="H4" s="1157" t="s">
        <v>1739</v>
      </c>
      <c r="I4" s="964">
        <f>ROUND(SUMIF('数据-基础表'!I9:AS9,"地上",'数据-基础表'!I5:AS5)/'数据-基础表'!A3,2)</f>
        <v>0.56999999999999995</v>
      </c>
      <c r="J4" s="2854"/>
      <c r="K4" s="2854"/>
      <c r="L4" s="2854"/>
      <c r="M4" s="2854"/>
      <c r="N4" s="2856"/>
      <c r="O4" s="2854"/>
      <c r="P4" s="2854"/>
    </row>
    <row r="5" spans="1:16" ht="14.4">
      <c r="A5" s="47" t="s">
        <v>1735</v>
      </c>
      <c r="B5" s="3297" t="s">
        <v>1736</v>
      </c>
      <c r="C5" s="3297"/>
      <c r="D5" s="48">
        <f>ROUND($D$3*E5/$E$3,2)</f>
        <v>0</v>
      </c>
      <c r="E5" s="49">
        <f>SUMIF('数据-基础表'!$11:$11,"住宅",'数据-基础表'!$5:$5)</f>
        <v>0</v>
      </c>
      <c r="F5" s="2854"/>
      <c r="G5" s="1279"/>
      <c r="H5" s="1157" t="s">
        <v>1732</v>
      </c>
      <c r="I5" s="964">
        <f>ROUND(E31/D31,2)</f>
        <v>0.56999999999999995</v>
      </c>
      <c r="J5" s="2854"/>
      <c r="K5" s="2854"/>
      <c r="L5" s="2854"/>
      <c r="M5" s="2854"/>
      <c r="N5" s="2854"/>
      <c r="O5" s="2854"/>
      <c r="P5" s="2854"/>
    </row>
    <row r="6" spans="1:16" ht="15" thickBot="1">
      <c r="A6" s="1799"/>
      <c r="B6" s="3297" t="s">
        <v>1737</v>
      </c>
      <c r="C6" s="3297"/>
      <c r="D6" s="48">
        <f>ROUND($D$3*E6/$E$3,2)</f>
        <v>16308.9</v>
      </c>
      <c r="E6" s="49">
        <f>E3-E5</f>
        <v>9321.1299999999992</v>
      </c>
      <c r="F6" s="2854"/>
      <c r="G6" s="2848" t="s">
        <v>1738</v>
      </c>
      <c r="H6" s="1280" t="s">
        <v>1739</v>
      </c>
      <c r="I6" s="2849">
        <f>ROUND(F31/D31,2)</f>
        <v>0.56999999999999995</v>
      </c>
      <c r="J6" s="2854"/>
      <c r="K6" s="2854"/>
      <c r="L6" s="2854"/>
      <c r="M6" s="2854"/>
      <c r="N6" s="2854"/>
      <c r="O6" s="2854"/>
      <c r="P6" s="2854"/>
    </row>
    <row r="7" spans="1:16" ht="15" thickBot="1">
      <c r="A7" s="3289"/>
      <c r="B7" s="3290"/>
      <c r="C7" s="3291"/>
      <c r="D7" s="1796" t="s">
        <v>1733</v>
      </c>
      <c r="E7" s="1800" t="s">
        <v>1740</v>
      </c>
      <c r="F7" s="2854"/>
      <c r="G7" s="2850" t="s">
        <v>1741</v>
      </c>
      <c r="H7" s="2851"/>
      <c r="I7" s="2852"/>
      <c r="J7" s="2854"/>
      <c r="K7" s="2854"/>
      <c r="L7" s="2854"/>
      <c r="M7" s="2854"/>
      <c r="N7" s="2854"/>
      <c r="O7" s="2854"/>
      <c r="P7" s="2854"/>
    </row>
    <row r="8" spans="1:16" ht="14.4">
      <c r="A8" s="47" t="s">
        <v>1742</v>
      </c>
      <c r="B8" s="50" t="s">
        <v>1743</v>
      </c>
      <c r="C8" s="48" t="s">
        <v>1744</v>
      </c>
      <c r="D8" s="48">
        <f t="shared" ref="D8:D15" si="0">ROUND($D$3*E8/$E$3,2)</f>
        <v>16308.9</v>
      </c>
      <c r="E8" s="51">
        <f>SUMIF('数据-基础表'!BB10:BK10,"地上",'数据-基础表'!BB5:BK5)</f>
        <v>9321.1299999999992</v>
      </c>
      <c r="F8" s="2854"/>
      <c r="G8" s="2855"/>
      <c r="H8" s="2855"/>
      <c r="I8" s="2854"/>
      <c r="J8" s="2854"/>
      <c r="K8" s="2854"/>
      <c r="L8" s="2854"/>
      <c r="M8" s="2854"/>
      <c r="N8" s="2854"/>
      <c r="O8" s="2854"/>
      <c r="P8" s="2854"/>
    </row>
    <row r="9" spans="1:16" ht="14.4">
      <c r="A9" s="1801"/>
      <c r="B9" s="1802"/>
      <c r="C9" s="48" t="s">
        <v>1745</v>
      </c>
      <c r="D9" s="48">
        <f t="shared" si="0"/>
        <v>0</v>
      </c>
      <c r="E9" s="52">
        <v>0</v>
      </c>
      <c r="F9" s="2854"/>
      <c r="G9" s="2855"/>
      <c r="H9" s="2855"/>
      <c r="I9" s="2854"/>
      <c r="J9" s="2854"/>
      <c r="K9" s="2854"/>
      <c r="L9" s="2854"/>
      <c r="M9" s="2854"/>
      <c r="N9" s="2854"/>
      <c r="O9" s="2854"/>
      <c r="P9" s="2854"/>
    </row>
    <row r="10" spans="1:16" ht="14.4">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ht="14.4">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ht="14.4">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ht="14.4">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ht="14.4">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 thickBot="1">
      <c r="A16" s="1799"/>
      <c r="B16" s="1802"/>
      <c r="C16" s="50" t="s">
        <v>1749</v>
      </c>
      <c r="D16" s="50">
        <f>SUM(D8:D15)</f>
        <v>16308.9</v>
      </c>
      <c r="E16" s="53">
        <f>SUM(E8:E15)</f>
        <v>9321.1299999999992</v>
      </c>
      <c r="F16" s="2854"/>
      <c r="G16" s="2855"/>
      <c r="H16" s="1803" t="s">
        <v>1761</v>
      </c>
      <c r="I16" s="1804"/>
      <c r="J16" s="1273"/>
      <c r="K16" s="3286" t="s">
        <v>1761</v>
      </c>
      <c r="L16" s="3287"/>
      <c r="M16" s="3287"/>
      <c r="N16" s="3287"/>
      <c r="O16" s="3287"/>
      <c r="P16" s="3288"/>
    </row>
    <row r="17" spans="1:19" ht="14.4">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4.4">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ht="14.4">
      <c r="A19" s="1822"/>
      <c r="B19" s="50" t="s">
        <v>1751</v>
      </c>
      <c r="C19" s="3205" t="s">
        <v>3141</v>
      </c>
      <c r="D19" s="48">
        <f>ROUND($D$3*E19/$E$3,2)</f>
        <v>16308.9</v>
      </c>
      <c r="E19" s="56">
        <f t="shared" ref="E19:E26" si="1">SUM(F19:G19)</f>
        <v>9321.1299999999992</v>
      </c>
      <c r="F19" s="2994">
        <f>'数据-基础表'!I13</f>
        <v>9321.1299999999992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16308.9</v>
      </c>
      <c r="S19" s="1158">
        <f t="shared" si="5"/>
        <v>9321.1299999999992</v>
      </c>
    </row>
    <row r="20" spans="1:19" ht="14.4">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1780</v>
      </c>
      <c r="D27" s="1274">
        <f>SUM(D19:D26)</f>
        <v>16308.9</v>
      </c>
      <c r="E27" s="1275">
        <f>IF(SUM(E19:E26)='数据-基础表'!BA5,SUM(E19:E26),IF(F27="地上面积有误","面积有误","地下面积有误"))</f>
        <v>9321.1299999999992</v>
      </c>
      <c r="F27" s="1274">
        <f>IF(SUM(F19:F26)=E8,SUM(F19:F26),"地上面积有误")</f>
        <v>9321.1299999999992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16308.9</v>
      </c>
      <c r="S27" s="1157">
        <f>IF(SUM(S19:S26)=$E$3,SUM(S19:S26),SUM(S19:S26)&amp;"误差"&amp;ROUND(SUM(S19:S26)-E3,2))</f>
        <v>9321.1299999999992</v>
      </c>
    </row>
    <row r="28" spans="1:19" ht="14.4">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ht="14.4">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4.4">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 thickBot="1">
      <c r="A31" s="1832"/>
      <c r="B31" s="1833"/>
      <c r="C31" s="944" t="s">
        <v>1784</v>
      </c>
      <c r="D31" s="685">
        <f>D27+D30</f>
        <v>16308.9</v>
      </c>
      <c r="E31" s="685">
        <f>E27+E30</f>
        <v>9321.1299999999992</v>
      </c>
      <c r="F31" s="686">
        <f>F27+F30</f>
        <v>9321.1299999999992</v>
      </c>
      <c r="G31" s="687">
        <f>G27+G30</f>
        <v>0</v>
      </c>
      <c r="H31" s="2854"/>
      <c r="I31" s="2854"/>
      <c r="J31" s="2854"/>
      <c r="K31" s="2854"/>
      <c r="L31" s="2854"/>
      <c r="M31" s="2854"/>
      <c r="N31" s="2854"/>
      <c r="O31" s="2854"/>
      <c r="P31" s="2854"/>
    </row>
    <row r="32" spans="1:19" ht="14.4">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7.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 thickBot="1">
      <c r="A2" s="1839" t="s">
        <v>1787</v>
      </c>
      <c r="B2" s="1176">
        <f>项目基本情况!D3</f>
        <v>44663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工业</v>
      </c>
      <c r="B6" s="1869" t="str">
        <f>IF(A6=0,"","经营性")</f>
        <v>经营性</v>
      </c>
      <c r="C6" s="1870" t="s">
        <v>6</v>
      </c>
      <c r="D6" s="967">
        <f>SUMIF(项目基本情况!D$12:I$12,C6,项目基本情况!D$14:I$14)</f>
        <v>50</v>
      </c>
      <c r="E6" s="966">
        <f>IF(B6="","",SUMIF(项目基本情况!D$12:I$12,C6,项目基本情况!D$13:I$13))</f>
        <v>57205</v>
      </c>
      <c r="F6" s="68">
        <f>SUMIF(项目基本情况!D$12:I$12,C6,项目基本情况!D$15:I$15)</f>
        <v>34.36</v>
      </c>
      <c r="G6" s="69">
        <f>IF(ISERROR(ROUND(POWER(1+H6,D6-F6)*(POWER(1+H6,F6)-1)/(POWER(1+H6,D6)-1),3)),0,ROUND(POWER(1+H6,D6-F6)*(POWER(1+H6,F6)-1)/(POWER(1+H6,D6)-1),3))</f>
        <v>0.877</v>
      </c>
      <c r="H6" s="741">
        <v>4.4999999999999998E-2</v>
      </c>
      <c r="I6" s="741">
        <v>0.05</v>
      </c>
      <c r="J6" s="70">
        <v>8.5000000000000006E-2</v>
      </c>
      <c r="K6" s="1161">
        <f>SUMIF('数据-汇总表'!C$19:C$33,A6,'数据-汇总表'!E$19:E$33)</f>
        <v>9321.1299999999992</v>
      </c>
      <c r="L6" s="742">
        <v>3000</v>
      </c>
      <c r="M6" s="71">
        <f t="shared" ref="M6:M14" si="0">ROUND(K6*L6/10000,0)</f>
        <v>2796</v>
      </c>
      <c r="N6" s="740">
        <f>ROUND(1-(1-2%)*(2022-2010)/70,2)</f>
        <v>0.83</v>
      </c>
      <c r="O6" s="71" t="str">
        <f>IF($N$5="成新度","——",ROUND(M6*N6,0))</f>
        <v>——</v>
      </c>
      <c r="P6" s="72" t="str">
        <f>IF($N$5="成新度","——",M6-O6)</f>
        <v>——</v>
      </c>
      <c r="Q6" s="3548">
        <v>0.08</v>
      </c>
      <c r="R6" s="73">
        <f ca="1">SUMIF('数据-汇总表'!C$19:C$33,A6,'数据-汇总表'!R$19:R$27)</f>
        <v>16308.9</v>
      </c>
      <c r="S6" s="54">
        <f>IF('数据-汇总表'!$I$17="按面积比例",SUMIF('数据-汇总表'!C$19:C$33,A6,'数据-汇总表'!K$19:K$33),SUMIF('数据-汇总表'!C$19:C$33,A6,'数据-汇总表'!N$19:N$33))</f>
        <v>0</v>
      </c>
      <c r="T6" s="1306">
        <f>ROUND($L$14*S6/10000,0)</f>
        <v>0</v>
      </c>
      <c r="U6" s="74">
        <v>2</v>
      </c>
      <c r="V6" s="75">
        <v>2.5000000000000001E-2</v>
      </c>
      <c r="W6" s="75">
        <v>0.1</v>
      </c>
      <c r="X6" s="1171"/>
      <c r="Y6" s="76">
        <f>N6</f>
        <v>0.83</v>
      </c>
      <c r="Z6" s="77"/>
      <c r="AA6" s="70"/>
      <c r="AB6" s="70"/>
      <c r="AC6" s="1171"/>
      <c r="AD6" s="78"/>
      <c r="AE6" s="1172">
        <f ca="1">IF(AN6="",0,SUMIF(INDIRECT("'"&amp;AN6&amp;"'"&amp;"!E:E"),$AE$5,INDIRECT("'"&amp;AN6&amp;"'"&amp;"!F:F")))</f>
        <v>34.36</v>
      </c>
      <c r="AF6" s="1502"/>
      <c r="AG6" s="143">
        <f>IF(AF6="",0,AE6-AF6)</f>
        <v>0</v>
      </c>
      <c r="AH6" s="79"/>
      <c r="AI6" s="81">
        <v>365</v>
      </c>
      <c r="AJ6" s="82"/>
      <c r="AK6" s="3545">
        <v>0.01</v>
      </c>
      <c r="AL6" s="3546">
        <v>1E-3</v>
      </c>
      <c r="AM6" s="3547">
        <v>0.02</v>
      </c>
      <c r="AN6" s="1871" t="s">
        <v>3145</v>
      </c>
      <c r="AO6" s="55">
        <f ca="1">SUMIF(INDIRECT("'"&amp;AN6&amp;"'"&amp;"!A:A"),"总价",INDIRECT("'"&amp;AN6&amp;"'"&amp;"!B:B"))</f>
        <v>10248</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1835</v>
      </c>
      <c r="B16" s="93"/>
      <c r="C16" s="942"/>
      <c r="D16" s="1876"/>
      <c r="E16" s="93"/>
      <c r="F16" s="93"/>
      <c r="G16" s="94">
        <f>ROUND(SUMPRODUCT(G6:G13,K6:K13)/SUMPRODUCT((G6:G13&gt;0)*(K6:K13)),3)</f>
        <v>0.877</v>
      </c>
      <c r="H16" s="95">
        <f>ROUND(SUMPRODUCT(H6:H13,K6:K13)/SUMPRODUCT((H6:H13&gt;0)*(K6:K13)),3)</f>
        <v>4.4999999999999998E-2</v>
      </c>
      <c r="I16" s="96"/>
      <c r="J16" s="96"/>
      <c r="K16" s="97">
        <f>SUM(K6:K15)</f>
        <v>9321.1299999999992</v>
      </c>
      <c r="L16" s="98">
        <f>ROUND(M16*10000/SUM(K6:K14),0)</f>
        <v>3000</v>
      </c>
      <c r="M16" s="98">
        <f>SUM(M6:M14)</f>
        <v>2796</v>
      </c>
      <c r="N16" s="99">
        <f>ROUND(SUMPRODUCT(M6:M14,N6:N14)/M16,3)</f>
        <v>0.83</v>
      </c>
      <c r="O16" s="98">
        <f>SUM(O6:O14)</f>
        <v>0</v>
      </c>
      <c r="P16" s="98">
        <f>SUM(P6:P14)</f>
        <v>0</v>
      </c>
      <c r="Q16" s="100">
        <f>ROUND(SUMPRODUCT(Q6:Q13,K6:K13)/SUMPRODUCT((Q6:Q13&gt;0)*(K6:K13)),2)</f>
        <v>0.08</v>
      </c>
      <c r="R16" s="1165">
        <f ca="1">SUM(R6:R13)</f>
        <v>16308.9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4">
      <c r="A19" s="1878" t="s">
        <v>1837</v>
      </c>
      <c r="B19" s="108">
        <v>0</v>
      </c>
      <c r="C19" s="2998" t="s">
        <v>2992</v>
      </c>
      <c r="D19" s="2873"/>
      <c r="E19" s="2870"/>
      <c r="F19" s="2870"/>
      <c r="G19" s="2870"/>
      <c r="H19" s="2870"/>
      <c r="I19" s="2870"/>
      <c r="J19" s="2870"/>
      <c r="K19" s="2869"/>
      <c r="L19" s="2869">
        <f>6000/K16*10000</f>
        <v>6436.987790106994</v>
      </c>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4">
      <c r="A20" s="1879"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4">
      <c r="A21" s="1880" t="s">
        <v>1839</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4">
      <c r="A22" s="1879"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4">
      <c r="A23" s="1880"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4.4"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8.8">
      <c r="A27" s="1883" t="s">
        <v>1846</v>
      </c>
      <c r="B27" s="112"/>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1847</v>
      </c>
      <c r="B28" s="115">
        <v>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1848</v>
      </c>
      <c r="B29" s="117">
        <f ca="1">成本法!C10</f>
        <v>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1852</v>
      </c>
      <c r="B33" s="682">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4">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4">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4">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8.2" thickBot="1">
      <c r="A40" s="3014" t="s">
        <v>3142</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4">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4">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4">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4">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4">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4">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4">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4">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4">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8.8">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4">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4">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4">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4">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4">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4">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4">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4">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4">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2" customWidth="1"/>
    <col min="2" max="2" width="24.44140625" style="1727" customWidth="1"/>
    <col min="3" max="3" width="24.44140625" style="2704" customWidth="1"/>
    <col min="4" max="4" width="2.6640625" style="2704" customWidth="1"/>
    <col min="5" max="5" width="5.88671875" style="2704" customWidth="1"/>
    <col min="6" max="6" width="27" style="1727" customWidth="1"/>
    <col min="7" max="7" width="27" style="2705" customWidth="1"/>
    <col min="8" max="8" width="11.88671875" style="2685" customWidth="1"/>
    <col min="9" max="9" width="16.77734375" style="2686" customWidth="1"/>
    <col min="10" max="10" width="2.6640625" style="2685" customWidth="1"/>
    <col min="11" max="11" width="11.88671875" style="2685" customWidth="1"/>
    <col min="12" max="12" width="16.77734375" style="2686" customWidth="1"/>
    <col min="13" max="13" width="2.6640625" style="2685" customWidth="1"/>
    <col min="14" max="14" width="11.88671875" style="2685" customWidth="1"/>
    <col min="15" max="15" width="16.77734375" style="2686" customWidth="1"/>
    <col min="16" max="16" width="2.6640625" style="2685" customWidth="1"/>
    <col min="17" max="17" width="11.88671875" style="2685" customWidth="1"/>
    <col min="18" max="18" width="16.77734375" style="2687" customWidth="1"/>
    <col min="19" max="29" width="9" style="907"/>
    <col min="30" max="16384" width="9" style="1842"/>
  </cols>
  <sheetData>
    <row r="1" spans="1:29" s="2651" customFormat="1" ht="18" thickBot="1">
      <c r="A1" s="3298" t="s">
        <v>2973</v>
      </c>
      <c r="B1" s="3299"/>
      <c r="C1" s="3299"/>
      <c r="D1" s="3299"/>
      <c r="E1" s="3299"/>
      <c r="F1" s="3299"/>
      <c r="G1" s="329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7.200000000000003">
      <c r="A4" s="2636"/>
      <c r="B4" s="329" t="s">
        <v>2941</v>
      </c>
      <c r="C4" s="2662" t="s">
        <v>2942</v>
      </c>
      <c r="D4" s="2659"/>
      <c r="E4" s="2663"/>
      <c r="F4" s="1527" t="s">
        <v>2943</v>
      </c>
      <c r="G4" s="2664" t="s">
        <v>2944</v>
      </c>
      <c r="H4" s="907"/>
      <c r="I4" s="907"/>
      <c r="J4" s="907"/>
      <c r="K4" s="907"/>
      <c r="L4" s="907"/>
      <c r="M4" s="907"/>
      <c r="N4" s="907"/>
      <c r="O4" s="907"/>
      <c r="P4" s="907"/>
      <c r="Q4" s="907"/>
      <c r="R4" s="907"/>
    </row>
    <row r="5" spans="1:29" ht="37.200000000000003">
      <c r="A5" s="2636"/>
      <c r="B5" s="329" t="s">
        <v>2945</v>
      </c>
      <c r="C5" s="2662" t="s">
        <v>2946</v>
      </c>
      <c r="D5" s="2659"/>
      <c r="E5" s="2663"/>
      <c r="F5" s="329" t="s">
        <v>2947</v>
      </c>
      <c r="G5" s="2664" t="s">
        <v>2948</v>
      </c>
      <c r="H5" s="907"/>
      <c r="I5" s="907"/>
      <c r="J5" s="907"/>
      <c r="K5" s="907"/>
      <c r="L5" s="907"/>
      <c r="M5" s="907"/>
      <c r="N5" s="907"/>
      <c r="O5" s="907"/>
      <c r="P5" s="907"/>
      <c r="Q5" s="907"/>
      <c r="R5" s="907"/>
    </row>
    <row r="6" spans="1:29" ht="48">
      <c r="A6" s="2636"/>
      <c r="B6" s="329" t="s">
        <v>2949</v>
      </c>
      <c r="C6" s="2664" t="s">
        <v>2944</v>
      </c>
      <c r="D6" s="2659"/>
      <c r="E6" s="2663"/>
      <c r="F6" s="329" t="s">
        <v>2950</v>
      </c>
      <c r="G6" s="2664" t="s">
        <v>2951</v>
      </c>
      <c r="H6" s="907"/>
      <c r="I6" s="907"/>
      <c r="J6" s="907"/>
      <c r="K6" s="907"/>
      <c r="L6" s="907"/>
      <c r="M6" s="907"/>
      <c r="N6" s="907"/>
      <c r="O6" s="907"/>
      <c r="P6" s="907"/>
      <c r="Q6" s="907"/>
      <c r="R6" s="907"/>
    </row>
    <row r="7" spans="1:29" ht="36.6"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ht="24">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4.4"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7.399999999999999">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 thickBot="1">
      <c r="A13" s="2684" t="s">
        <v>2974</v>
      </c>
      <c r="B13" s="2678"/>
      <c r="C13" s="2678"/>
      <c r="D13" s="2676"/>
      <c r="E13" s="2678"/>
      <c r="F13" s="2678"/>
      <c r="G13" s="2678"/>
    </row>
    <row r="14" spans="1:29" ht="14.4" thickBot="1">
      <c r="A14" s="2688"/>
      <c r="B14" s="2688"/>
      <c r="C14" s="2689" t="s">
        <v>2957</v>
      </c>
      <c r="D14" s="2659"/>
      <c r="E14" s="2690"/>
      <c r="F14" s="2690"/>
      <c r="G14" s="2654" t="s">
        <v>2958</v>
      </c>
    </row>
    <row r="15" spans="1:29" ht="52.8">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9.6">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9.6">
      <c r="A17" s="2640"/>
      <c r="B17" s="2694" t="s">
        <v>2945</v>
      </c>
      <c r="C17" s="2695" t="str">
        <f>C5</f>
        <v>估价对象位于XX商圈，周边办公楼项目较多，入驻率高，办公集聚程度较好</v>
      </c>
      <c r="D17" s="2665"/>
      <c r="E17" s="2641"/>
      <c r="F17" s="2696" t="s">
        <v>2962</v>
      </c>
      <c r="G17" s="2698"/>
    </row>
    <row r="18" spans="1:18" ht="52.8">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6.4">
      <c r="A19" s="2640"/>
      <c r="B19" s="2696" t="s">
        <v>2963</v>
      </c>
      <c r="C19" s="2698"/>
      <c r="D19" s="2659"/>
      <c r="E19" s="2641"/>
      <c r="F19" s="329" t="s">
        <v>2947</v>
      </c>
      <c r="G19" s="2697" t="str">
        <f>G5</f>
        <v>估价对象所在区域公共配套设施齐备情况</v>
      </c>
    </row>
    <row r="20" spans="1:18" ht="26.4">
      <c r="A20" s="2640"/>
      <c r="B20" s="2696" t="s">
        <v>2964</v>
      </c>
      <c r="C20" s="2695" t="str">
        <f>C9</f>
        <v>区域自然环境：；人文环境；综合评价环境状况一般</v>
      </c>
      <c r="D20" s="2665"/>
      <c r="E20" s="2641"/>
      <c r="F20" s="329" t="s">
        <v>2950</v>
      </c>
      <c r="G20" s="2697" t="str">
        <f>G6</f>
        <v>估价对象所在区域基础设施水平</v>
      </c>
    </row>
    <row r="21" spans="1:18" ht="26.4">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4.4"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4.4"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07" customWidth="1"/>
    <col min="2" max="9" width="15.77734375" style="2707" customWidth="1"/>
    <col min="10" max="16384" width="9" style="2707"/>
  </cols>
  <sheetData>
    <row r="1" spans="1:11" ht="16.2">
      <c r="A1" s="2706" t="s">
        <v>1271</v>
      </c>
      <c r="B1" s="2706">
        <f>SUM(B14:B23)</f>
        <v>9321.1299999999992</v>
      </c>
      <c r="C1" s="2883"/>
      <c r="D1" s="2883"/>
      <c r="E1" s="2883"/>
      <c r="F1" s="2883"/>
      <c r="G1" s="2884"/>
      <c r="H1" s="2885"/>
      <c r="I1" s="2885"/>
      <c r="J1" s="2885"/>
      <c r="K1" s="2885"/>
    </row>
    <row r="2" spans="1:11" ht="16.2">
      <c r="A2" s="2706" t="s">
        <v>1259</v>
      </c>
      <c r="B2" s="2706">
        <f>SUM(C14:C23)</f>
        <v>16308.9</v>
      </c>
      <c r="C2" s="2883"/>
      <c r="D2" s="2883"/>
      <c r="E2" s="2883"/>
      <c r="F2" s="2883"/>
      <c r="G2" s="2884"/>
      <c r="H2" s="2885"/>
      <c r="I2" s="2885"/>
      <c r="J2" s="2885"/>
      <c r="K2" s="2885"/>
    </row>
    <row r="3" spans="1:11" ht="15.6">
      <c r="A3" s="2706" t="s">
        <v>1268</v>
      </c>
      <c r="B3" s="2708">
        <f>项目基本情况!D3</f>
        <v>44663</v>
      </c>
      <c r="C3" s="2883"/>
      <c r="D3" s="2883"/>
      <c r="E3" s="2883"/>
      <c r="F3" s="2883"/>
      <c r="G3" s="2884"/>
      <c r="H3" s="2885"/>
      <c r="I3" s="2885"/>
      <c r="J3" s="2885"/>
      <c r="K3" s="2885"/>
    </row>
    <row r="4" spans="1:11" ht="31.2">
      <c r="A4" s="2706" t="s">
        <v>1267</v>
      </c>
      <c r="B4" s="2706" t="s">
        <v>1266</v>
      </c>
      <c r="C4" s="2706" t="s">
        <v>1265</v>
      </c>
      <c r="D4" s="2706" t="s">
        <v>1264</v>
      </c>
      <c r="E4" s="2883"/>
      <c r="F4" s="2884"/>
      <c r="G4" s="2884"/>
      <c r="H4" s="2885"/>
      <c r="I4" s="2885"/>
      <c r="J4" s="2885"/>
      <c r="K4" s="2885"/>
    </row>
    <row r="5" spans="1:11" ht="15.6">
      <c r="A5" s="2706" t="s">
        <v>1263</v>
      </c>
      <c r="B5" s="2706">
        <f ca="1">SUM(D14:D23)</f>
        <v>9200</v>
      </c>
      <c r="C5" s="2706">
        <f ca="1">ROUND(B5*10000/$B$1,0)</f>
        <v>9870</v>
      </c>
      <c r="D5" s="2706">
        <f ca="1">ROUND(B5*10000/$B$2,0)</f>
        <v>5641</v>
      </c>
      <c r="E5" s="2883"/>
      <c r="F5" s="2884"/>
      <c r="G5" s="2884"/>
      <c r="H5" s="2885"/>
      <c r="I5" s="2885"/>
      <c r="J5" s="2885"/>
      <c r="K5" s="2885"/>
    </row>
    <row r="6" spans="1:11" ht="15.6">
      <c r="A6" s="2706" t="s">
        <v>1262</v>
      </c>
      <c r="B6" s="2706">
        <f ca="1">SUM(G14:G23)</f>
        <v>9200</v>
      </c>
      <c r="C6" s="2706">
        <f ca="1">ROUND(B6*10000/$B$1,0)</f>
        <v>9870</v>
      </c>
      <c r="D6" s="2706">
        <f ca="1">ROUND(B6*10000/$B$2,0)</f>
        <v>5641</v>
      </c>
      <c r="E6" s="2883"/>
      <c r="F6" s="2884"/>
      <c r="G6" s="2884"/>
      <c r="H6" s="2885"/>
      <c r="I6" s="2885"/>
      <c r="J6" s="2885"/>
      <c r="K6" s="2885"/>
    </row>
    <row r="7" spans="1:11" ht="15.6">
      <c r="A7" s="2706" t="s">
        <v>1270</v>
      </c>
      <c r="B7" s="2706">
        <f>SUM(H14:H23)</f>
        <v>0</v>
      </c>
      <c r="C7" s="2706">
        <f>ROUND(B7*10000/$B$1,0)</f>
        <v>0</v>
      </c>
      <c r="D7" s="2706">
        <f>ROUND(B7*10000/$B$2,0)</f>
        <v>0</v>
      </c>
      <c r="E7" s="2883"/>
      <c r="F7" s="2884"/>
      <c r="G7" s="2884"/>
      <c r="H7" s="2885"/>
      <c r="I7" s="2885"/>
      <c r="J7" s="2885"/>
      <c r="K7" s="2885"/>
    </row>
    <row r="8" spans="1:11" ht="15.6">
      <c r="A8" s="2706" t="s">
        <v>1193</v>
      </c>
      <c r="B8" s="2706">
        <f ca="1">SUM(I14:I23)</f>
        <v>8509</v>
      </c>
      <c r="C8" s="2706">
        <f ca="1">ROUND(B8*10000/$B$1,0)</f>
        <v>9129</v>
      </c>
      <c r="D8" s="2706">
        <f ca="1">ROUND(B8*10000/$B$2,0)</f>
        <v>5217</v>
      </c>
      <c r="E8" s="2883"/>
      <c r="F8" s="2884"/>
      <c r="G8" s="2884"/>
      <c r="H8" s="2885"/>
      <c r="I8" s="2885"/>
      <c r="J8" s="2885"/>
      <c r="K8" s="2885"/>
    </row>
    <row r="9" spans="1:11" ht="15.6">
      <c r="A9" s="2706" t="s">
        <v>1261</v>
      </c>
      <c r="B9" s="2714"/>
      <c r="C9" s="2883"/>
      <c r="D9" s="2883"/>
      <c r="E9" s="2883"/>
      <c r="F9" s="2884"/>
      <c r="G9" s="2884"/>
      <c r="H9" s="2885"/>
      <c r="I9" s="2885"/>
      <c r="J9" s="2885"/>
      <c r="K9" s="2885"/>
    </row>
    <row r="10" spans="1:11" ht="15.6">
      <c r="A10" s="2706" t="s">
        <v>1260</v>
      </c>
      <c r="B10" s="2714"/>
      <c r="C10" s="2883"/>
      <c r="D10" s="2883"/>
      <c r="E10" s="2883"/>
      <c r="F10" s="2884"/>
      <c r="G10" s="2884"/>
      <c r="H10" s="2885"/>
      <c r="I10" s="2885"/>
      <c r="J10" s="2885"/>
      <c r="K10" s="2885"/>
    </row>
    <row r="11" spans="1:11" ht="15.6">
      <c r="A11" s="2706" t="s">
        <v>1276</v>
      </c>
      <c r="B11" s="2714"/>
      <c r="C11" s="2883"/>
      <c r="D11" s="2883"/>
      <c r="E11" s="2883"/>
      <c r="F11" s="2884"/>
      <c r="G11" s="2884"/>
      <c r="H11" s="2885"/>
      <c r="I11" s="2885"/>
      <c r="J11" s="2885"/>
      <c r="K11" s="2885"/>
    </row>
    <row r="12" spans="1:11" ht="15.6">
      <c r="A12" s="2883"/>
      <c r="B12" s="2883"/>
      <c r="C12" s="2883"/>
      <c r="D12" s="2883"/>
      <c r="E12" s="2883"/>
      <c r="F12" s="2884"/>
      <c r="G12" s="2884"/>
      <c r="H12" s="2885"/>
      <c r="I12" s="2885"/>
      <c r="J12" s="2885"/>
      <c r="K12" s="2885"/>
    </row>
    <row r="13" spans="1:11" ht="31.8">
      <c r="A13" s="2709" t="s">
        <v>1275</v>
      </c>
      <c r="B13" s="2710" t="s">
        <v>1272</v>
      </c>
      <c r="C13" s="2710" t="s">
        <v>1274</v>
      </c>
      <c r="D13" s="2710" t="s">
        <v>1273</v>
      </c>
      <c r="E13" s="2706" t="s">
        <v>1265</v>
      </c>
      <c r="F13" s="2706" t="s">
        <v>1264</v>
      </c>
      <c r="G13" s="2710" t="s">
        <v>1258</v>
      </c>
      <c r="H13" s="2710" t="s">
        <v>1269</v>
      </c>
      <c r="I13" s="2710" t="s">
        <v>1257</v>
      </c>
      <c r="J13" s="2884"/>
      <c r="K13" s="2885"/>
    </row>
    <row r="14" spans="1:11" ht="15.6">
      <c r="A14" s="2711" t="s">
        <v>1256</v>
      </c>
      <c r="B14" s="2712">
        <f>结果表!B118</f>
        <v>9321.1299999999992</v>
      </c>
      <c r="C14" s="2712">
        <f>结果表!C118</f>
        <v>16308.9</v>
      </c>
      <c r="D14" s="2712">
        <f ca="1">结果表!H118</f>
        <v>9200</v>
      </c>
      <c r="E14" s="2712">
        <f ca="1">ROUND(D14*10000/B14,0)</f>
        <v>9870</v>
      </c>
      <c r="F14" s="2712">
        <f ca="1">ROUND(D14*10000/C14,0)</f>
        <v>5641</v>
      </c>
      <c r="G14" s="2712">
        <f ca="1">结果表!D122</f>
        <v>9200</v>
      </c>
      <c r="H14" s="2712" t="str">
        <f>结果表!D124</f>
        <v>——</v>
      </c>
      <c r="I14" s="2712">
        <f ca="1">结果表!D126</f>
        <v>8509</v>
      </c>
      <c r="J14" s="2884"/>
      <c r="K14" s="2885"/>
    </row>
    <row r="15" spans="1:11" ht="15.6">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5.6">
      <c r="A16" s="2711" t="s">
        <v>1254</v>
      </c>
      <c r="B16" s="2713"/>
      <c r="C16" s="2713"/>
      <c r="D16" s="2713"/>
      <c r="E16" s="2712" t="e">
        <f t="shared" si="0"/>
        <v>#DIV/0!</v>
      </c>
      <c r="F16" s="2712" t="e">
        <f t="shared" si="1"/>
        <v>#DIV/0!</v>
      </c>
      <c r="G16" s="1471"/>
      <c r="H16" s="1471"/>
      <c r="I16" s="2713"/>
      <c r="J16" s="2885"/>
      <c r="K16" s="2885"/>
    </row>
    <row r="17" spans="1:11" ht="15.6">
      <c r="A17" s="2711" t="s">
        <v>1253</v>
      </c>
      <c r="B17" s="2713"/>
      <c r="C17" s="2713"/>
      <c r="D17" s="2713"/>
      <c r="E17" s="2712" t="e">
        <f t="shared" si="0"/>
        <v>#DIV/0!</v>
      </c>
      <c r="F17" s="2712" t="e">
        <f t="shared" si="1"/>
        <v>#DIV/0!</v>
      </c>
      <c r="G17" s="1471"/>
      <c r="H17" s="1471"/>
      <c r="I17" s="2713"/>
      <c r="J17" s="2885"/>
      <c r="K17" s="2885"/>
    </row>
    <row r="18" spans="1:11" ht="15.6">
      <c r="A18" s="2711" t="s">
        <v>1252</v>
      </c>
      <c r="B18" s="2713"/>
      <c r="C18" s="2713"/>
      <c r="D18" s="2713"/>
      <c r="E18" s="2712" t="e">
        <f t="shared" si="0"/>
        <v>#DIV/0!</v>
      </c>
      <c r="F18" s="2712" t="e">
        <f t="shared" si="1"/>
        <v>#DIV/0!</v>
      </c>
      <c r="G18" s="2713"/>
      <c r="H18" s="2713"/>
      <c r="I18" s="2713"/>
      <c r="J18" s="2885"/>
      <c r="K18" s="2885"/>
    </row>
    <row r="19" spans="1:11" ht="15.6">
      <c r="A19" s="2711" t="s">
        <v>1251</v>
      </c>
      <c r="B19" s="2713"/>
      <c r="C19" s="2713"/>
      <c r="D19" s="2713"/>
      <c r="E19" s="2712" t="e">
        <f t="shared" si="0"/>
        <v>#DIV/0!</v>
      </c>
      <c r="F19" s="2712" t="e">
        <f t="shared" si="1"/>
        <v>#DIV/0!</v>
      </c>
      <c r="G19" s="2713"/>
      <c r="H19" s="2713"/>
      <c r="I19" s="2713"/>
      <c r="J19" s="2885"/>
      <c r="K19" s="2885"/>
    </row>
    <row r="20" spans="1:11" ht="15.6">
      <c r="A20" s="2711" t="s">
        <v>1250</v>
      </c>
      <c r="B20" s="2713"/>
      <c r="C20" s="2713"/>
      <c r="D20" s="2713"/>
      <c r="E20" s="2712" t="e">
        <f t="shared" si="0"/>
        <v>#DIV/0!</v>
      </c>
      <c r="F20" s="2712" t="e">
        <f t="shared" si="1"/>
        <v>#DIV/0!</v>
      </c>
      <c r="G20" s="2713"/>
      <c r="H20" s="2713"/>
      <c r="I20" s="2713"/>
      <c r="J20" s="2885"/>
      <c r="K20" s="2885"/>
    </row>
    <row r="21" spans="1:11" ht="15.6">
      <c r="A21" s="2711" t="s">
        <v>1249</v>
      </c>
      <c r="B21" s="2713"/>
      <c r="C21" s="2713"/>
      <c r="D21" s="2713"/>
      <c r="E21" s="2712" t="e">
        <f t="shared" si="0"/>
        <v>#DIV/0!</v>
      </c>
      <c r="F21" s="2712" t="e">
        <f t="shared" si="1"/>
        <v>#DIV/0!</v>
      </c>
      <c r="G21" s="2713"/>
      <c r="H21" s="2713"/>
      <c r="I21" s="2713"/>
      <c r="J21" s="2885"/>
      <c r="K21" s="2885"/>
    </row>
    <row r="22" spans="1:11" ht="15.6">
      <c r="A22" s="2711" t="s">
        <v>1248</v>
      </c>
      <c r="B22" s="2713"/>
      <c r="C22" s="2713"/>
      <c r="D22" s="2713"/>
      <c r="E22" s="2712" t="e">
        <f t="shared" si="0"/>
        <v>#DIV/0!</v>
      </c>
      <c r="F22" s="2712" t="e">
        <f t="shared" si="1"/>
        <v>#DIV/0!</v>
      </c>
      <c r="G22" s="2713"/>
      <c r="H22" s="2713"/>
      <c r="I22" s="2713"/>
      <c r="J22" s="2885"/>
      <c r="K22" s="2885"/>
    </row>
    <row r="23" spans="1:11" ht="15.6">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5" zoomScale="85" zoomScaleNormal="100" zoomScaleSheetLayoutView="85" zoomScalePageLayoutView="80" workbookViewId="0">
      <selection activeCell="G41" sqref="G41"/>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0" t="str">
        <f>项目基本情况!S2</f>
        <v>北京市顺义区竺园路4号1幢1至2层101房地产</v>
      </c>
      <c r="B2" s="3371"/>
      <c r="C2" s="3371"/>
      <c r="D2" s="3371"/>
      <c r="E2" s="3371"/>
      <c r="F2" s="3371"/>
      <c r="G2" s="3371"/>
      <c r="H2" s="3371"/>
      <c r="I2" s="3372"/>
    </row>
    <row r="3" spans="1:12" ht="13.2">
      <c r="A3" s="3374" t="s">
        <v>1890</v>
      </c>
      <c r="B3" s="3375"/>
      <c r="C3" s="3375"/>
      <c r="D3" s="3375"/>
      <c r="E3" s="3375"/>
      <c r="F3" s="3375"/>
      <c r="G3" s="3375"/>
      <c r="H3" s="3375"/>
      <c r="I3" s="3375"/>
    </row>
    <row r="4" spans="1:12" ht="14.4">
      <c r="A4" s="1910" t="s">
        <v>1891</v>
      </c>
      <c r="B4" s="1911" t="s">
        <v>1892</v>
      </c>
      <c r="C4" s="1912" t="s">
        <v>3157</v>
      </c>
      <c r="D4" s="1912" t="s">
        <v>3145</v>
      </c>
      <c r="E4" s="3379" t="s">
        <v>1893</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15" t="s">
        <v>1894</v>
      </c>
      <c r="B5" s="3373">
        <v>25</v>
      </c>
      <c r="C5" s="3376"/>
      <c r="D5" s="3364"/>
      <c r="E5" s="136" t="s">
        <v>1895</v>
      </c>
      <c r="F5" s="1913"/>
      <c r="G5" s="1913"/>
      <c r="H5" s="1913"/>
      <c r="I5" s="1527"/>
    </row>
    <row r="6" spans="1:12" ht="13.2">
      <c r="A6" s="3315"/>
      <c r="B6" s="3373"/>
      <c r="C6" s="3378"/>
      <c r="D6" s="3364"/>
      <c r="E6" s="136" t="s">
        <v>1896</v>
      </c>
      <c r="F6" s="1913"/>
      <c r="G6" s="1913"/>
      <c r="H6" s="1913"/>
      <c r="I6" s="1527"/>
    </row>
    <row r="7" spans="1:12" ht="13.2">
      <c r="A7" s="3315"/>
      <c r="B7" s="3373"/>
      <c r="C7" s="3377"/>
      <c r="D7" s="3364"/>
      <c r="E7" s="136" t="s">
        <v>1897</v>
      </c>
      <c r="F7" s="1913"/>
      <c r="G7" s="1913"/>
      <c r="H7" s="1913"/>
      <c r="I7" s="1527"/>
    </row>
    <row r="8" spans="1:12" ht="13.2">
      <c r="A8" s="3315" t="s">
        <v>1898</v>
      </c>
      <c r="B8" s="3373">
        <v>15</v>
      </c>
      <c r="C8" s="3376"/>
      <c r="D8" s="3364"/>
      <c r="E8" s="136" t="s">
        <v>1899</v>
      </c>
      <c r="F8" s="1913"/>
      <c r="G8" s="1913"/>
      <c r="H8" s="1913"/>
      <c r="I8" s="1527"/>
    </row>
    <row r="9" spans="1:12" ht="13.2">
      <c r="A9" s="3315"/>
      <c r="B9" s="3373"/>
      <c r="C9" s="3377"/>
      <c r="D9" s="3364"/>
      <c r="E9" s="136" t="s">
        <v>1900</v>
      </c>
      <c r="F9" s="1913"/>
      <c r="G9" s="1913"/>
      <c r="H9" s="1913"/>
      <c r="I9" s="1527"/>
    </row>
    <row r="10" spans="1:12" ht="13.2">
      <c r="A10" s="3315" t="s">
        <v>1901</v>
      </c>
      <c r="B10" s="3373">
        <v>15</v>
      </c>
      <c r="C10" s="3376"/>
      <c r="D10" s="3364"/>
      <c r="E10" s="136" t="s">
        <v>1902</v>
      </c>
      <c r="F10" s="1913"/>
      <c r="G10" s="1913"/>
      <c r="H10" s="1913"/>
      <c r="I10" s="1527"/>
    </row>
    <row r="11" spans="1:12" ht="13.2">
      <c r="A11" s="3315"/>
      <c r="B11" s="3373"/>
      <c r="C11" s="3377"/>
      <c r="D11" s="3364"/>
      <c r="E11" s="136" t="s">
        <v>1903</v>
      </c>
      <c r="F11" s="1913"/>
      <c r="G11" s="1913"/>
      <c r="H11" s="1913"/>
      <c r="I11" s="1527"/>
    </row>
    <row r="12" spans="1:12" ht="13.2">
      <c r="A12" s="3315" t="s">
        <v>1904</v>
      </c>
      <c r="B12" s="3373">
        <v>15</v>
      </c>
      <c r="C12" s="3376"/>
      <c r="D12" s="3364"/>
      <c r="E12" s="136" t="s">
        <v>1905</v>
      </c>
      <c r="F12" s="1913"/>
      <c r="G12" s="1913"/>
      <c r="H12" s="1913"/>
      <c r="I12" s="1527"/>
    </row>
    <row r="13" spans="1:12" ht="13.2">
      <c r="A13" s="3315"/>
      <c r="B13" s="3373"/>
      <c r="C13" s="3377"/>
      <c r="D13" s="3364"/>
      <c r="E13" s="136" t="s">
        <v>1906</v>
      </c>
      <c r="F13" s="1913"/>
      <c r="G13" s="1913"/>
      <c r="H13" s="1913"/>
      <c r="I13" s="1527"/>
    </row>
    <row r="14" spans="1:12" ht="13.2">
      <c r="A14" s="3315" t="s">
        <v>1907</v>
      </c>
      <c r="B14" s="3373">
        <v>30</v>
      </c>
      <c r="C14" s="3376">
        <v>4</v>
      </c>
      <c r="D14" s="3364">
        <v>6</v>
      </c>
      <c r="E14" s="136" t="s">
        <v>1908</v>
      </c>
      <c r="F14" s="1913"/>
      <c r="G14" s="1913"/>
      <c r="H14" s="1913"/>
      <c r="I14" s="1527"/>
    </row>
    <row r="15" spans="1:12" ht="13.2">
      <c r="A15" s="3315"/>
      <c r="B15" s="3373"/>
      <c r="C15" s="3378"/>
      <c r="D15" s="3364"/>
      <c r="E15" s="136" t="s">
        <v>1909</v>
      </c>
      <c r="F15" s="1913"/>
      <c r="G15" s="1913"/>
      <c r="H15" s="1913"/>
      <c r="I15" s="1527"/>
    </row>
    <row r="16" spans="1:12" ht="13.2">
      <c r="A16" s="3315"/>
      <c r="B16" s="3373"/>
      <c r="C16" s="3377"/>
      <c r="D16" s="3364"/>
      <c r="E16" s="136" t="s">
        <v>1910</v>
      </c>
      <c r="F16" s="1913"/>
      <c r="G16" s="1913"/>
      <c r="H16" s="1913"/>
      <c r="I16" s="1527"/>
    </row>
    <row r="17" spans="1:36" ht="14.4">
      <c r="A17" s="1914" t="s">
        <v>1911</v>
      </c>
      <c r="B17" s="60"/>
      <c r="C17" s="137">
        <f>SUM(C5:C16)</f>
        <v>4</v>
      </c>
      <c r="D17" s="137">
        <f>SUM(D5:D16)</f>
        <v>6</v>
      </c>
      <c r="E17" s="134"/>
      <c r="F17" s="134"/>
      <c r="G17" s="134"/>
      <c r="H17" s="134"/>
      <c r="I17" s="134"/>
      <c r="K17" s="308"/>
      <c r="L17" s="308" t="s">
        <v>1912</v>
      </c>
      <c r="M17" s="308" t="s">
        <v>1913</v>
      </c>
    </row>
    <row r="18" spans="1:36" ht="31.95" customHeight="1" thickBot="1">
      <c r="A18" s="1915" t="s">
        <v>1914</v>
      </c>
      <c r="B18" s="1916"/>
      <c r="C18" s="138">
        <f>ROUND(C17/SUM(C17:D17),2)</f>
        <v>0.4</v>
      </c>
      <c r="D18" s="138">
        <f>1-C18</f>
        <v>0.6</v>
      </c>
      <c r="E18" s="3395" t="s">
        <v>2814</v>
      </c>
      <c r="F18" s="3396"/>
      <c r="G18" s="3396"/>
      <c r="H18" s="3396"/>
      <c r="I18" s="3396"/>
      <c r="K18" s="308" t="s">
        <v>1915</v>
      </c>
      <c r="L18" s="308">
        <f>IF(C1="",'数据-汇总表'!E3,SUMIF(项目类型,C1,'数据-汇总表'!E17:E26)+SUMIF(项目类型,C1,'数据-汇总表'!I17:I26))</f>
        <v>9321.1299999999992</v>
      </c>
      <c r="M18" s="308">
        <f>IF(C1="",'数据-汇总表'!E3,SUMIF(项目类型,C1,'数据-汇总表'!E17:E26))</f>
        <v>9321.1299999999992</v>
      </c>
    </row>
    <row r="19" spans="1:36" ht="14.4">
      <c r="A19" s="1917" t="s">
        <v>1916</v>
      </c>
      <c r="B19" s="1918" t="s">
        <v>1917</v>
      </c>
      <c r="C19" s="139">
        <f ca="1">SUMIF(INDIRECT("'"&amp;C4&amp;"'"&amp;"!A:A"),结果表!B19,INDIRECT("'"&amp;C4&amp;"'"&amp;"!B:B"))</f>
        <v>7627</v>
      </c>
      <c r="D19" s="140">
        <f ca="1">SUMIF(INDIRECT("'"&amp;D4&amp;"'"&amp;"!A:A"),结果表!B19,INDIRECT("'"&amp;D4&amp;"'"&amp;"!B:B"))</f>
        <v>10248</v>
      </c>
      <c r="E19" s="1917" t="s">
        <v>1918</v>
      </c>
      <c r="F19" s="1918" t="s">
        <v>1917</v>
      </c>
      <c r="G19" s="141">
        <f ca="1">ROUND(C19*$C$18+D19*$D$18,0)</f>
        <v>9200</v>
      </c>
      <c r="H19" s="1919" t="s">
        <v>1919</v>
      </c>
      <c r="I19" s="134"/>
      <c r="K19" s="308" t="s">
        <v>1920</v>
      </c>
      <c r="L19" s="308">
        <f>IF(C1="",'数据-汇总表'!D3,SUMIF(项目类型,C1,'数据-汇总表'!D17:D26)+SUMIF(项目类型,C1,'数据-汇总表'!H17:H27))</f>
        <v>16308.9</v>
      </c>
      <c r="M19" s="308">
        <f>IF(C1="",'数据-汇总表'!D3,SUMIF(项目类型,C1,'数据-汇总表'!D17:D26))</f>
        <v>16308.9</v>
      </c>
    </row>
    <row r="20" spans="1:36" ht="14.4">
      <c r="A20" s="1920"/>
      <c r="B20" s="1157" t="s">
        <v>1921</v>
      </c>
      <c r="C20" s="142">
        <f ca="1">SUMIF(INDIRECT("'"&amp;C4&amp;"'"&amp;"!A:A"),结果表!B20,INDIRECT("'"&amp;C4&amp;"'"&amp;"!B:B"))</f>
        <v>8182</v>
      </c>
      <c r="D20" s="143">
        <f ca="1">SUMIF(INDIRECT("'"&amp;D4&amp;"'"&amp;"!A:A"),结果表!B20,INDIRECT("'"&amp;D4&amp;"'"&amp;"!B:B"))</f>
        <v>10994</v>
      </c>
      <c r="E20" s="1920"/>
      <c r="F20" s="1157" t="s">
        <v>1921</v>
      </c>
      <c r="G20" s="144">
        <f ca="1">ROUND(C20*$C$18+D20*$D$18,0)</f>
        <v>9869</v>
      </c>
      <c r="H20" s="917" t="s">
        <v>1922</v>
      </c>
      <c r="I20" s="134"/>
    </row>
    <row r="21" spans="1:36" ht="15" customHeight="1" thickBot="1">
      <c r="A21" s="937"/>
      <c r="B21" s="1921" t="s">
        <v>1923</v>
      </c>
      <c r="C21" s="728">
        <f ca="1">ROUND(C19*10000/L19,0)</f>
        <v>4677</v>
      </c>
      <c r="D21" s="729">
        <f ca="1">ROUND(D19*10000/L19,0)</f>
        <v>6284</v>
      </c>
      <c r="E21" s="937"/>
      <c r="F21" s="1921" t="s">
        <v>1923</v>
      </c>
      <c r="G21" s="145">
        <f ca="1">ROUND(G19*10000/L19,0)</f>
        <v>5641</v>
      </c>
      <c r="H21" s="1922" t="s">
        <v>1922</v>
      </c>
      <c r="I21" s="134"/>
    </row>
    <row r="22" spans="1:36" ht="15" thickBot="1">
      <c r="A22" s="1844" t="s">
        <v>1924</v>
      </c>
      <c r="B22" s="1923"/>
      <c r="C22" s="1924"/>
      <c r="D22" s="730">
        <f ca="1">IF(C19&lt;D19,D19/C19-1,C19/D19-1)</f>
        <v>0.34364756785105555</v>
      </c>
      <c r="E22" s="134"/>
      <c r="F22" s="134"/>
      <c r="G22" s="134"/>
      <c r="H22" s="134"/>
      <c r="I22" s="134"/>
    </row>
    <row r="23" spans="1:36" ht="13.8" thickBot="1">
      <c r="A23" s="1903"/>
      <c r="B23" s="1903"/>
      <c r="C23" s="1903"/>
      <c r="D23" s="1903"/>
      <c r="E23" s="134"/>
      <c r="F23" s="134"/>
      <c r="G23" s="134"/>
      <c r="H23" s="134"/>
      <c r="I23" s="134"/>
    </row>
    <row r="24" spans="1:36" ht="14.4">
      <c r="A24" s="3388" t="s">
        <v>1925</v>
      </c>
      <c r="B24" s="1918" t="s">
        <v>1917</v>
      </c>
      <c r="C24" s="141">
        <f>IF(B30=0,0,D30)</f>
        <v>0</v>
      </c>
      <c r="D24" s="1925"/>
      <c r="E24" s="134"/>
      <c r="F24" s="134"/>
      <c r="G24" s="134"/>
      <c r="H24" s="134"/>
      <c r="I24" s="134"/>
    </row>
    <row r="25" spans="1:36" ht="14.4">
      <c r="A25" s="338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1931</v>
      </c>
      <c r="B32" s="1930"/>
      <c r="C32" s="149">
        <f ca="1">IF(D32="总价",G19-C24,G20-C25)</f>
        <v>9200</v>
      </c>
      <c r="D32" s="1931" t="s">
        <v>3158</v>
      </c>
      <c r="E32" s="134"/>
      <c r="F32" s="134"/>
      <c r="G32" s="134"/>
      <c r="H32" s="134"/>
      <c r="I32" s="134"/>
    </row>
    <row r="33" spans="1:15" ht="14.4">
      <c r="A33" s="894" t="s">
        <v>1932</v>
      </c>
      <c r="B33" s="1932"/>
      <c r="C33" s="1933" t="s">
        <v>3159</v>
      </c>
      <c r="D33" s="1934" t="s">
        <v>3157</v>
      </c>
      <c r="E33" s="1935" t="s">
        <v>1933</v>
      </c>
      <c r="F33" s="1936" t="str">
        <f>IF(D32="楼面单价","取值（单价）","取值（总价）")</f>
        <v>取值（总价）</v>
      </c>
      <c r="G33" s="134"/>
      <c r="H33" s="134"/>
      <c r="I33" s="134"/>
    </row>
    <row r="34" spans="1:15" ht="14.4">
      <c r="A34" s="1937"/>
      <c r="B34" s="1938" t="s">
        <v>1934</v>
      </c>
      <c r="C34" s="153">
        <f ca="1">IF(C33="自定义",F34,C32-C35)</f>
        <v>5391</v>
      </c>
      <c r="D34" s="970">
        <f ca="1">IF(C33="自定义",ROUND(C34/C32,3),IF(C33="收益比率",SUMIF(INDIRECT("'"&amp;D33&amp;"'"&amp;"!b:b"),"土地收益比率",INDIRECT("'"&amp;D33&amp;"'"&amp;"!c:c")),SUMIF(INDIRECT("'"&amp;D33&amp;"'"&amp;"!b:b"),"土地成本比率",INDIRECT("'"&amp;D33&amp;"'"&amp;"!c:c"))))</f>
        <v>0.58600000000000008</v>
      </c>
      <c r="E34" s="1939" t="s">
        <v>1935</v>
      </c>
      <c r="F34" s="1470"/>
      <c r="G34" s="134"/>
      <c r="H34" s="134"/>
      <c r="I34" s="134"/>
    </row>
    <row r="35" spans="1:15" ht="15" thickBot="1">
      <c r="A35" s="1940"/>
      <c r="B35" s="1941" t="s">
        <v>1936</v>
      </c>
      <c r="C35" s="1304">
        <f ca="1">IF(C33="自定义",F35,ROUND(C32*D35,0))</f>
        <v>3809</v>
      </c>
      <c r="D35" s="1305">
        <f ca="1">IF(C33="自定义",ROUND(C35/C32,3),IF(C33="收益比率",SUMIF(INDIRECT("'"&amp;D33&amp;"'"&amp;"!b:b"),"建筑物收益比率",INDIRECT("'"&amp;D33&amp;"'"&amp;"!c:c")),SUMIF(INDIRECT("'"&amp;D33&amp;"'"&amp;"!b:b"),"建筑物成本比率",INDIRECT("'"&amp;D33&amp;"'"&amp;"!c:c"))))</f>
        <v>0.41399999999999998</v>
      </c>
      <c r="E35" s="1942" t="s">
        <v>1937</v>
      </c>
      <c r="F35" s="159"/>
      <c r="G35" s="134"/>
      <c r="H35" s="134"/>
      <c r="I35" s="134"/>
    </row>
    <row r="36" spans="1:15" ht="15" thickBot="1">
      <c r="A36" s="3365" t="s">
        <v>1938</v>
      </c>
      <c r="B36" s="1943" t="s">
        <v>1939</v>
      </c>
      <c r="C36" s="150"/>
      <c r="D36" s="1944"/>
      <c r="E36" s="1945"/>
      <c r="F36" s="1946"/>
      <c r="G36" s="134"/>
      <c r="H36" s="134"/>
      <c r="I36" s="134"/>
    </row>
    <row r="37" spans="1:15" ht="15" thickBot="1">
      <c r="A37" s="3366"/>
      <c r="B37" s="1830" t="s">
        <v>1940</v>
      </c>
      <c r="C37" s="152"/>
      <c r="D37" s="1273"/>
      <c r="E37" s="1273"/>
      <c r="F37" s="1946"/>
      <c r="G37" s="134"/>
      <c r="H37" s="134"/>
      <c r="I37" s="134"/>
    </row>
    <row r="38" spans="1:15" ht="15" thickBot="1">
      <c r="A38" s="3367"/>
      <c r="B38" s="1947" t="s">
        <v>1941</v>
      </c>
      <c r="C38" s="683"/>
      <c r="D38" s="1948" t="s">
        <v>1942</v>
      </c>
      <c r="E38" s="1273"/>
      <c r="F38" s="1946"/>
      <c r="G38" s="134"/>
      <c r="H38" s="134"/>
      <c r="I38" s="134"/>
    </row>
    <row r="39" spans="1:15" ht="14.4">
      <c r="A39" s="1920" t="s">
        <v>1943</v>
      </c>
      <c r="B39" s="1949" t="s">
        <v>1944</v>
      </c>
      <c r="C39" s="1950" t="s">
        <v>1945</v>
      </c>
      <c r="D39" s="1950" t="s">
        <v>1946</v>
      </c>
      <c r="E39" s="1951" t="s">
        <v>1947</v>
      </c>
      <c r="F39" s="1946"/>
      <c r="G39" s="134"/>
      <c r="H39" s="134"/>
      <c r="I39" s="134"/>
    </row>
    <row r="40" spans="1:15" ht="13.8">
      <c r="A40" s="1952" t="s">
        <v>1948</v>
      </c>
      <c r="B40" s="154"/>
      <c r="C40" s="155"/>
      <c r="D40" s="155"/>
      <c r="E40" s="156"/>
      <c r="F40" s="1946"/>
      <c r="G40" s="134"/>
      <c r="H40" s="134"/>
      <c r="I40" s="134"/>
    </row>
    <row r="41" spans="1:15" ht="13.8">
      <c r="A41" s="1952" t="s">
        <v>1949</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5" t="s">
        <v>1952</v>
      </c>
      <c r="B45" s="3386"/>
      <c r="C45" s="3387"/>
      <c r="D45" s="160">
        <f ca="1">ROUND(H101*F45,0)</f>
        <v>9200</v>
      </c>
      <c r="E45" s="161" t="s">
        <v>1953</v>
      </c>
      <c r="F45" s="162">
        <v>1</v>
      </c>
      <c r="G45" s="163" t="s">
        <v>1954</v>
      </c>
      <c r="H45" s="134"/>
      <c r="I45" s="134"/>
      <c r="J45" s="3302" t="s">
        <v>1955</v>
      </c>
      <c r="K45" s="3302"/>
      <c r="L45" s="3302"/>
      <c r="M45" s="3302"/>
      <c r="N45" s="3302"/>
      <c r="O45" s="3302"/>
    </row>
    <row r="46" spans="1:15" ht="14.25" customHeight="1">
      <c r="A46" s="3382" t="s">
        <v>1956</v>
      </c>
      <c r="B46" s="3383"/>
      <c r="C46" s="3383"/>
      <c r="D46" s="3383"/>
      <c r="E46" s="3383"/>
      <c r="F46" s="3383"/>
      <c r="G46" s="3384"/>
      <c r="H46" s="1962"/>
      <c r="I46" s="164"/>
      <c r="J46" s="2717">
        <v>1</v>
      </c>
      <c r="K46" s="3303" t="s">
        <v>1957</v>
      </c>
      <c r="L46" s="3303"/>
      <c r="M46" s="3304"/>
      <c r="N46" s="3304"/>
      <c r="O46" s="3304"/>
    </row>
    <row r="47" spans="1:15" ht="12" customHeight="1">
      <c r="A47" s="165" t="s">
        <v>1958</v>
      </c>
      <c r="B47" s="166"/>
      <c r="C47" s="167"/>
      <c r="D47" s="1219" t="s">
        <v>1959</v>
      </c>
      <c r="E47" s="308" t="s">
        <v>1960</v>
      </c>
      <c r="F47" s="168" t="s">
        <v>1961</v>
      </c>
      <c r="G47" s="2740" t="s">
        <v>1962</v>
      </c>
      <c r="H47" s="2741"/>
      <c r="I47" s="164"/>
      <c r="J47" s="2717">
        <v>2</v>
      </c>
      <c r="K47" s="3303" t="s">
        <v>1963</v>
      </c>
      <c r="L47" s="3303"/>
      <c r="M47" s="3305">
        <f>'数据-取费表'!B2</f>
        <v>44663</v>
      </c>
      <c r="N47" s="3305"/>
      <c r="O47" s="3305"/>
    </row>
    <row r="48" spans="1:15" ht="26.4">
      <c r="A48" s="3368" t="s">
        <v>1964</v>
      </c>
      <c r="B48" s="3369"/>
      <c r="C48" s="3369"/>
      <c r="D48" s="2517">
        <f ca="1">IF(H48="情况1",0,IF(H48="情况2",D52,IF(H48="情况3",D53,IF(H48="情况4",D54))))</f>
        <v>482</v>
      </c>
      <c r="E48" s="2527" t="str">
        <f>IF(H48="情况4","(销售额-原购置价)×税（费）率","销售额×税（费）率")</f>
        <v>销售额×税（费）率</v>
      </c>
      <c r="F48" s="2742">
        <f>IF(H48="情况1","免征",'数据-取费表'!B41)</f>
        <v>5.5000000000000007E-2</v>
      </c>
      <c r="G48" s="2743" t="s">
        <v>1965</v>
      </c>
      <c r="H48" s="2744" t="s">
        <v>3162</v>
      </c>
      <c r="I48" s="1962"/>
      <c r="J48" s="2717">
        <v>3</v>
      </c>
      <c r="K48" s="3303" t="s">
        <v>1966</v>
      </c>
      <c r="L48" s="3303"/>
      <c r="M48" s="3306">
        <f ca="1">H101</f>
        <v>9200</v>
      </c>
      <c r="N48" s="3306"/>
      <c r="O48" s="3306"/>
    </row>
    <row r="49" spans="1:35" ht="25.5" customHeight="1">
      <c r="A49" s="2526" t="s">
        <v>1967</v>
      </c>
      <c r="B49" s="3351" t="s">
        <v>1968</v>
      </c>
      <c r="C49" s="3351"/>
      <c r="D49" s="1745">
        <v>0</v>
      </c>
      <c r="E49" s="330" t="s">
        <v>1969</v>
      </c>
      <c r="F49" s="2618" t="s">
        <v>34</v>
      </c>
      <c r="G49" s="3334"/>
      <c r="H49" s="2498" t="s">
        <v>2817</v>
      </c>
      <c r="I49" s="2499"/>
      <c r="J49" s="2717">
        <v>4</v>
      </c>
      <c r="K49" s="3303" t="str">
        <f>IF(项目基本情况!E8="房地产抵押价值","房地产抵押价值","抵押担保权已注销时的房地产抵押价值")</f>
        <v>房地产抵押价值</v>
      </c>
      <c r="L49" s="3303"/>
      <c r="M49" s="3306">
        <f ca="1">IF(项目基本情况!E8="房地产抵押价值",H107,H109)</f>
        <v>9200</v>
      </c>
      <c r="N49" s="3306"/>
      <c r="O49" s="3306"/>
    </row>
    <row r="50" spans="1:35" ht="25.5" customHeight="1">
      <c r="A50" s="2745"/>
      <c r="B50" s="3351" t="s">
        <v>1970</v>
      </c>
      <c r="C50" s="3351"/>
      <c r="D50" s="2746"/>
      <c r="E50" s="338"/>
      <c r="F50" s="2618"/>
      <c r="G50" s="3335"/>
      <c r="H50" s="2500" t="s">
        <v>2818</v>
      </c>
      <c r="I50" s="2499"/>
      <c r="J50" s="3302" t="s">
        <v>1971</v>
      </c>
      <c r="K50" s="3302"/>
      <c r="L50" s="3302"/>
      <c r="M50" s="3302"/>
      <c r="N50" s="3302"/>
      <c r="O50" s="3302"/>
    </row>
    <row r="51" spans="1:35" ht="20.399999999999999" customHeight="1">
      <c r="A51" s="2747"/>
      <c r="B51" s="3351" t="s">
        <v>1972</v>
      </c>
      <c r="C51" s="3351"/>
      <c r="D51" s="1219"/>
      <c r="E51" s="333"/>
      <c r="F51" s="2618"/>
      <c r="G51" s="3336"/>
      <c r="H51" s="2500" t="s">
        <v>2819</v>
      </c>
      <c r="I51" s="2499"/>
      <c r="J51" s="2718" t="s">
        <v>1973</v>
      </c>
      <c r="K51" s="3303" t="s">
        <v>1974</v>
      </c>
      <c r="L51" s="3303"/>
      <c r="M51" s="2718" t="s">
        <v>1975</v>
      </c>
      <c r="N51" s="2718" t="s">
        <v>1976</v>
      </c>
      <c r="O51" s="2718" t="s">
        <v>1977</v>
      </c>
    </row>
    <row r="52" spans="1:35" ht="24" customHeight="1">
      <c r="A52" s="2528" t="s">
        <v>1978</v>
      </c>
      <c r="B52" s="3351" t="s">
        <v>1979</v>
      </c>
      <c r="C52" s="3351"/>
      <c r="D52" s="1219">
        <f ca="1">ROUND(D45*'数据-取费表'!B41/(1+'数据-取费表'!C42),0)</f>
        <v>482</v>
      </c>
      <c r="E52" s="2527" t="s">
        <v>1980</v>
      </c>
      <c r="F52" s="2748">
        <f>'数据-取费表'!B41</f>
        <v>5.5000000000000007E-2</v>
      </c>
      <c r="G52" s="2749"/>
      <c r="H52" s="2738"/>
      <c r="I52" s="1963"/>
      <c r="J52" s="2717">
        <v>1</v>
      </c>
      <c r="K52" s="3328" t="s">
        <v>1981</v>
      </c>
      <c r="L52" s="3328"/>
      <c r="M52" s="2719">
        <f ca="1">D48</f>
        <v>482</v>
      </c>
      <c r="N52" s="2717" t="str">
        <f>E48</f>
        <v>销售额×税（费）率</v>
      </c>
      <c r="O52" s="2720">
        <f>F48</f>
        <v>5.5000000000000007E-2</v>
      </c>
    </row>
    <row r="53" spans="1:35" ht="12" customHeight="1">
      <c r="A53" s="2528" t="s">
        <v>1982</v>
      </c>
      <c r="B53" s="3352" t="s">
        <v>2978</v>
      </c>
      <c r="C53" s="3353"/>
      <c r="D53" s="1219">
        <f ca="1">ROUND(D45*'数据-取费表'!B41/(1+'数据-取费表'!C42),0)</f>
        <v>482</v>
      </c>
      <c r="E53" s="2527" t="s">
        <v>1980</v>
      </c>
      <c r="F53" s="2748">
        <f>'数据-取费表'!B41</f>
        <v>5.5000000000000007E-2</v>
      </c>
      <c r="G53" s="2749"/>
      <c r="H53" s="2738"/>
      <c r="I53" s="1963"/>
      <c r="J53" s="2717">
        <v>2</v>
      </c>
      <c r="K53" s="3328" t="s">
        <v>1983</v>
      </c>
      <c r="L53" s="3328"/>
      <c r="M53" s="2719">
        <f t="shared" ref="M53:O54" ca="1" si="0">D55</f>
        <v>5</v>
      </c>
      <c r="N53" s="2717" t="str">
        <f t="shared" si="0"/>
        <v>销售额×税（费）率</v>
      </c>
      <c r="O53" s="2720">
        <f t="shared" si="0"/>
        <v>5.0000000000000001E-4</v>
      </c>
    </row>
    <row r="54" spans="1:35" ht="12" customHeight="1">
      <c r="A54" s="2528" t="s">
        <v>1984</v>
      </c>
      <c r="B54" s="3352" t="s">
        <v>2979</v>
      </c>
      <c r="C54" s="3353"/>
      <c r="D54" s="1219">
        <f ca="1">C68</f>
        <v>482</v>
      </c>
      <c r="E54" s="333" t="s">
        <v>1985</v>
      </c>
      <c r="F54" s="2748">
        <f>'数据-取费表'!B41</f>
        <v>5.5000000000000007E-2</v>
      </c>
      <c r="G54" s="2749"/>
      <c r="H54" s="2750"/>
      <c r="I54" s="1963"/>
      <c r="J54" s="2717">
        <v>3</v>
      </c>
      <c r="K54" s="3328" t="s">
        <v>1986</v>
      </c>
      <c r="L54" s="3328"/>
      <c r="M54" s="2719">
        <f t="shared" ca="1" si="0"/>
        <v>204</v>
      </c>
      <c r="N54" s="2717" t="str">
        <f t="shared" si="0"/>
        <v>增值额×税（费）率</v>
      </c>
      <c r="O54" s="2721" t="str">
        <f t="shared" si="0"/>
        <v>——</v>
      </c>
    </row>
    <row r="55" spans="1:35" ht="24" customHeight="1">
      <c r="A55" s="3391" t="s">
        <v>1987</v>
      </c>
      <c r="B55" s="3369"/>
      <c r="C55" s="3369"/>
      <c r="D55" s="2517">
        <f ca="1">IF(H55="个人住宅",0,ROUND(D45*I55,0))</f>
        <v>5</v>
      </c>
      <c r="E55" s="2527" t="s">
        <v>1988</v>
      </c>
      <c r="F55" s="2748">
        <f>IF(H55="正常",I55,"免征")</f>
        <v>5.0000000000000001E-4</v>
      </c>
      <c r="G55" s="2749"/>
      <c r="H55" s="2744" t="s">
        <v>3160</v>
      </c>
      <c r="I55" s="170">
        <f>'数据-取费表'!B49</f>
        <v>5.0000000000000001E-4</v>
      </c>
      <c r="J55" s="2717" t="str">
        <f>IF(H59="非个人房产","",4)</f>
        <v/>
      </c>
      <c r="K55" s="3328" t="str">
        <f>IF(H59="非个人房产","——","个人所得税")</f>
        <v>——</v>
      </c>
      <c r="L55" s="3328"/>
      <c r="M55" s="2722" t="str">
        <f>D59</f>
        <v>——</v>
      </c>
      <c r="N55" s="2198" t="str">
        <f>E59</f>
        <v>——</v>
      </c>
      <c r="O55" s="2723" t="str">
        <f>F59</f>
        <v>——</v>
      </c>
    </row>
    <row r="56" spans="1:35" ht="25.2">
      <c r="A56" s="3391" t="s">
        <v>1989</v>
      </c>
      <c r="B56" s="3369"/>
      <c r="C56" s="3369"/>
      <c r="D56" s="2517">
        <f ca="1">IF(H56="个人住宅",D57,D58)</f>
        <v>204</v>
      </c>
      <c r="E56" s="2527" t="s">
        <v>1990</v>
      </c>
      <c r="F56" s="2748" t="str">
        <f>IF(H56="正常",F58,"免征")</f>
        <v>——</v>
      </c>
      <c r="G56" s="2751" t="s">
        <v>1991</v>
      </c>
      <c r="H56" s="2752" t="s">
        <v>3160</v>
      </c>
      <c r="I56" s="1964"/>
      <c r="J56" s="2717" t="str">
        <f>IF(项目基本情况!K6="上海银行",IF(J55="",4,J55+1),"")</f>
        <v/>
      </c>
      <c r="K56" s="3309" t="str">
        <f>IF(项目基本情况!K6="上海银行","其他处置费用","")</f>
        <v/>
      </c>
      <c r="L56" s="3310"/>
      <c r="M56" s="2719" t="str">
        <f>IF(项目基本情况!K6="上海银行",M69,"")</f>
        <v/>
      </c>
      <c r="N56" s="3309" t="str">
        <f>IF(项目基本情况!K6="上海银行","包含处置中涉及的律师、诉讼、拍卖、评估等费用","")</f>
        <v/>
      </c>
      <c r="O56" s="3312"/>
    </row>
    <row r="57" spans="1:35" ht="13.2">
      <c r="A57" s="2528" t="s">
        <v>1967</v>
      </c>
      <c r="B57" s="3352" t="s">
        <v>1992</v>
      </c>
      <c r="C57" s="3353"/>
      <c r="D57" s="1745">
        <v>0</v>
      </c>
      <c r="E57" s="330" t="s">
        <v>1969</v>
      </c>
      <c r="F57" s="308"/>
      <c r="G57" s="2749"/>
      <c r="H57" s="2753"/>
      <c r="I57" s="1964"/>
      <c r="J57" s="3328">
        <f>IF(AND(J55="",J56=""),4,IF(项目基本情况!K6="上海银行",结果表!J56+1,结果表!J55+1))</f>
        <v>4</v>
      </c>
      <c r="K57" s="3328" t="s">
        <v>1993</v>
      </c>
      <c r="L57" s="2724" t="s">
        <v>1994</v>
      </c>
      <c r="M57" s="2725"/>
      <c r="N57" s="2726">
        <f ca="1">SUMIF(M52:M56,"&lt;9e307")</f>
        <v>691</v>
      </c>
      <c r="O57" s="2727"/>
      <c r="P57" s="2887">
        <f ca="1">N57/M49</f>
        <v>7.5108695652173915E-2</v>
      </c>
    </row>
    <row r="58" spans="1:35" ht="25.2">
      <c r="A58" s="2528" t="s">
        <v>1978</v>
      </c>
      <c r="B58" s="3352" t="s">
        <v>1995</v>
      </c>
      <c r="C58" s="3351"/>
      <c r="D58" s="2517">
        <f ca="1">IF(H58="转让取得",C81,C97)</f>
        <v>204</v>
      </c>
      <c r="E58" s="2527" t="s">
        <v>1990</v>
      </c>
      <c r="F58" s="308" t="s">
        <v>34</v>
      </c>
      <c r="G58" s="2749"/>
      <c r="H58" s="2752" t="s">
        <v>3161</v>
      </c>
      <c r="I58" s="1964"/>
      <c r="J58" s="3328"/>
      <c r="K58" s="3328"/>
      <c r="L58" s="2724" t="s">
        <v>1996</v>
      </c>
      <c r="M58" s="2728"/>
      <c r="N58" s="2729" t="str">
        <f ca="1">NUMBERSTRING(INT(N57*10000),2)&amp;"元整"</f>
        <v>陆佰玖拾壹万元整</v>
      </c>
      <c r="O58" s="2730"/>
    </row>
    <row r="59" spans="1:35" ht="24.6" thickBot="1">
      <c r="A59" s="3332" t="s">
        <v>1997</v>
      </c>
      <c r="B59" s="3333"/>
      <c r="C59" s="3333"/>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2" t="s">
        <v>3163</v>
      </c>
      <c r="I59" s="2501" t="s">
        <v>2820</v>
      </c>
      <c r="J59" s="3330">
        <f>J57+1</f>
        <v>5</v>
      </c>
      <c r="K59" s="3328" t="s">
        <v>1998</v>
      </c>
      <c r="L59" s="2717" t="s">
        <v>1994</v>
      </c>
      <c r="M59" s="2731"/>
      <c r="N59" s="2732">
        <f ca="1">M49-N57</f>
        <v>8509</v>
      </c>
      <c r="O59" s="2733"/>
    </row>
    <row r="60" spans="1:35" ht="12" customHeight="1">
      <c r="A60" s="1965"/>
      <c r="B60" s="1903"/>
      <c r="C60" s="1903"/>
      <c r="D60" s="1903"/>
      <c r="E60" s="1733"/>
      <c r="F60" s="1964"/>
      <c r="G60" s="1964"/>
      <c r="H60" s="1966"/>
      <c r="I60" s="134"/>
      <c r="J60" s="3331"/>
      <c r="K60" s="3328"/>
      <c r="L60" s="2724" t="s">
        <v>1996</v>
      </c>
      <c r="M60" s="2728"/>
      <c r="N60" s="2729" t="str">
        <f ca="1">NUMBERSTRING(INT(N59*10000),2)&amp;"元整"</f>
        <v>捌仟伍佰零玖万元整</v>
      </c>
      <c r="O60" s="2730"/>
    </row>
    <row r="61" spans="1:35" ht="13.8" thickBot="1">
      <c r="A61" s="3390" t="s">
        <v>1999</v>
      </c>
      <c r="B61" s="3390"/>
      <c r="C61" s="3390"/>
      <c r="D61" s="3390"/>
      <c r="E61" s="3390"/>
      <c r="F61" s="1964"/>
      <c r="G61" s="1964"/>
      <c r="H61" s="1966"/>
      <c r="I61" s="134"/>
      <c r="J61" s="2717">
        <f>J59+1</f>
        <v>6</v>
      </c>
      <c r="K61" s="3328" t="s">
        <v>2000</v>
      </c>
      <c r="L61" s="3328"/>
      <c r="M61" s="2734"/>
      <c r="N61" s="2735">
        <f ca="1">ROUND(N59*10000/'数据-汇总表'!E3,0)</f>
        <v>9129</v>
      </c>
      <c r="O61" s="2736"/>
    </row>
    <row r="62" spans="1:35" ht="13.2">
      <c r="A62" s="3347" t="s">
        <v>2001</v>
      </c>
      <c r="B62" s="3348"/>
      <c r="C62" s="2179"/>
      <c r="D62" s="2179" t="s">
        <v>2002</v>
      </c>
      <c r="E62" s="171" t="s">
        <v>2003</v>
      </c>
      <c r="F62" s="1964"/>
      <c r="G62" s="1964"/>
      <c r="H62" s="1966"/>
      <c r="I62" s="134"/>
    </row>
    <row r="63" spans="1:35" ht="13.2">
      <c r="A63" s="178" t="s">
        <v>775</v>
      </c>
      <c r="B63" s="172" t="s">
        <v>2004</v>
      </c>
      <c r="C63" s="2758">
        <f ca="1">ROUND((C64+C65)/(1+'数据-取费表'!C42),0)</f>
        <v>8762</v>
      </c>
      <c r="D63" s="172"/>
      <c r="E63" s="173"/>
      <c r="F63" s="1964"/>
      <c r="G63" s="1964"/>
      <c r="H63" s="1966"/>
      <c r="I63" s="134"/>
      <c r="J63" s="3311" t="s">
        <v>2005</v>
      </c>
      <c r="K63" s="1472" t="s">
        <v>2006</v>
      </c>
      <c r="L63" s="1472">
        <f ca="1">IF(M49&gt;10000,M49*0.5%,IF(AND(M49&gt;1000,M49&lt;=10000),M49*1%,IF(AND(M49&gt;100,M49&lt;=1000),M49*3%,IF(AND(M49&gt;10,M49&lt;=100),M49*5%,M49*8%))))</f>
        <v>92</v>
      </c>
      <c r="M63" s="308">
        <f ca="1">ROUND(L63,1)</f>
        <v>92</v>
      </c>
      <c r="N63" s="2737"/>
      <c r="Z63" s="1908"/>
      <c r="AI63" s="1909"/>
    </row>
    <row r="64" spans="1:35" ht="14.25" customHeight="1">
      <c r="A64" s="174" t="s">
        <v>770</v>
      </c>
      <c r="B64" s="175" t="s">
        <v>2007</v>
      </c>
      <c r="C64" s="2759">
        <f ca="1">D45</f>
        <v>9200</v>
      </c>
      <c r="D64" s="175" t="s">
        <v>32</v>
      </c>
      <c r="E64" s="177"/>
      <c r="F64" s="1964"/>
      <c r="G64" s="1964"/>
      <c r="H64" s="1966"/>
      <c r="I64" s="134"/>
      <c r="J64" s="3311"/>
      <c r="K64" s="1472" t="s">
        <v>2008</v>
      </c>
      <c r="L64" s="1472">
        <f ca="1">IF(M49&gt;2000,M49*0.5%,IF(AND(M49&gt;1000,M49&lt;=2000),M49*0.6%,IF(AND(M49&gt;500,M49&lt;=1000),M49*0.7%,IF(AND(M49&gt;200,M49&lt;=500),M49*0.8%,IF(AND(M49&gt;100,M49&lt;=200),M49*0.9%,IF(AND(M49&gt;50,M49&lt;=100),M49*1%,IF(AND(M49&gt;20,M49&lt;=50),M49*1.5%,IF(AND(M49&gt;10,M49&lt;=20),M49*2%,IF(AND(M49&gt;1,M49&lt;=10),M49*2.5%)))))))))</f>
        <v>46</v>
      </c>
      <c r="M64" s="308">
        <f t="shared" ref="M64:M65" ca="1" si="1">ROUND(L64,1)</f>
        <v>46</v>
      </c>
      <c r="N64" s="2738" t="s">
        <v>2009</v>
      </c>
      <c r="Z64" s="1908"/>
      <c r="AI64" s="1909"/>
    </row>
    <row r="65" spans="1:35" ht="14.25" customHeight="1">
      <c r="A65" s="174" t="s">
        <v>771</v>
      </c>
      <c r="B65" s="175" t="s">
        <v>2010</v>
      </c>
      <c r="C65" s="2760"/>
      <c r="D65" s="175"/>
      <c r="E65" s="177"/>
      <c r="F65" s="1964"/>
      <c r="G65" s="1964"/>
      <c r="H65" s="1966"/>
      <c r="I65" s="134"/>
      <c r="J65" s="3311"/>
      <c r="K65" s="1472" t="s">
        <v>2011</v>
      </c>
      <c r="L65" s="1472">
        <f ca="1">IF(M49&gt;1000,M49*0.1%,IF(AND(M49&gt;500,M49&lt;=1000),M49*0.5%,IF(AND(M49&gt;50,M49&lt;=500),M49*1%,IF(AND(M49&gt;1,M49&lt;=50),M49*1.5%))))</f>
        <v>9.2000000000000011</v>
      </c>
      <c r="M65" s="308">
        <f t="shared" ca="1" si="1"/>
        <v>9.1999999999999993</v>
      </c>
      <c r="N65" s="2738" t="s">
        <v>2009</v>
      </c>
      <c r="Z65" s="1908"/>
      <c r="AI65" s="1909"/>
    </row>
    <row r="66" spans="1:35" ht="14.25" customHeight="1">
      <c r="A66" s="178" t="s">
        <v>772</v>
      </c>
      <c r="B66" s="179" t="s">
        <v>2012</v>
      </c>
      <c r="C66" s="2761"/>
      <c r="D66" s="179" t="s">
        <v>32</v>
      </c>
      <c r="E66" s="1479" t="s">
        <v>1277</v>
      </c>
      <c r="F66" s="1964"/>
      <c r="G66" s="1964"/>
      <c r="H66" s="1966"/>
      <c r="I66" s="134"/>
      <c r="J66" s="3311"/>
      <c r="K66" s="1472" t="s">
        <v>2013</v>
      </c>
      <c r="L66" s="1472">
        <f ca="1">M49*0.5%</f>
        <v>46</v>
      </c>
      <c r="M66" s="308">
        <f ca="1">IF(L66&gt;0.5,0.5,ROUND(L66,0))</f>
        <v>0.5</v>
      </c>
      <c r="N66" s="2738" t="s">
        <v>2014</v>
      </c>
      <c r="Z66" s="1908"/>
      <c r="AI66" s="1909"/>
    </row>
    <row r="67" spans="1:35" ht="14.25" customHeight="1">
      <c r="A67" s="178" t="s">
        <v>773</v>
      </c>
      <c r="B67" s="179" t="s">
        <v>2015</v>
      </c>
      <c r="C67" s="2762">
        <f ca="1">C63-C66</f>
        <v>8762</v>
      </c>
      <c r="D67" s="175" t="s">
        <v>32</v>
      </c>
      <c r="E67" s="177"/>
      <c r="F67" s="1964"/>
      <c r="G67" s="1964"/>
      <c r="H67" s="1966"/>
      <c r="I67" s="134"/>
      <c r="J67" s="3311"/>
      <c r="K67" s="1472" t="s">
        <v>2016</v>
      </c>
      <c r="L67" s="1472">
        <f ca="1">IF(M49&gt;=10000,(8.25+(M49-10000)*0.01%),IF(AND(M49&gt;=8000,M49&lt;10000),(7.85+(M49-8000)*0.02%),IF(AND(M49&gt;=5000,M49&lt;8000),(6.65+(M49-5000)*0.04%),IF(AND(M49&gt;=2000,M49&lt;5000),(4.25+(PM49-2000)*0.08%),IF(AND(M49&gt;=1000,M49&lt;2000),(2.75+(M49-1000)*0.15%),IF(AND(M49&gt;=100,M49&lt;1000),(0.5+(M49-100)*0.25%),IF(AND(M49&gt;0,M49&lt;100),M49*0.5%)))))))</f>
        <v>8.09</v>
      </c>
      <c r="M67" s="308">
        <f ca="1">ROUND(L67*0.9,1)</f>
        <v>7.3</v>
      </c>
      <c r="N67" s="2737"/>
      <c r="Z67" s="1908"/>
      <c r="AI67" s="1909"/>
    </row>
    <row r="68" spans="1:35" ht="14.25" customHeight="1" thickBot="1">
      <c r="A68" s="181" t="s">
        <v>774</v>
      </c>
      <c r="B68" s="182" t="s">
        <v>2017</v>
      </c>
      <c r="C68" s="2763">
        <f ca="1">IF(C67&lt;=0,0,ROUND(C67*D68,0))</f>
        <v>482</v>
      </c>
      <c r="D68" s="2764">
        <f>'数据-取费表'!B41</f>
        <v>5.5000000000000007E-2</v>
      </c>
      <c r="E68" s="184"/>
      <c r="F68" s="1964"/>
      <c r="G68" s="1964"/>
      <c r="H68" s="1966"/>
      <c r="I68" s="134"/>
      <c r="J68" s="3311"/>
      <c r="K68" s="1472" t="s">
        <v>2018</v>
      </c>
      <c r="L68" s="1472">
        <f ca="1">IF(M49&gt;10000,M49*0.5%,IF(AND(M49&gt;5000,M49&lt;=10000),M49*1%,IF(AND(M49&gt;1000,M49&lt;=5000),M49*2%,IF(AND(M49&gt;200,M49&lt;=1000),M49*3%,M49*5%))))</f>
        <v>92</v>
      </c>
      <c r="M68" s="308">
        <f ca="1">ROUND(L68,1)</f>
        <v>92</v>
      </c>
      <c r="N68" s="2737"/>
      <c r="Z68" s="1908"/>
      <c r="AI68" s="1909"/>
    </row>
    <row r="69" spans="1:35" s="1928" customFormat="1" ht="16.5" customHeight="1">
      <c r="A69" s="1967"/>
      <c r="B69" s="1968"/>
      <c r="C69" s="1969"/>
      <c r="D69" s="1970"/>
      <c r="E69" s="1971"/>
      <c r="F69" s="1733"/>
      <c r="G69" s="1733"/>
      <c r="H69" s="1732"/>
      <c r="I69" s="1903"/>
      <c r="J69" s="3311"/>
      <c r="K69" s="1472" t="s">
        <v>2019</v>
      </c>
      <c r="L69" s="1472"/>
      <c r="M69" s="308">
        <f ca="1">ROUND(SUM(M63:M68),0)</f>
        <v>247</v>
      </c>
      <c r="N69" s="2739">
        <f ca="1">M69/M49</f>
        <v>2.684782608695652E-2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355" t="s">
        <v>2020</v>
      </c>
      <c r="B70" s="3356"/>
      <c r="C70" s="3356"/>
      <c r="D70" s="3356"/>
      <c r="E70" s="3356"/>
      <c r="F70" s="3356"/>
      <c r="G70" s="3356"/>
      <c r="H70" s="335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347" t="s">
        <v>2001</v>
      </c>
      <c r="B71" s="3348"/>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2021</v>
      </c>
      <c r="C72" s="2762">
        <f ca="1">ROUND(D45/(1+'数据-取费表'!C42),0)</f>
        <v>8762</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2022</v>
      </c>
      <c r="C73" s="2762">
        <f ca="1">C74+C78</f>
        <v>44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2" t="s">
        <v>2028</v>
      </c>
      <c r="F76" s="3351"/>
      <c r="G76" s="3351"/>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44</v>
      </c>
      <c r="D78" s="2771">
        <f>'数据-取费表'!B43</f>
        <v>5.000000000000001E-3</v>
      </c>
      <c r="E78" s="3344" t="s">
        <v>2032</v>
      </c>
      <c r="F78" s="3345"/>
      <c r="G78" s="3345"/>
      <c r="H78" s="334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2033</v>
      </c>
      <c r="C79" s="2762">
        <f ca="1">C72-C73</f>
        <v>8718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198.13636363636363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2035</v>
      </c>
      <c r="C81" s="2773">
        <f ca="1">ROUND(IF(C79&lt;=0,0,IF(C80&gt;=200%,C79*60%-C73*35%,IF(C80&gt;=100%,C79*50%-C73*15%,IF(C80&gt;=50%,C79*40%-C73*5%,IF(C80&lt;50%,C79*30%,0))))),0)</f>
        <v>5215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355" t="s">
        <v>2036</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2021</v>
      </c>
      <c r="C85" s="2762">
        <f ca="1">ROUND(D45/(1+'数据-取费表'!C42),0)</f>
        <v>8762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2022</v>
      </c>
      <c r="C86" s="2762">
        <f ca="1">IF(H88="仅含出让金",C87+C90+C91+C92+C93+C94,C87+C91+C92+C93+C94)</f>
        <v>8081</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2037</v>
      </c>
      <c r="C87" s="2770">
        <f>C88+C89</f>
        <v>1019</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2038</v>
      </c>
      <c r="C88" s="2776">
        <f>ROUND(9886794/10000,0)</f>
        <v>989</v>
      </c>
      <c r="D88" s="2771"/>
      <c r="E88" s="199" t="s">
        <v>2039</v>
      </c>
      <c r="F88" s="2520"/>
      <c r="G88" s="200" t="s">
        <v>2040</v>
      </c>
      <c r="H88" s="1980"/>
      <c r="I88" s="1977">
        <f>C88/('数据-汇总表'!D3/666.67)</f>
        <v>40.42802580186278</v>
      </c>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2029</v>
      </c>
      <c r="C89" s="2770">
        <f>ROUND(C88*D89,0)</f>
        <v>30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2042</v>
      </c>
      <c r="C90" s="2776"/>
      <c r="D90" s="2771"/>
      <c r="E90" s="199" t="str">
        <f>IF(H88="-","土地取得成本中已包含该笔费用"," ")</f>
        <v xml:space="preserve"> </v>
      </c>
      <c r="F90" s="2520"/>
      <c r="G90" s="3313" t="s">
        <v>2812</v>
      </c>
      <c r="H90" s="3314"/>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6287</v>
      </c>
      <c r="D91" s="2771"/>
      <c r="E91" s="3344" t="s">
        <v>2045</v>
      </c>
      <c r="F91" s="3345"/>
      <c r="G91" s="3345"/>
      <c r="H91" s="1981" t="s">
        <v>3164</v>
      </c>
      <c r="I91" s="1982">
        <f>ROUND(62873754.32/10000,0)</f>
        <v>6287</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731</v>
      </c>
      <c r="D92" s="2777">
        <v>0.1</v>
      </c>
      <c r="E92" s="3344" t="s">
        <v>2048</v>
      </c>
      <c r="F92" s="3345"/>
      <c r="G92" s="3345"/>
      <c r="H92" s="3346"/>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44</v>
      </c>
      <c r="D93" s="2771">
        <f>'数据-取费表'!B43</f>
        <v>5.000000000000001E-3</v>
      </c>
      <c r="E93" s="3344" t="s">
        <v>2032</v>
      </c>
      <c r="F93" s="3345"/>
      <c r="G93" s="3345"/>
      <c r="H93" s="334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3549">
        <v>0</v>
      </c>
      <c r="D94" s="2771">
        <v>0.2</v>
      </c>
      <c r="E94" s="3392" t="s">
        <v>2052</v>
      </c>
      <c r="F94" s="3393"/>
      <c r="G94" s="3393"/>
      <c r="H94" s="339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2033</v>
      </c>
      <c r="C95" s="2762">
        <f ca="1">ROUND(C85-C86,0)</f>
        <v>681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8.4271748545972039E-2</v>
      </c>
      <c r="D96" s="175" t="s">
        <v>32</v>
      </c>
      <c r="E96" s="2517" t="str">
        <f ca="1">IF(C96&gt;=200%,"增值额超过扣除项目金额200%",IF(C96&gt;=100%,"增值额超过扣除项目金额100%，未超过200%",IF(C96&gt;=50%,"增值额超过扣除项目金额50%，未超过100%",IF(C96&lt;50%,"增值额未超过扣除项目金额50%"))))</f>
        <v>增值额未超过扣除项目金额50%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2035</v>
      </c>
      <c r="C97" s="2773">
        <f ca="1">ROUND(IF(C95&lt;=0,0,IF(C96&gt;=200%,C95*60%-C86*35%,IF(C96&gt;=100%,C95*50%-C86*15%,IF(C96&gt;=50%,C95*40%-C86*5%,IF(C96&lt;50%,C95*30%,0))))),0)</f>
        <v>204</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29"/>
      <c r="E100" s="3295" t="s">
        <v>2055</v>
      </c>
      <c r="F100" s="3295"/>
      <c r="G100" s="3295"/>
      <c r="H100" s="3329"/>
      <c r="I100" s="134"/>
    </row>
    <row r="101" spans="1:35" ht="18.75" customHeight="1">
      <c r="A101" s="3337" t="s">
        <v>2056</v>
      </c>
      <c r="B101" s="3338"/>
      <c r="C101" s="2779" t="str">
        <f>C4</f>
        <v>成本法</v>
      </c>
      <c r="D101" s="2780" t="str">
        <f>D4</f>
        <v>收益法</v>
      </c>
      <c r="E101" s="3307" t="s">
        <v>2057</v>
      </c>
      <c r="F101" s="3308"/>
      <c r="G101" s="1983" t="s">
        <v>2058</v>
      </c>
      <c r="H101" s="2789">
        <f ca="1">H118</f>
        <v>9200</v>
      </c>
      <c r="I101" s="134"/>
    </row>
    <row r="102" spans="1:35" ht="18.75" customHeight="1">
      <c r="A102" s="3339" t="s">
        <v>2059</v>
      </c>
      <c r="B102" s="2778" t="s">
        <v>2058</v>
      </c>
      <c r="C102" s="2779">
        <f ca="1">C19</f>
        <v>7627</v>
      </c>
      <c r="D102" s="2780">
        <f ca="1">D19</f>
        <v>10248</v>
      </c>
      <c r="E102" s="3307"/>
      <c r="F102" s="3308"/>
      <c r="G102" s="1983" t="s">
        <v>2060</v>
      </c>
      <c r="H102" s="2749">
        <f ca="1">I118</f>
        <v>9870</v>
      </c>
      <c r="I102" s="134"/>
    </row>
    <row r="103" spans="1:35" ht="42.75" customHeight="1">
      <c r="A103" s="3339"/>
      <c r="B103" s="2778" t="s">
        <v>2060</v>
      </c>
      <c r="C103" s="2781">
        <f ca="1">C20</f>
        <v>8182</v>
      </c>
      <c r="D103" s="2782">
        <f ca="1">D20</f>
        <v>10994</v>
      </c>
      <c r="E103" s="3300" t="s">
        <v>2061</v>
      </c>
      <c r="F103" s="3301"/>
      <c r="G103" s="1984" t="s">
        <v>2062</v>
      </c>
      <c r="H103" s="2789">
        <f>IF(D36="正常操作",H104+H105+H106,H105+H106)</f>
        <v>0</v>
      </c>
      <c r="I103" s="134"/>
    </row>
    <row r="104" spans="1:35" ht="18.75" customHeight="1">
      <c r="A104" s="3339" t="s">
        <v>2063</v>
      </c>
      <c r="B104" s="2783" t="s">
        <v>2058</v>
      </c>
      <c r="C104" s="2784">
        <f ca="1">H118</f>
        <v>9200</v>
      </c>
      <c r="D104" s="2785"/>
      <c r="E104" s="1830" t="s">
        <v>2064</v>
      </c>
      <c r="F104" s="1821"/>
      <c r="G104" s="1984" t="s">
        <v>2062</v>
      </c>
      <c r="H104" s="2790">
        <f>IF(D36="同一抵押权人同一抵押物续贷",C36&amp;"（续贷，未扣减，详见特别提示）",C36)</f>
        <v>0</v>
      </c>
      <c r="I104" s="134"/>
    </row>
    <row r="105" spans="1:35" ht="18.75" customHeight="1" thickBot="1">
      <c r="A105" s="3349"/>
      <c r="B105" s="2786" t="s">
        <v>2060</v>
      </c>
      <c r="C105" s="2787">
        <f ca="1">I118</f>
        <v>9870</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0" t="str">
        <f>IF(项目基本情况!E8="已注销","——","3.房地产抵押价值")</f>
        <v>3.房地产抵押价值</v>
      </c>
      <c r="F107" s="3308"/>
      <c r="G107" s="1983" t="s">
        <v>2058</v>
      </c>
      <c r="H107" s="2789">
        <f ca="1">IF(E107="——","——",H101-H103)</f>
        <v>9200</v>
      </c>
      <c r="I107" s="134"/>
    </row>
    <row r="108" spans="1:35" ht="18.75" customHeight="1">
      <c r="A108" s="134"/>
      <c r="B108" s="134"/>
      <c r="C108" s="134"/>
      <c r="D108" s="134"/>
      <c r="E108" s="3340"/>
      <c r="F108" s="3308"/>
      <c r="G108" s="1983" t="s">
        <v>2060</v>
      </c>
      <c r="H108" s="2749">
        <f ca="1">ROUND(H107*10000/'数据-汇总表'!E3,0)</f>
        <v>9870</v>
      </c>
      <c r="I108" s="134"/>
    </row>
    <row r="109" spans="1:35" ht="18.75" customHeight="1">
      <c r="A109" s="134"/>
      <c r="B109" s="134"/>
      <c r="C109" s="134"/>
      <c r="D109" s="134"/>
      <c r="E109" s="3340" t="str">
        <f>IF(项目基本情况!E8="已注销及未注销","4.抵押担保权已注销时的房地产抵押价值",IF(项目基本情况!E8="已注销","3.抵押担保权已注销时的房地产抵押价值","——"))</f>
        <v>——</v>
      </c>
      <c r="F109" s="3308"/>
      <c r="G109" s="1983" t="s">
        <v>2058</v>
      </c>
      <c r="H109" s="2792" t="str">
        <f>IF(E109="——","——",H101-H105-H106)</f>
        <v>——</v>
      </c>
      <c r="I109" s="134"/>
    </row>
    <row r="110" spans="1:35" ht="18.75" customHeight="1">
      <c r="A110" s="134"/>
      <c r="B110" s="134"/>
      <c r="C110" s="134"/>
      <c r="D110" s="134"/>
      <c r="E110" s="3340"/>
      <c r="F110" s="3308"/>
      <c r="G110" s="1983" t="s">
        <v>2060</v>
      </c>
      <c r="H110" s="2749" t="str">
        <f>IF(H109="——","——",ROUND(H109*10000/'数据-汇总表'!E3,0))</f>
        <v>——</v>
      </c>
      <c r="I110" s="134"/>
    </row>
    <row r="111" spans="1:35" ht="18.75" customHeight="1">
      <c r="A111" s="134"/>
      <c r="B111" s="134"/>
      <c r="C111" s="134"/>
      <c r="D111" s="134"/>
      <c r="E111" s="3341" t="str">
        <f>IF(项目基本情况!E9="抵押净值",IF(OR(项目基本情况!E8="已注销",项目基本情况!E8="房地产抵押价值"),"4.抵押净值","5.抵押净值"),"——")</f>
        <v>4.抵押净值</v>
      </c>
      <c r="F111" s="3327"/>
      <c r="G111" s="1983" t="s">
        <v>2058</v>
      </c>
      <c r="H111" s="2789">
        <f ca="1">IF(E111="——","——",N59)</f>
        <v>8509</v>
      </c>
      <c r="I111" s="134"/>
    </row>
    <row r="112" spans="1:35" ht="18.75" customHeight="1" thickBot="1">
      <c r="A112" s="134"/>
      <c r="B112" s="134"/>
      <c r="C112" s="134"/>
      <c r="D112" s="134"/>
      <c r="E112" s="3342"/>
      <c r="F112" s="3343"/>
      <c r="G112" s="1986" t="s">
        <v>2060</v>
      </c>
      <c r="H112" s="2793">
        <f ca="1">IF(E111="——","——",N61)</f>
        <v>9129</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5" t="s">
        <v>2069</v>
      </c>
      <c r="B116" s="3319" t="s">
        <v>2070</v>
      </c>
      <c r="C116" s="3319" t="s">
        <v>2071</v>
      </c>
      <c r="D116" s="3325" t="s">
        <v>2072</v>
      </c>
      <c r="E116" s="3326"/>
      <c r="F116" s="3357" t="s">
        <v>2073</v>
      </c>
      <c r="G116" s="3357"/>
      <c r="H116" s="3315" t="s">
        <v>2074</v>
      </c>
      <c r="I116" s="3315"/>
    </row>
    <row r="117" spans="1:27" ht="18.75" customHeight="1">
      <c r="A117" s="3315"/>
      <c r="B117" s="3320"/>
      <c r="C117" s="3320"/>
      <c r="D117" s="2522" t="s">
        <v>2075</v>
      </c>
      <c r="E117" s="2522" t="s">
        <v>2076</v>
      </c>
      <c r="F117" s="2522" t="s">
        <v>2075</v>
      </c>
      <c r="G117" s="2522" t="s">
        <v>2077</v>
      </c>
      <c r="H117" s="2522" t="s">
        <v>2075</v>
      </c>
      <c r="I117" s="2522" t="s">
        <v>2077</v>
      </c>
    </row>
    <row r="118" spans="1:27" ht="24.75" customHeight="1">
      <c r="A118" s="2794" t="str">
        <f>项目基本情况!S2</f>
        <v>北京市顺义区竺园路4号1幢1至2层101房地产</v>
      </c>
      <c r="B118" s="2522">
        <f>M18</f>
        <v>9321.1299999999992</v>
      </c>
      <c r="C118" s="2522">
        <f>M19</f>
        <v>16308.9</v>
      </c>
      <c r="D118" s="2522">
        <f ca="1">ROUND(IF(D32="总价",C34,E118*B118/10000),0)</f>
        <v>5391</v>
      </c>
      <c r="E118" s="2522">
        <f ca="1">ROUND(IF(C33="自定义",IF(D32="楼面单价",C34,D118*10000/B118),I118-G118),0)</f>
        <v>5784</v>
      </c>
      <c r="F118" s="2522">
        <f ca="1">ROUND(IF(D32="总价",C35,G118*B118/10000),0)</f>
        <v>3809</v>
      </c>
      <c r="G118" s="2522">
        <f ca="1">ROUND(IF(D32="楼面单价",C35,F118*10000/B118),0)</f>
        <v>4086</v>
      </c>
      <c r="H118" s="2522">
        <f ca="1">ROUND(IF(D32="总价",C32,I118*B118/10000),0)</f>
        <v>9200</v>
      </c>
      <c r="I118" s="2522">
        <f ca="1">ROUND(IF(D32="楼面单价",C32,H118*10000/B118),0)</f>
        <v>9870</v>
      </c>
    </row>
    <row r="119" spans="1:27" ht="18.75" customHeight="1">
      <c r="A119" s="3315" t="s">
        <v>2078</v>
      </c>
      <c r="B119" s="3315"/>
      <c r="C119" s="3315"/>
      <c r="D119" s="3321" t="str">
        <f ca="1">NUMBERSTRING(INT(D118*10000),2)&amp;"元整"</f>
        <v>伍仟叁佰玖拾壹万元整</v>
      </c>
      <c r="E119" s="3322"/>
      <c r="F119" s="3321" t="str">
        <f ca="1">NUMBERSTRING(INT(F118*10000),2)&amp;"元整"</f>
        <v>叁仟捌佰零玖万元整</v>
      </c>
      <c r="G119" s="3322"/>
      <c r="H119" s="3321" t="str">
        <f ca="1">NUMBERSTRING(INT(H118*10000),2)&amp;"元整"</f>
        <v>玖仟贰佰万元整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21" t="str">
        <f>IF(D120=0,"零元整",NUMBERSTRING(INT(D120*10000),2)&amp;"元整")</f>
        <v>零元整</v>
      </c>
      <c r="E121" s="3323"/>
      <c r="F121" s="3323"/>
      <c r="G121" s="3323"/>
      <c r="H121" s="3323"/>
      <c r="I121" s="3322"/>
      <c r="AA121" s="734"/>
    </row>
    <row r="122" spans="1:27" ht="18.75" customHeight="1">
      <c r="A122" s="3327" t="str">
        <f>IF(项目基本情况!B9="房地产市场价值","",MID(E107,3,LEN(E107)-2))</f>
        <v>房地产抵押价值</v>
      </c>
      <c r="B122" s="3327"/>
      <c r="C122" s="3327"/>
      <c r="D122" s="3316">
        <f ca="1">H107</f>
        <v>9200</v>
      </c>
      <c r="E122" s="3317"/>
      <c r="F122" s="3317"/>
      <c r="G122" s="3317"/>
      <c r="H122" s="3317"/>
      <c r="I122" s="3318"/>
      <c r="AA122" s="734"/>
    </row>
    <row r="123" spans="1:27" ht="18.75" customHeight="1">
      <c r="A123" s="3315" t="s">
        <v>2078</v>
      </c>
      <c r="B123" s="3315"/>
      <c r="C123" s="3315"/>
      <c r="D123" s="3321" t="str">
        <f ca="1">NUMBERSTRING(INT(D122*10000),2)&amp;"元整"</f>
        <v>玖仟贰佰万元整</v>
      </c>
      <c r="E123" s="3323"/>
      <c r="F123" s="3323"/>
      <c r="G123" s="3323"/>
      <c r="H123" s="3323"/>
      <c r="I123" s="3322"/>
      <c r="AA123" s="734"/>
    </row>
    <row r="124" spans="1:27" ht="18.75" customHeight="1">
      <c r="A124" s="3327" t="str">
        <f>IF(项目基本情况!B9="房地产市场价值","",MID(E109,3,LEN(E109)-2))</f>
        <v/>
      </c>
      <c r="B124" s="3327"/>
      <c r="C124" s="3327"/>
      <c r="D124" s="3316" t="str">
        <f>H109</f>
        <v>——</v>
      </c>
      <c r="E124" s="3317"/>
      <c r="F124" s="3317"/>
      <c r="G124" s="3317"/>
      <c r="H124" s="3317"/>
      <c r="I124" s="3318"/>
      <c r="AA124" s="734"/>
    </row>
    <row r="125" spans="1:27" ht="18.75" customHeight="1">
      <c r="A125" s="3315" t="s">
        <v>2078</v>
      </c>
      <c r="B125" s="3315"/>
      <c r="C125" s="3315"/>
      <c r="D125" s="3321" t="e">
        <f>NUMBERSTRING(INT(D124*10000),2)&amp;"元整"</f>
        <v>#VALUE!</v>
      </c>
      <c r="E125" s="3323"/>
      <c r="F125" s="3323"/>
      <c r="G125" s="3323"/>
      <c r="H125" s="3323"/>
      <c r="I125" s="3322"/>
      <c r="AA125" s="734"/>
    </row>
    <row r="126" spans="1:27" ht="18.75" customHeight="1">
      <c r="A126" s="3327" t="str">
        <f>IF(项目基本情况!B9="房地产市场价值","",MID(E111,3,LEN(E111)-2))</f>
        <v>抵押净值</v>
      </c>
      <c r="B126" s="3327"/>
      <c r="C126" s="3327"/>
      <c r="D126" s="3316">
        <f ca="1">H111</f>
        <v>8509</v>
      </c>
      <c r="E126" s="3317"/>
      <c r="F126" s="3317"/>
      <c r="G126" s="3317"/>
      <c r="H126" s="3317"/>
      <c r="I126" s="3318"/>
      <c r="AA126" s="734"/>
    </row>
    <row r="127" spans="1:27" ht="18.75" customHeight="1">
      <c r="A127" s="3315" t="s">
        <v>2078</v>
      </c>
      <c r="B127" s="3315"/>
      <c r="C127" s="3315"/>
      <c r="D127" s="3321" t="str">
        <f ca="1">NUMBERSTRING(INT(D126*10000),2)&amp;"元整"</f>
        <v>捌仟伍佰零玖万元整</v>
      </c>
      <c r="E127" s="3323"/>
      <c r="F127" s="3323"/>
      <c r="G127" s="3323"/>
      <c r="H127" s="3323"/>
      <c r="I127" s="3322"/>
      <c r="AA127" s="734"/>
    </row>
    <row r="128" spans="1:27" ht="21.75" customHeight="1">
      <c r="A128" s="3324" t="s">
        <v>2079</v>
      </c>
      <c r="B128" s="3324"/>
      <c r="C128" s="3324"/>
      <c r="D128" s="3324"/>
      <c r="E128" s="3324"/>
      <c r="F128" s="3324"/>
      <c r="G128" s="3324"/>
      <c r="H128" s="3324"/>
      <c r="I128" s="332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10" s="206" customFormat="1" ht="21">
      <c r="A1" s="202" t="s">
        <v>2087</v>
      </c>
      <c r="B1" s="1624" t="s">
        <v>6</v>
      </c>
      <c r="C1" s="204"/>
      <c r="D1" s="204"/>
      <c r="E1" s="204"/>
      <c r="F1" s="204"/>
      <c r="G1" s="1260">
        <f>MATCH(B1,'数据-取费表'!A6:A16,0)+5</f>
        <v>6</v>
      </c>
    </row>
    <row r="2" spans="1:10" s="206" customFormat="1" ht="18" customHeight="1">
      <c r="A2" s="207" t="s">
        <v>2088</v>
      </c>
      <c r="B2" s="208">
        <f ca="1">IF(D2="——",C52,C52-E2)</f>
        <v>7627</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8182</v>
      </c>
      <c r="C3" s="205" t="s">
        <v>2091</v>
      </c>
      <c r="D3" s="205"/>
      <c r="E3" s="205"/>
      <c r="F3" s="205"/>
      <c r="G3" s="205"/>
    </row>
    <row r="4" spans="1:10" s="214" customFormat="1" ht="16.2">
      <c r="A4" s="211" t="s">
        <v>2092</v>
      </c>
      <c r="B4" s="212"/>
      <c r="C4" s="212"/>
      <c r="D4" s="212"/>
      <c r="E4" s="212"/>
      <c r="F4" s="212"/>
      <c r="G4" s="213"/>
    </row>
    <row r="5" spans="1:10" s="220" customFormat="1" ht="13.5" customHeight="1">
      <c r="A5" s="261" t="s">
        <v>2093</v>
      </c>
      <c r="B5" s="216" t="s">
        <v>2094</v>
      </c>
      <c r="C5" s="217">
        <f ca="1">C6+C7+C8</f>
        <v>3546</v>
      </c>
      <c r="D5" s="217" t="s">
        <v>2095</v>
      </c>
      <c r="E5" s="218" t="s">
        <v>2096</v>
      </c>
      <c r="F5" s="218" t="s">
        <v>2097</v>
      </c>
      <c r="G5" s="219"/>
    </row>
    <row r="6" spans="1:10" s="220" customFormat="1" ht="13.5" customHeight="1">
      <c r="A6" s="886" t="s">
        <v>2098</v>
      </c>
      <c r="B6" s="221" t="s">
        <v>2099</v>
      </c>
      <c r="C6" s="222">
        <f>ROUND([2]基准地价修正!$C$33*'数据-汇总表'!D3/10000,0)</f>
        <v>3441</v>
      </c>
      <c r="D6" s="223"/>
      <c r="E6" s="224"/>
      <c r="F6" s="224"/>
      <c r="G6" s="225"/>
    </row>
    <row r="7" spans="1:10" s="220" customFormat="1" ht="13.5" customHeight="1">
      <c r="A7" s="886" t="s">
        <v>2100</v>
      </c>
      <c r="B7" s="221" t="s">
        <v>2101</v>
      </c>
      <c r="C7" s="226">
        <f>ROUND(C6*F7,0)</f>
        <v>105</v>
      </c>
      <c r="D7" s="226"/>
      <c r="E7" s="224"/>
      <c r="F7" s="227">
        <f>IF(项目基本情况!B8="出让",0,'数据-取费表'!B48+'数据-取费表'!B49)</f>
        <v>3.0499999999999999E-2</v>
      </c>
      <c r="G7" s="225"/>
      <c r="J7" s="220">
        <f>'数据-汇总表'!D3*[2]基准地价修正!$C$33/10000</f>
        <v>3441.1779000000001</v>
      </c>
    </row>
    <row r="8" spans="1:10" s="229" customFormat="1">
      <c r="A8" s="886" t="s">
        <v>2102</v>
      </c>
      <c r="B8" s="221" t="s">
        <v>2103</v>
      </c>
      <c r="C8" s="226">
        <f ca="1">IF(G8="已包含在土地购买价格中","0",IF(B1="",'数据-取费表'!B29,IF(G9="全部缴纳",C9+C10,H9)))</f>
        <v>0</v>
      </c>
      <c r="D8" s="228"/>
      <c r="E8" s="226"/>
      <c r="F8" s="227"/>
      <c r="G8" s="2012" t="s">
        <v>3154</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10"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9321.1299999999992</v>
      </c>
      <c r="E10" s="231">
        <f>'数据-取费表'!B28</f>
        <v>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9321.1299999999992</v>
      </c>
      <c r="E19" s="217">
        <f>'数据-取费表'!B31</f>
        <v>200</v>
      </c>
      <c r="F19" s="237"/>
      <c r="G19" s="2012" t="s">
        <v>3156</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228</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226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6.4">
      <c r="A27" s="261" t="s">
        <v>2138</v>
      </c>
      <c r="B27" s="250" t="s">
        <v>2139</v>
      </c>
      <c r="C27" s="251">
        <f ca="1">C28</f>
        <v>289</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ROUND((C5+C19+C20)*F27*'数据-取费表'!B21/'数据-取费表'!B20,0)</f>
        <v>289</v>
      </c>
      <c r="D28" s="241"/>
      <c r="E28" s="242"/>
      <c r="F28" s="252"/>
      <c r="G28" s="253"/>
    </row>
    <row r="29" spans="1:7" s="220" customFormat="1" ht="13.5" customHeight="1">
      <c r="A29" s="888" t="s">
        <v>792</v>
      </c>
      <c r="B29" s="254" t="s">
        <v>2143</v>
      </c>
      <c r="C29" s="244">
        <f ca="1">ROUND(C21*F27*'数据-取费表'!B21/'数据-取费表'!B20,4)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4467</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3108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2796</v>
      </c>
      <c r="D34" s="223"/>
      <c r="E34" s="226"/>
      <c r="F34" s="263">
        <f ca="1">IF('数据-取费表'!B24=0,1,IF(B1="",'数据-取费表'!N16,INDIRECT("'数据-取费表'!n"&amp;$G$1)))</f>
        <v>1</v>
      </c>
      <c r="G34" s="225" t="s">
        <v>2152</v>
      </c>
    </row>
    <row r="35" spans="1:7" ht="13.5" customHeight="1">
      <c r="A35" s="888" t="s">
        <v>796</v>
      </c>
      <c r="B35" s="221" t="s">
        <v>2153</v>
      </c>
      <c r="C35" s="226">
        <f ca="1">ROUND(C34*F35,0)</f>
        <v>84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186</v>
      </c>
      <c r="D37" s="223">
        <f ca="1">D19</f>
        <v>9321.1299999999992</v>
      </c>
      <c r="E37" s="255">
        <f>'数据-取费表'!B35</f>
        <v>200</v>
      </c>
      <c r="F37" s="265"/>
      <c r="G37" s="267" t="s">
        <v>2158</v>
      </c>
    </row>
    <row r="38" spans="1:7" ht="13.5" customHeight="1">
      <c r="A38" s="888" t="s">
        <v>799</v>
      </c>
      <c r="B38" s="221" t="s">
        <v>2159</v>
      </c>
      <c r="C38" s="226">
        <f ca="1">ROUND(C34*F38,0)</f>
        <v>42</v>
      </c>
      <c r="D38" s="226"/>
      <c r="E38" s="226"/>
      <c r="F38" s="265">
        <f>'数据-取费表'!B36</f>
        <v>1.4999999999999999E-2</v>
      </c>
      <c r="G38" s="225" t="s">
        <v>2154</v>
      </c>
    </row>
    <row r="39" spans="1:7" s="220" customFormat="1" ht="13.5" customHeight="1">
      <c r="A39" s="261" t="s">
        <v>2160</v>
      </c>
      <c r="B39" s="216" t="s">
        <v>2161</v>
      </c>
      <c r="C39" s="238">
        <f ca="1">ROUND(C33*F20,0)</f>
        <v>62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97</v>
      </c>
      <c r="D42" s="244"/>
      <c r="E42" s="244"/>
      <c r="F42" s="245"/>
      <c r="G42" s="3397" t="s">
        <v>2170</v>
      </c>
    </row>
    <row r="43" spans="1:7" ht="13.5" customHeight="1">
      <c r="A43" s="888" t="s">
        <v>792</v>
      </c>
      <c r="B43" s="221" t="s">
        <v>2171</v>
      </c>
      <c r="C43" s="244">
        <f ca="1">ROUND(IF('数据-取费表'!B22&lt;=1,C39*F22*'数据-取费表'!B21/2,C39*(POWER((1+F22),'数据-取费表'!B21/2)-1)),0)</f>
        <v>2</v>
      </c>
      <c r="D43" s="244"/>
      <c r="E43" s="244"/>
      <c r="F43" s="245"/>
      <c r="G43" s="3398"/>
    </row>
    <row r="44" spans="1:7" ht="13.5" customHeight="1">
      <c r="A44" s="888" t="s">
        <v>793</v>
      </c>
      <c r="B44" s="221" t="s">
        <v>2172</v>
      </c>
      <c r="C44" s="244">
        <f ca="1">ROUND(IF('数据-取费表'!B22&lt;=1,C40*F22*'数据-取费表'!B21/2,C40*(POWER((1+F22),'数据-取费表'!B21/2)-1)),4)</f>
        <v>5.9999999999999995E-4</v>
      </c>
      <c r="D44" s="244"/>
      <c r="E44" s="244"/>
      <c r="F44" s="245"/>
      <c r="G44" s="3399"/>
    </row>
    <row r="45" spans="1:7" s="220" customFormat="1" ht="13.5" customHeight="1">
      <c r="A45" s="261" t="s">
        <v>2173</v>
      </c>
      <c r="B45" s="250" t="s">
        <v>2139</v>
      </c>
      <c r="C45" s="251">
        <f ca="1">C46</f>
        <v>254</v>
      </c>
      <c r="D45" s="241">
        <f ca="1">C47</f>
        <v>1.6000000000000001E-3</v>
      </c>
      <c r="E45" s="242" t="s">
        <v>2165</v>
      </c>
      <c r="F45" s="2507">
        <f ca="1">F27</f>
        <v>0.08</v>
      </c>
      <c r="G45" s="253" t="s">
        <v>2174</v>
      </c>
    </row>
    <row r="46" spans="1:7" s="220" customFormat="1" ht="13.5" customHeight="1">
      <c r="A46" s="888" t="s">
        <v>791</v>
      </c>
      <c r="B46" s="254" t="s">
        <v>2175</v>
      </c>
      <c r="C46" s="255">
        <f ca="1">ROUND((C33+C39)*F27,0)</f>
        <v>254</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3807</v>
      </c>
      <c r="D49" s="238"/>
      <c r="E49" s="238"/>
      <c r="F49" s="270"/>
      <c r="G49" s="240" t="s">
        <v>2180</v>
      </c>
    </row>
    <row r="50" spans="1:7" s="264" customFormat="1" ht="24">
      <c r="A50" s="261" t="s">
        <v>2181</v>
      </c>
      <c r="B50" s="216" t="s">
        <v>2182</v>
      </c>
      <c r="C50" s="238"/>
      <c r="D50" s="238"/>
      <c r="E50" s="238"/>
      <c r="F50" s="270">
        <f>IF('数据-取费表'!B24=0,'数据-取费表'!N16,1)</f>
        <v>0.83</v>
      </c>
      <c r="G50" s="253" t="s">
        <v>2183</v>
      </c>
    </row>
    <row r="51" spans="1:7" ht="16.5" customHeight="1">
      <c r="A51" s="261" t="s">
        <v>2184</v>
      </c>
      <c r="B51" s="216" t="s">
        <v>2185</v>
      </c>
      <c r="C51" s="238">
        <f ca="1">ROUND(C49*F50,0)</f>
        <v>3160</v>
      </c>
      <c r="D51" s="238"/>
      <c r="E51" s="238"/>
      <c r="F51" s="270"/>
      <c r="G51" s="240" t="s">
        <v>2186</v>
      </c>
    </row>
    <row r="52" spans="1:7" s="214" customFormat="1" ht="16.8" thickBot="1">
      <c r="A52" s="271" t="s">
        <v>2187</v>
      </c>
      <c r="B52" s="272"/>
      <c r="C52" s="273">
        <f ca="1">C31+C51</f>
        <v>7627</v>
      </c>
      <c r="D52" s="272"/>
      <c r="E52" s="272"/>
      <c r="F52" s="272"/>
      <c r="G52" s="274"/>
    </row>
    <row r="55" spans="1:7" ht="15">
      <c r="B55" s="276" t="s">
        <v>2188</v>
      </c>
      <c r="C55" s="277"/>
    </row>
    <row r="56" spans="1:7">
      <c r="B56" s="279" t="s">
        <v>1418</v>
      </c>
      <c r="C56" s="281">
        <f ca="1">1-C57</f>
        <v>0.58600000000000008</v>
      </c>
    </row>
    <row r="57" spans="1:7">
      <c r="B57" s="279" t="s">
        <v>1419</v>
      </c>
      <c r="C57" s="280">
        <f ca="1">ROUND(C51/C52,3)</f>
        <v>0.41399999999999998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北京市顺义区竺园路4号1幢1至2层101房地产抵押价值预评估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t="str">
        <f>项目基本情况!B5</f>
        <v>北京科华微电子材料有限公司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3395</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3642</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9321.1299999999992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1864226</v>
      </c>
      <c r="D19" s="958">
        <f ca="1">D9+D10</f>
        <v>9321.1299999999992</v>
      </c>
      <c r="E19" s="217">
        <f>'数据-取费表'!B31</f>
        <v>200</v>
      </c>
      <c r="F19" s="237"/>
      <c r="G19" s="2012"/>
    </row>
    <row r="20" spans="1:7" s="220" customFormat="1" ht="13.5" customHeight="1">
      <c r="A20" s="261" t="s">
        <v>2200</v>
      </c>
      <c r="B20" s="216" t="s">
        <v>2201</v>
      </c>
      <c r="C20" s="238">
        <f ca="1">ROUND((C5+C19)*F20,0)</f>
        <v>37285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119839</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118671</v>
      </c>
      <c r="D24" s="244"/>
      <c r="E24" s="244"/>
      <c r="F24" s="245"/>
      <c r="G24" s="246" t="s">
        <v>2212</v>
      </c>
    </row>
    <row r="25" spans="1:7" s="220" customFormat="1" ht="24">
      <c r="A25" s="888" t="s">
        <v>2102</v>
      </c>
      <c r="B25" s="221" t="s">
        <v>2213</v>
      </c>
      <c r="C25" s="1262">
        <f ca="1">ROUND(IF('数据-取费表'!B22&lt;=1,C20*F22*'数据-取费表'!B22/2,C20*(POWER((1+F22),'数据-取费表'!B22/2)-1)),0)</f>
        <v>1168</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6.4">
      <c r="A27" s="261" t="s">
        <v>2138</v>
      </c>
      <c r="B27" s="250" t="s">
        <v>2139</v>
      </c>
      <c r="C27" s="251">
        <f ca="1">C28</f>
        <v>152121</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ROUND((C5+C19+C20)*F27,0)</f>
        <v>152121</v>
      </c>
      <c r="D28" s="241"/>
      <c r="E28" s="242"/>
      <c r="F28" s="252"/>
      <c r="G28" s="253"/>
    </row>
    <row r="29" spans="1:7" s="220" customFormat="1" ht="13.5" customHeight="1">
      <c r="A29" s="888" t="s">
        <v>792</v>
      </c>
      <c r="B29" s="254" t="s">
        <v>2143</v>
      </c>
      <c r="C29" s="244">
        <f ca="1">ROUND(C21*F27,4)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2348683</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31085969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27963390</v>
      </c>
      <c r="D34" s="223"/>
      <c r="E34" s="226"/>
      <c r="F34" s="263"/>
      <c r="G34" s="225"/>
    </row>
    <row r="35" spans="1:7" ht="13.5" customHeight="1">
      <c r="A35" s="888" t="s">
        <v>796</v>
      </c>
      <c r="B35" s="221" t="s">
        <v>2153</v>
      </c>
      <c r="C35" s="226">
        <f ca="1">ROUND(C34*F35,0)</f>
        <v>838902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1864226</v>
      </c>
      <c r="D37" s="223">
        <f ca="1">D19</f>
        <v>9321.1299999999992</v>
      </c>
      <c r="E37" s="255">
        <f>'数据-取费表'!B35</f>
        <v>200</v>
      </c>
      <c r="F37" s="265"/>
      <c r="G37" s="267"/>
    </row>
    <row r="38" spans="1:7" ht="13.5" customHeight="1">
      <c r="A38" s="888" t="s">
        <v>799</v>
      </c>
      <c r="B38" s="221" t="s">
        <v>2159</v>
      </c>
      <c r="C38" s="226">
        <f ca="1">ROUND(C34*F38,0)</f>
        <v>419451</v>
      </c>
      <c r="D38" s="226"/>
      <c r="E38" s="226"/>
      <c r="F38" s="265">
        <f>'数据-取费表'!B36</f>
        <v>1.4999999999999999E-2</v>
      </c>
      <c r="G38" s="225" t="s">
        <v>2154</v>
      </c>
    </row>
    <row r="39" spans="1:7" s="220" customFormat="1" ht="13.5" customHeight="1">
      <c r="A39" s="261" t="s">
        <v>2160</v>
      </c>
      <c r="B39" s="216" t="s">
        <v>2161</v>
      </c>
      <c r="C39" s="238">
        <f ca="1">ROUND(C33*F20,0)</f>
        <v>621719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993638</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974155</v>
      </c>
      <c r="D42" s="244"/>
      <c r="E42" s="244"/>
      <c r="F42" s="245"/>
      <c r="G42" s="3397" t="s">
        <v>2217</v>
      </c>
    </row>
    <row r="43" spans="1:7" ht="13.5" customHeight="1">
      <c r="A43" s="888" t="s">
        <v>792</v>
      </c>
      <c r="B43" s="221" t="s">
        <v>2171</v>
      </c>
      <c r="C43" s="244">
        <f ca="1">ROUND(IF('数据-取费表'!B22&lt;=1,C39*F22*'数据-取费表'!B20/2,C39*(POWER((1+F22),'数据-取费表'!B20/2)-1)),0)</f>
        <v>19483</v>
      </c>
      <c r="D43" s="244"/>
      <c r="E43" s="244"/>
      <c r="F43" s="245"/>
      <c r="G43" s="3398"/>
    </row>
    <row r="44" spans="1:7" ht="13.5" customHeight="1">
      <c r="A44" s="888" t="s">
        <v>793</v>
      </c>
      <c r="B44" s="221" t="s">
        <v>2172</v>
      </c>
      <c r="C44" s="244">
        <f ca="1">ROUND(IF('数据-取费表'!B22&lt;=1,C40*F22*'数据-取费表'!B20/2,C40*(POWER((1+F22),'数据-取费表'!B20/2)-1)),4)</f>
        <v>5.9999999999999995E-4</v>
      </c>
      <c r="D44" s="244"/>
      <c r="E44" s="244"/>
      <c r="F44" s="245"/>
      <c r="G44" s="3399"/>
    </row>
    <row r="45" spans="1:7" s="220" customFormat="1" ht="13.5" customHeight="1">
      <c r="A45" s="261" t="s">
        <v>2173</v>
      </c>
      <c r="B45" s="250" t="s">
        <v>2139</v>
      </c>
      <c r="C45" s="251">
        <f ca="1">C46</f>
        <v>2536615</v>
      </c>
      <c r="D45" s="241">
        <f ca="1">C47</f>
        <v>1.6000000000000001E-3</v>
      </c>
      <c r="E45" s="242" t="s">
        <v>2165</v>
      </c>
      <c r="F45" s="2507">
        <f ca="1">F27</f>
        <v>0.08</v>
      </c>
      <c r="G45" s="253" t="s">
        <v>2174</v>
      </c>
    </row>
    <row r="46" spans="1:7" s="220" customFormat="1" ht="13.5" customHeight="1">
      <c r="A46" s="888" t="s">
        <v>791</v>
      </c>
      <c r="B46" s="254" t="s">
        <v>2175</v>
      </c>
      <c r="C46" s="255">
        <f ca="1">ROUND((C33+C39)*F27,0)</f>
        <v>2536615</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38078605</v>
      </c>
      <c r="D49" s="238"/>
      <c r="E49" s="238"/>
      <c r="F49" s="270"/>
      <c r="G49" s="240" t="s">
        <v>2180</v>
      </c>
    </row>
    <row r="50" spans="1:7" s="264" customFormat="1">
      <c r="A50" s="261" t="s">
        <v>2181</v>
      </c>
      <c r="B50" s="216" t="s">
        <v>2182</v>
      </c>
      <c r="C50" s="238"/>
      <c r="D50" s="238"/>
      <c r="E50" s="238"/>
      <c r="F50" s="270">
        <f>IF('数据-取费表'!B24=0,'数据-取费表'!N16,1)</f>
        <v>0.83</v>
      </c>
      <c r="G50" s="253"/>
    </row>
    <row r="51" spans="1:7" ht="16.5" customHeight="1">
      <c r="A51" s="261" t="s">
        <v>2184</v>
      </c>
      <c r="B51" s="216" t="s">
        <v>2219</v>
      </c>
      <c r="C51" s="238">
        <f ca="1">ROUND(C49*F50,0)</f>
        <v>31605242</v>
      </c>
      <c r="D51" s="238"/>
      <c r="E51" s="238"/>
      <c r="F51" s="270"/>
      <c r="G51" s="240" t="s">
        <v>2186</v>
      </c>
    </row>
    <row r="52" spans="1:7" s="214" customFormat="1" ht="16.8" thickBot="1">
      <c r="A52" s="271" t="s">
        <v>2187</v>
      </c>
      <c r="B52" s="272"/>
      <c r="C52" s="273">
        <f ca="1">C31+C51</f>
        <v>33953925</v>
      </c>
      <c r="D52" s="272"/>
      <c r="E52" s="272"/>
      <c r="F52" s="272"/>
      <c r="G52" s="274"/>
    </row>
    <row r="55" spans="1:7" ht="15">
      <c r="B55" s="276" t="s">
        <v>2188</v>
      </c>
      <c r="C55" s="277"/>
    </row>
    <row r="56" spans="1:7">
      <c r="B56" s="279" t="s">
        <v>1418</v>
      </c>
      <c r="C56" s="281">
        <f ca="1">1-C57</f>
        <v>6.899999999999995E-2</v>
      </c>
    </row>
    <row r="57" spans="1:7">
      <c r="B57" s="279" t="s">
        <v>1419</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9321.1299999999992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9321.1299999999992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9321.1299999999992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4" sqref="I4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6</v>
      </c>
      <c r="D1" s="1516" t="s">
        <v>70</v>
      </c>
      <c r="E1" s="1517" t="s">
        <v>1292</v>
      </c>
      <c r="F1" s="1193">
        <f ca="1">J53</f>
        <v>34.36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10248</v>
      </c>
      <c r="C2" s="1541" t="s">
        <v>1421</v>
      </c>
      <c r="D2" s="1541"/>
      <c r="E2" s="1542"/>
      <c r="F2" s="1543"/>
      <c r="G2" s="2903"/>
      <c r="H2" s="2892"/>
      <c r="I2" s="2892"/>
      <c r="J2" s="2892"/>
      <c r="K2" s="2893"/>
      <c r="L2" s="2892"/>
      <c r="M2" s="2892"/>
    </row>
    <row r="3" spans="1:37" ht="18" customHeight="1" thickBot="1">
      <c r="A3" s="1544" t="s">
        <v>1422</v>
      </c>
      <c r="B3" s="1545">
        <f ca="1">IF(ISERROR(B2*10000/F43),0,ROUND(B2*10000/F43,0))</f>
        <v>10994</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613</v>
      </c>
      <c r="D5" s="1518" t="s">
        <v>1307</v>
      </c>
      <c r="E5" s="1203"/>
      <c r="F5" s="1204"/>
      <c r="G5" s="1538"/>
      <c r="H5" s="305">
        <v>1</v>
      </c>
      <c r="I5" s="306" t="s">
        <v>1306</v>
      </c>
      <c r="J5" s="1202">
        <f ca="1">J6+J10+J12</f>
        <v>0</v>
      </c>
      <c r="K5" s="1518" t="s">
        <v>1307</v>
      </c>
      <c r="L5" s="1203"/>
      <c r="M5" s="1204"/>
    </row>
    <row r="6" spans="1:37" ht="18" customHeight="1">
      <c r="A6" s="1201" t="s">
        <v>1003</v>
      </c>
      <c r="B6" s="3402" t="s">
        <v>1308</v>
      </c>
      <c r="C6" s="1206">
        <f ca="1">ROUND(F6*F8*F7*(1-F9)/10000,0)</f>
        <v>612</v>
      </c>
      <c r="D6" s="160" t="s">
        <v>2791</v>
      </c>
      <c r="E6" s="308" t="s">
        <v>1310</v>
      </c>
      <c r="F6" s="309">
        <f ca="1">INDIRECT("'数据-取费表'!u"&amp;$G$1)</f>
        <v>2</v>
      </c>
      <c r="G6" s="1538"/>
      <c r="H6" s="1201" t="s">
        <v>1003</v>
      </c>
      <c r="I6" s="3402" t="s">
        <v>1308</v>
      </c>
      <c r="J6" s="307">
        <f ca="1">ROUND(M6*M8*M7*(1-M9)/10000,0)</f>
        <v>0</v>
      </c>
      <c r="K6" s="160" t="s">
        <v>2790</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9321.1299999999992</v>
      </c>
      <c r="G7" s="1538"/>
      <c r="H7" s="310"/>
      <c r="I7" s="3403"/>
      <c r="J7" s="312"/>
      <c r="K7" s="313"/>
      <c r="L7" s="308" t="s">
        <v>1311</v>
      </c>
      <c r="M7" s="309">
        <f ca="1">F7</f>
        <v>9321.1299999999992</v>
      </c>
    </row>
    <row r="8" spans="1:37" ht="18" customHeight="1">
      <c r="A8" s="310"/>
      <c r="B8" s="3403"/>
      <c r="C8" s="312"/>
      <c r="D8" s="313"/>
      <c r="E8" s="308" t="s">
        <v>1312</v>
      </c>
      <c r="F8" s="309">
        <f ca="1">INDIRECT("'数据-取费表'!ai"&amp;$G$1)</f>
        <v>365</v>
      </c>
      <c r="G8" s="1538"/>
      <c r="H8" s="310"/>
      <c r="I8" s="3403"/>
      <c r="J8" s="312"/>
      <c r="K8" s="313"/>
      <c r="L8" s="308" t="s">
        <v>1312</v>
      </c>
      <c r="M8" s="309">
        <f ca="1">INDIRECT("'数据-取费表'!ai"&amp;$G$1)</f>
        <v>365</v>
      </c>
    </row>
    <row r="9" spans="1:37" ht="18" customHeight="1">
      <c r="A9" s="310"/>
      <c r="B9" s="3404"/>
      <c r="C9" s="312"/>
      <c r="D9" s="313"/>
      <c r="E9" s="308" t="s">
        <v>1313</v>
      </c>
      <c r="F9" s="318">
        <f ca="1">INDIRECT("'数据-取费表'!w"&amp;$G$1)</f>
        <v>0.1</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2799</v>
      </c>
      <c r="E10" s="319" t="s">
        <v>1315</v>
      </c>
      <c r="F10" s="1248" t="s">
        <v>3146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3160</v>
      </c>
      <c r="D13" s="1213" t="s">
        <v>1320</v>
      </c>
      <c r="E13" s="1213" t="s">
        <v>1321</v>
      </c>
      <c r="F13" s="1214">
        <f ca="1">INDIRECT("'数据-取费表'!y"&amp;$G$1)</f>
        <v>0.83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2796</v>
      </c>
      <c r="D14" s="1499" t="s">
        <v>1323</v>
      </c>
      <c r="E14" s="1496"/>
      <c r="F14" s="325"/>
      <c r="G14" s="1538"/>
      <c r="H14" s="1113" t="s">
        <v>1003</v>
      </c>
      <c r="I14" s="308" t="s">
        <v>1324</v>
      </c>
      <c r="J14" s="24">
        <f ca="1">C29</f>
        <v>3807</v>
      </c>
      <c r="K14" s="15"/>
      <c r="L14" s="916"/>
      <c r="M14" s="917"/>
    </row>
    <row r="15" spans="1:37" s="1551" customFormat="1" ht="18" customHeight="1" thickBot="1">
      <c r="A15" s="1113" t="s">
        <v>1004</v>
      </c>
      <c r="B15" s="308" t="s">
        <v>1325</v>
      </c>
      <c r="C15" s="24">
        <f ca="1">ROUND(C14*F15,0)</f>
        <v>84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72</v>
      </c>
      <c r="K16" s="1219" t="s">
        <v>1330</v>
      </c>
      <c r="L16" s="1220"/>
      <c r="M16" s="1204"/>
    </row>
    <row r="17" spans="1:37" s="1551" customFormat="1" ht="18" customHeight="1">
      <c r="A17" s="1113" t="s">
        <v>1295</v>
      </c>
      <c r="B17" s="308" t="s">
        <v>1331</v>
      </c>
      <c r="C17" s="24">
        <f ca="1">ROUND(F17*(F43+INDIRECT("'数据-取费表'!S"&amp;$G$1))/10000,0)</f>
        <v>186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3108</v>
      </c>
      <c r="D19" s="136" t="s">
        <v>1341</v>
      </c>
      <c r="E19" s="1514"/>
      <c r="F19" s="26"/>
      <c r="G19" s="1538"/>
      <c r="H19" s="1113" t="s">
        <v>1004</v>
      </c>
      <c r="I19" s="308" t="s">
        <v>1342</v>
      </c>
      <c r="J19" s="24">
        <f ca="1">IF(K19="按租金收入计税",ROUND(J6*M19/(1+'数据-取费表'!C42),2),ROUND(C29*M19*0.7,2))</f>
        <v>31.98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62</v>
      </c>
      <c r="D20" s="329" t="s">
        <v>1345</v>
      </c>
      <c r="E20" s="308" t="s">
        <v>1327</v>
      </c>
      <c r="F20" s="328">
        <f>'数据-取费表'!B37</f>
        <v>0.02</v>
      </c>
      <c r="G20" s="1550"/>
      <c r="H20" s="1113" t="s">
        <v>1294</v>
      </c>
      <c r="I20" s="160" t="s">
        <v>1346</v>
      </c>
      <c r="J20" s="25">
        <f ca="1">ROUND(M20*M21/10000,2)</f>
        <v>2.4500000000000002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16308.9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38.1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-72</v>
      </c>
      <c r="K25" s="1227" t="s">
        <v>1369</v>
      </c>
      <c r="L25" s="1228"/>
      <c r="M25" s="1229"/>
    </row>
    <row r="26" spans="1:37">
      <c r="A26" s="1113" t="s">
        <v>1002</v>
      </c>
      <c r="B26" s="308" t="s">
        <v>1370</v>
      </c>
      <c r="C26" s="24">
        <f ca="1">ROUND((C19+C20)*F26,0)</f>
        <v>254</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3807</v>
      </c>
      <c r="D29" s="1224"/>
      <c r="E29" s="1222"/>
      <c r="F29" s="1225"/>
      <c r="G29" s="1550"/>
      <c r="H29" s="340" t="s">
        <v>1001</v>
      </c>
      <c r="I29" s="341" t="s">
        <v>1384</v>
      </c>
      <c r="J29" s="342">
        <f ca="1">ROUND(J26/(1+F40)^F41,0)</f>
        <v>0</v>
      </c>
      <c r="K29" s="343" t="s">
        <v>1385</v>
      </c>
      <c r="L29" s="344"/>
      <c r="M29" s="345">
        <f ca="1">INDIRECT("'数据-取费表'!k"&amp;$G$1)</f>
        <v>9321.1299999999992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158</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104</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32.06</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69.94</v>
      </c>
      <c r="D33" s="1524" t="s">
        <v>3147</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2.4500000000000002</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16308.9</v>
      </c>
      <c r="G35" s="1538"/>
      <c r="H35" s="2894"/>
      <c r="I35" s="1552"/>
      <c r="J35" s="1553"/>
      <c r="K35" s="2898"/>
      <c r="L35" s="2897"/>
      <c r="M35" s="2897"/>
    </row>
    <row r="36" spans="1:18" ht="18" customHeight="1">
      <c r="A36" s="1234" t="s">
        <v>1007</v>
      </c>
      <c r="B36" s="308" t="s">
        <v>1354</v>
      </c>
      <c r="C36" s="24">
        <f ca="1">ROUND(C29*F36,1)</f>
        <v>38.1</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3.2</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12.3</v>
      </c>
      <c r="D38" s="1224" t="s">
        <v>1364</v>
      </c>
      <c r="E38" s="1222" t="s">
        <v>1360</v>
      </c>
      <c r="F38" s="1218">
        <f ca="1">INDIRECT("'数据-取费表'!Am"&amp;$G$1)</f>
        <v>0.02</v>
      </c>
      <c r="G38" s="1538"/>
      <c r="H38" s="2897"/>
      <c r="I38" s="1552"/>
      <c r="J38" s="1553"/>
      <c r="K38" s="2901"/>
      <c r="L38" s="2897"/>
      <c r="M38" s="2897"/>
    </row>
    <row r="39" spans="1:18" ht="24.6" customHeight="1" thickTop="1">
      <c r="A39" s="1211" t="s">
        <v>999</v>
      </c>
      <c r="B39" s="1226" t="s">
        <v>1388</v>
      </c>
      <c r="C39" s="316">
        <f ca="1">C5-C30</f>
        <v>455</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10248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34.36</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10994</v>
      </c>
      <c r="D43" s="343" t="s">
        <v>1393</v>
      </c>
      <c r="E43" s="344" t="s">
        <v>1394</v>
      </c>
      <c r="F43" s="345">
        <f ca="1">INDIRECT("'数据-取费表'!k"&amp;$G$1)</f>
        <v>9321.1299999999992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8" thickBot="1">
      <c r="A46" s="1558" t="s">
        <v>1425</v>
      </c>
      <c r="C46" s="1559">
        <f ca="1">C68-C40</f>
        <v>-16150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10248</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34.36</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2792</v>
      </c>
      <c r="E49" s="1526" t="s">
        <v>1396</v>
      </c>
      <c r="F49" s="1191"/>
      <c r="G49" s="1579"/>
      <c r="H49" s="732"/>
      <c r="I49" s="1575" t="s">
        <v>1439</v>
      </c>
      <c r="J49" s="1580">
        <v>2010</v>
      </c>
      <c r="K49" s="1577" t="s">
        <v>1440</v>
      </c>
      <c r="L49" s="1581"/>
      <c r="O49" s="1582" t="s">
        <v>1010</v>
      </c>
      <c r="P49" s="1573" t="s">
        <v>1441</v>
      </c>
      <c r="Q49" s="1574">
        <f ca="1">C29</f>
        <v>3807</v>
      </c>
      <c r="R49" s="1574" t="s">
        <v>1434</v>
      </c>
    </row>
    <row r="50" spans="1:18" s="1538" customFormat="1" ht="13.8" thickBot="1">
      <c r="A50" s="1107"/>
      <c r="B50" s="1110"/>
      <c r="C50" s="1250"/>
      <c r="D50" s="1084"/>
      <c r="E50" s="1187" t="s">
        <v>1311</v>
      </c>
      <c r="F50" s="1188">
        <f ca="1">F7</f>
        <v>9321.1299999999992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48</v>
      </c>
      <c r="K51" s="1588" t="s">
        <v>1446</v>
      </c>
      <c r="L51" s="1589">
        <f ca="1">ROUND(-PV(INDIRECT("'数据-取费表'!h"&amp;$G$1),J51,(C39-C13*C76),0),0)</f>
        <v>3641</v>
      </c>
      <c r="M51" s="1590"/>
      <c r="O51" s="1582" t="s">
        <v>1012</v>
      </c>
      <c r="P51" s="1573" t="s">
        <v>1447</v>
      </c>
      <c r="Q51" s="1585">
        <f>J52</f>
        <v>0.09</v>
      </c>
      <c r="R51" s="1574"/>
    </row>
    <row r="52" spans="1:18" s="1538" customFormat="1" ht="13.8" thickBot="1">
      <c r="A52" s="1108"/>
      <c r="B52" s="1110"/>
      <c r="C52" s="1111"/>
      <c r="D52" s="1084"/>
      <c r="E52" s="1112" t="s">
        <v>1313</v>
      </c>
      <c r="F52" s="1185"/>
      <c r="I52" s="1591" t="s">
        <v>1448</v>
      </c>
      <c r="J52" s="1592">
        <v>0.09</v>
      </c>
      <c r="K52" s="1591" t="s">
        <v>1449</v>
      </c>
      <c r="L52" s="1592"/>
      <c r="O52" s="1582" t="s">
        <v>1013</v>
      </c>
      <c r="P52" s="1573" t="s">
        <v>1450</v>
      </c>
      <c r="Q52" s="1574">
        <f ca="1">J53</f>
        <v>34.36</v>
      </c>
      <c r="R52" s="1574" t="s">
        <v>1451</v>
      </c>
    </row>
    <row r="53" spans="1:18" s="1538" customFormat="1" ht="36.6"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34.36</v>
      </c>
      <c r="K53" s="3400" t="s">
        <v>1453</v>
      </c>
      <c r="L53" s="3401"/>
      <c r="O53" s="1572" t="s">
        <v>1014</v>
      </c>
      <c r="P53" s="1573" t="s">
        <v>1454</v>
      </c>
      <c r="Q53" s="1574">
        <f ca="1">Q47+Q48</f>
        <v>10248</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f ca="1">C13</f>
        <v>3160</v>
      </c>
      <c r="D56" s="1601"/>
      <c r="E56" s="1602"/>
      <c r="F56" s="1594"/>
      <c r="I56" s="1603" t="s">
        <v>1459</v>
      </c>
      <c r="J56" s="1604" t="s">
        <v>3140</v>
      </c>
      <c r="K56" s="1575" t="s">
        <v>1460</v>
      </c>
      <c r="L56" s="1578" t="str">
        <f ca="1">IF(L48&lt;J51,"——",L48-J53)</f>
        <v>——</v>
      </c>
      <c r="O56" s="1572" t="s">
        <v>1008</v>
      </c>
      <c r="P56" s="1573" t="s">
        <v>1433</v>
      </c>
      <c r="Q56" s="1574">
        <f ca="1">C40+J29</f>
        <v>10248</v>
      </c>
      <c r="R56" s="1574" t="s">
        <v>1434</v>
      </c>
    </row>
    <row r="57" spans="1:18" s="1538" customFormat="1" ht="24.6" thickBot="1">
      <c r="A57" s="1605"/>
      <c r="B57" s="1081" t="s">
        <v>1383</v>
      </c>
      <c r="C57" s="244">
        <f ca="1">C29</f>
        <v>3807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6" thickBot="1">
      <c r="A58" s="321" t="s">
        <v>998</v>
      </c>
      <c r="B58" s="1089" t="s">
        <v>1329</v>
      </c>
      <c r="C58" s="322">
        <f ca="1">ROUND(C59+C64+C65+C66,0)</f>
        <v>363</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322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IF(项目基本情况!B11="自然人","——",IF(D61="按租金收入计税",ROUND(C49*F61/(1+'数据-取费表'!C42),2),IF(D61="按房产原值计税",ROUND(C57*F61*0.7,2),INDIRECT("'数据-取费表'!Aj"&amp;$G$1))))</f>
        <v>319.79000000000002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8" thickBot="1">
      <c r="A62" s="1113" t="s">
        <v>1400</v>
      </c>
      <c r="B62" s="1080" t="s">
        <v>1401</v>
      </c>
      <c r="C62" s="25">
        <f ca="1">IF(项目基本情况!B11="自然人","——",ROUND(F62*F63/10000,2))</f>
        <v>2.4500000000000002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10248</v>
      </c>
      <c r="R62" s="1574" t="s">
        <v>1015</v>
      </c>
    </row>
    <row r="63" spans="1:18" s="1538" customFormat="1" ht="13.8" thickBot="1">
      <c r="A63" s="332"/>
      <c r="B63" s="1087"/>
      <c r="C63" s="29"/>
      <c r="D63" s="1097"/>
      <c r="E63" s="1081" t="s">
        <v>1404</v>
      </c>
      <c r="F63" s="309">
        <f t="shared" ca="1" si="0"/>
        <v>16308.9</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ROUND(C57*F64,1)</f>
        <v>38.1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3.2</v>
      </c>
      <c r="D65" s="1095" t="s">
        <v>1359</v>
      </c>
      <c r="E65" s="1081" t="s">
        <v>1360</v>
      </c>
      <c r="F65" s="336">
        <f t="shared" ca="1" si="0"/>
        <v>1E-3</v>
      </c>
      <c r="I65" s="1616" t="s">
        <v>1484</v>
      </c>
      <c r="J65" s="1617">
        <v>40</v>
      </c>
      <c r="K65" s="1617">
        <v>30</v>
      </c>
      <c r="L65" s="1617">
        <v>50</v>
      </c>
      <c r="M65" s="1619">
        <v>0.02</v>
      </c>
      <c r="O65" s="1572" t="s">
        <v>1008</v>
      </c>
      <c r="P65" s="1573" t="s">
        <v>1485</v>
      </c>
      <c r="Q65" s="1574">
        <f ca="1">C40+J29</f>
        <v>10248</v>
      </c>
      <c r="R65" s="1574" t="s">
        <v>1434</v>
      </c>
    </row>
    <row r="66" spans="1:18" s="1538" customFormat="1" ht="16.2"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24.6" thickBot="1">
      <c r="A67" s="1088" t="s">
        <v>999</v>
      </c>
      <c r="B67" s="1098" t="s">
        <v>1368</v>
      </c>
      <c r="C67" s="322">
        <f ca="1">C48-C58</f>
        <v>-363</v>
      </c>
      <c r="D67" s="1094" t="s">
        <v>1369</v>
      </c>
      <c r="E67" s="1099"/>
      <c r="F67" s="1100"/>
      <c r="O67" s="1582" t="s">
        <v>1010</v>
      </c>
      <c r="P67" s="1573" t="s">
        <v>1467</v>
      </c>
      <c r="Q67" s="1620">
        <f ca="1">L51</f>
        <v>3641</v>
      </c>
      <c r="R67" s="1574" t="s">
        <v>1487</v>
      </c>
    </row>
    <row r="68" spans="1:18" s="1538" customFormat="1" ht="16.2" thickBot="1">
      <c r="A68" s="1078" t="s">
        <v>1000</v>
      </c>
      <c r="B68" s="1079" t="s">
        <v>1390</v>
      </c>
      <c r="C68" s="307">
        <f ca="1">ROUND(C67*(1-((1+F70)/(1+F68))^F69)/(F68-F70),0)</f>
        <v>-5902</v>
      </c>
      <c r="D68" s="1096" t="s">
        <v>1374</v>
      </c>
      <c r="E68" s="1081" t="s">
        <v>1375</v>
      </c>
      <c r="F68" s="318">
        <f ca="1">F40</f>
        <v>0.05</v>
      </c>
      <c r="O68" s="1582" t="s">
        <v>1011</v>
      </c>
      <c r="P68" s="1621" t="s">
        <v>1488</v>
      </c>
      <c r="Q68" s="1574">
        <f ca="1">ROUND(Q69-Q70*Q71,0)</f>
        <v>186</v>
      </c>
      <c r="R68" s="1574" t="s">
        <v>1019</v>
      </c>
    </row>
    <row r="69" spans="1:18" s="1538" customFormat="1" ht="13.8" thickBot="1">
      <c r="A69" s="1082"/>
      <c r="B69" s="1083"/>
      <c r="C69" s="312"/>
      <c r="D69" s="1101" t="s">
        <v>1378</v>
      </c>
      <c r="E69" s="1081" t="s">
        <v>1379</v>
      </c>
      <c r="F69" s="339">
        <f ca="1">F41</f>
        <v>34.36</v>
      </c>
      <c r="O69" s="1582" t="s">
        <v>1016</v>
      </c>
      <c r="P69" s="1621" t="s">
        <v>1489</v>
      </c>
      <c r="Q69" s="1574">
        <f ca="1">C39</f>
        <v>455</v>
      </c>
      <c r="R69" s="1574" t="s">
        <v>1434</v>
      </c>
    </row>
    <row r="70" spans="1:18" s="1538" customFormat="1" ht="13.8" thickBot="1">
      <c r="A70" s="1085"/>
      <c r="B70" s="1086"/>
      <c r="C70" s="316"/>
      <c r="D70" s="1097"/>
      <c r="E70" s="1081" t="s">
        <v>1382</v>
      </c>
      <c r="F70" s="1185"/>
      <c r="O70" s="1582" t="s">
        <v>1017</v>
      </c>
      <c r="P70" s="1621" t="s">
        <v>1490</v>
      </c>
      <c r="Q70" s="1574">
        <f ca="1">C13</f>
        <v>3160</v>
      </c>
      <c r="R70" s="1574" t="s">
        <v>1434</v>
      </c>
    </row>
    <row r="71" spans="1:18" s="1538" customFormat="1" ht="13.8" thickBot="1">
      <c r="A71" s="1102" t="s">
        <v>1001</v>
      </c>
      <c r="B71" s="1103" t="s">
        <v>1392</v>
      </c>
      <c r="C71" s="342">
        <f ca="1">ROUND(C68*10000/F71,0)</f>
        <v>-6332</v>
      </c>
      <c r="D71" s="1104" t="s">
        <v>1393</v>
      </c>
      <c r="E71" s="1105" t="s">
        <v>1394</v>
      </c>
      <c r="F71" s="345">
        <f ca="1">F43</f>
        <v>9321.1299999999992</v>
      </c>
      <c r="O71" s="1582" t="s">
        <v>1018</v>
      </c>
      <c r="P71" s="1621" t="s">
        <v>1491</v>
      </c>
      <c r="Q71" s="1585">
        <f ca="1">C76</f>
        <v>8.5000000000000006E-2</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8" thickBot="1">
      <c r="A75" s="1538"/>
      <c r="B75" s="346" t="s">
        <v>1411</v>
      </c>
      <c r="C75" s="347">
        <f ca="1">ROUND(C13*C76,0)</f>
        <v>269</v>
      </c>
      <c r="D75" s="1538"/>
      <c r="E75" s="1538"/>
      <c r="F75" s="1538"/>
      <c r="K75" s="1556"/>
      <c r="L75" s="1538"/>
      <c r="O75" s="1572" t="s">
        <v>1014</v>
      </c>
      <c r="P75" s="1573" t="s">
        <v>1454</v>
      </c>
      <c r="Q75" s="1574">
        <f ca="1">Q65+Q66</f>
        <v>10248</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0.40900000000000003</v>
      </c>
    </row>
    <row r="80" spans="1:18">
      <c r="B80" s="346" t="s">
        <v>1416</v>
      </c>
      <c r="C80" s="280">
        <f ca="1">ROUND(C75/C39,3)</f>
        <v>0.59099999999999997</v>
      </c>
    </row>
    <row r="81" spans="2:3">
      <c r="B81" s="276" t="s">
        <v>1417</v>
      </c>
      <c r="C81" s="244"/>
    </row>
    <row r="82" spans="2:3">
      <c r="B82" s="279" t="s">
        <v>1418</v>
      </c>
      <c r="C82" s="281">
        <f ca="1">1-C83</f>
        <v>0.69199999999999995</v>
      </c>
    </row>
    <row r="83" spans="2:3">
      <c r="B83" s="279" t="s">
        <v>1419</v>
      </c>
      <c r="C83" s="280">
        <f ca="1">ROUND(C13/C40,3)</f>
        <v>0.308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2" t="s">
        <v>1308</v>
      </c>
      <c r="C6" s="1206">
        <f ca="1">ROUND(F6*F8*F7*(1-F9),0)</f>
        <v>0</v>
      </c>
      <c r="D6" s="160" t="s">
        <v>2788</v>
      </c>
      <c r="E6" s="308" t="s">
        <v>1310</v>
      </c>
      <c r="F6" s="309">
        <f ca="1">INDIRECT("'数据-取费表'!u"&amp;$G$1)</f>
        <v>0</v>
      </c>
      <c r="G6" s="1538"/>
      <c r="H6" s="1201" t="s">
        <v>1003</v>
      </c>
      <c r="I6" s="3402" t="s">
        <v>1308</v>
      </c>
      <c r="J6" s="307">
        <f ca="1">ROUND(M6*M8*M7*(1-M9),0)</f>
        <v>0</v>
      </c>
      <c r="K6" s="1530" t="s">
        <v>2789</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0</v>
      </c>
      <c r="G7" s="1538"/>
      <c r="H7" s="310"/>
      <c r="I7" s="3403"/>
      <c r="J7" s="312"/>
      <c r="K7" s="313"/>
      <c r="L7" s="308" t="s">
        <v>1311</v>
      </c>
      <c r="M7" s="309">
        <f ca="1">F7</f>
        <v>0</v>
      </c>
    </row>
    <row r="8" spans="1:37" ht="18" customHeight="1">
      <c r="A8" s="310"/>
      <c r="B8" s="3403"/>
      <c r="C8" s="312"/>
      <c r="D8" s="313"/>
      <c r="E8" s="308" t="s">
        <v>1312</v>
      </c>
      <c r="F8" s="309">
        <f ca="1">INDIRECT("'数据-取费表'!ai"&amp;$G$1)</f>
        <v>0</v>
      </c>
      <c r="G8" s="1538"/>
      <c r="H8" s="310"/>
      <c r="I8" s="3403"/>
      <c r="J8" s="312"/>
      <c r="K8" s="313"/>
      <c r="L8" s="308" t="s">
        <v>1312</v>
      </c>
      <c r="M8" s="309">
        <f ca="1">INDIRECT("'数据-取费表'!ai"&amp;$G$1)</f>
        <v>0</v>
      </c>
    </row>
    <row r="9" spans="1:37" ht="18" customHeight="1">
      <c r="A9" s="310"/>
      <c r="B9" s="3404"/>
      <c r="C9" s="312"/>
      <c r="D9" s="313"/>
      <c r="E9" s="308" t="s">
        <v>1313</v>
      </c>
      <c r="F9" s="318">
        <f ca="1">INDIRECT("'数据-取费表'!w"&amp;$G$1)</f>
        <v>0</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0" t="s">
        <v>1453</v>
      </c>
      <c r="L53" s="3401"/>
      <c r="O53" s="1572" t="s">
        <v>1014</v>
      </c>
      <c r="P53" s="1573" t="s">
        <v>1454</v>
      </c>
      <c r="Q53" s="1574" t="e">
        <f ca="1">Q47+Q48</f>
        <v>#DIV/0!</v>
      </c>
      <c r="R53" s="1574" t="s">
        <v>1015</v>
      </c>
    </row>
    <row r="54" spans="1:18" s="1538" customFormat="1" ht="13.8"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6"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24.6"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1489</v>
      </c>
      <c r="Q69" s="1574">
        <f ca="1">C39</f>
        <v>0</v>
      </c>
      <c r="R69" s="1574" t="s">
        <v>1434</v>
      </c>
    </row>
    <row r="70" spans="1:18" s="1538" customFormat="1" ht="13.8" thickBot="1">
      <c r="A70" s="1085"/>
      <c r="B70" s="1086"/>
      <c r="C70" s="316"/>
      <c r="D70" s="1097"/>
      <c r="E70" s="1081" t="s">
        <v>1382</v>
      </c>
      <c r="F70" s="1185">
        <f ca="1">F42</f>
        <v>0</v>
      </c>
      <c r="O70" s="1582" t="s">
        <v>1017</v>
      </c>
      <c r="P70" s="1621" t="s">
        <v>1490</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1" customWidth="1"/>
    <col min="2" max="2" width="8.88671875" style="3041"/>
    <col min="3" max="5" width="12.88671875" style="3041" customWidth="1"/>
    <col min="6" max="6" width="47.44140625" style="3041" customWidth="1"/>
    <col min="7" max="7" width="13" style="3200" customWidth="1"/>
    <col min="8" max="8" width="8.88671875" style="3035"/>
    <col min="9" max="9" width="8.88671875" style="3036"/>
    <col min="10" max="10" width="5.77734375" style="3201" customWidth="1"/>
    <col min="11" max="11" width="11.77734375" style="3201" customWidth="1"/>
    <col min="12" max="13" width="10.77734375" style="3201" customWidth="1"/>
    <col min="14" max="14" width="10" style="3201" customWidth="1"/>
    <col min="15" max="16" width="10.44140625" style="3201" bestFit="1" customWidth="1"/>
    <col min="17" max="17" width="10" style="3201" customWidth="1"/>
    <col min="18" max="18" width="10.109375" style="3201" customWidth="1"/>
    <col min="19" max="19" width="10" style="3201" customWidth="1"/>
    <col min="20" max="20" width="26.109375" style="3201" customWidth="1"/>
    <col min="21" max="21" width="8.88671875" style="3201"/>
    <col min="22" max="22" width="8.88671875" style="3036"/>
    <col min="23" max="256" width="8.88671875" style="3041"/>
    <col min="257" max="257" width="9.44140625" style="3041" customWidth="1"/>
    <col min="258" max="258" width="8.88671875" style="3041"/>
    <col min="259" max="261" width="12.88671875" style="3041" customWidth="1"/>
    <col min="262" max="262" width="47.44140625" style="3041" customWidth="1"/>
    <col min="263" max="263" width="13" style="3041" customWidth="1"/>
    <col min="264" max="265" width="8.88671875" style="3041"/>
    <col min="266" max="266" width="5.77734375" style="3041" customWidth="1"/>
    <col min="267" max="267" width="11.77734375" style="3041" customWidth="1"/>
    <col min="268" max="269" width="10.77734375" style="3041" customWidth="1"/>
    <col min="270" max="270" width="10" style="3041" customWidth="1"/>
    <col min="271" max="272" width="10.44140625" style="3041" bestFit="1" customWidth="1"/>
    <col min="273" max="273" width="10" style="3041" customWidth="1"/>
    <col min="274" max="274" width="10.109375" style="3041" customWidth="1"/>
    <col min="275" max="275" width="10" style="3041" customWidth="1"/>
    <col min="276" max="276" width="26.109375" style="3041" customWidth="1"/>
    <col min="277" max="512" width="8.88671875" style="3041"/>
    <col min="513" max="513" width="9.44140625" style="3041" customWidth="1"/>
    <col min="514" max="514" width="8.88671875" style="3041"/>
    <col min="515" max="517" width="12.88671875" style="3041" customWidth="1"/>
    <col min="518" max="518" width="47.44140625" style="3041" customWidth="1"/>
    <col min="519" max="519" width="13" style="3041" customWidth="1"/>
    <col min="520" max="521" width="8.88671875" style="3041"/>
    <col min="522" max="522" width="5.77734375" style="3041" customWidth="1"/>
    <col min="523" max="523" width="11.77734375" style="3041" customWidth="1"/>
    <col min="524" max="525" width="10.77734375" style="3041" customWidth="1"/>
    <col min="526" max="526" width="10" style="3041" customWidth="1"/>
    <col min="527" max="528" width="10.44140625" style="3041" bestFit="1" customWidth="1"/>
    <col min="529" max="529" width="10" style="3041" customWidth="1"/>
    <col min="530" max="530" width="10.109375" style="3041" customWidth="1"/>
    <col min="531" max="531" width="10" style="3041" customWidth="1"/>
    <col min="532" max="532" width="26.109375" style="3041" customWidth="1"/>
    <col min="533" max="768" width="8.88671875" style="3041"/>
    <col min="769" max="769" width="9.44140625" style="3041" customWidth="1"/>
    <col min="770" max="770" width="8.88671875" style="3041"/>
    <col min="771" max="773" width="12.88671875" style="3041" customWidth="1"/>
    <col min="774" max="774" width="47.44140625" style="3041" customWidth="1"/>
    <col min="775" max="775" width="13" style="3041" customWidth="1"/>
    <col min="776" max="777" width="8.88671875" style="3041"/>
    <col min="778" max="778" width="5.77734375" style="3041" customWidth="1"/>
    <col min="779" max="779" width="11.77734375" style="3041" customWidth="1"/>
    <col min="780" max="781" width="10.77734375" style="3041" customWidth="1"/>
    <col min="782" max="782" width="10" style="3041" customWidth="1"/>
    <col min="783" max="784" width="10.44140625" style="3041" bestFit="1" customWidth="1"/>
    <col min="785" max="785" width="10" style="3041" customWidth="1"/>
    <col min="786" max="786" width="10.109375" style="3041" customWidth="1"/>
    <col min="787" max="787" width="10" style="3041" customWidth="1"/>
    <col min="788" max="788" width="26.109375" style="3041" customWidth="1"/>
    <col min="789" max="1024" width="8.88671875" style="3041"/>
    <col min="1025" max="1025" width="9.44140625" style="3041" customWidth="1"/>
    <col min="1026" max="1026" width="8.88671875" style="3041"/>
    <col min="1027" max="1029" width="12.88671875" style="3041" customWidth="1"/>
    <col min="1030" max="1030" width="47.44140625" style="3041" customWidth="1"/>
    <col min="1031" max="1031" width="13" style="3041" customWidth="1"/>
    <col min="1032" max="1033" width="8.88671875" style="3041"/>
    <col min="1034" max="1034" width="5.77734375" style="3041" customWidth="1"/>
    <col min="1035" max="1035" width="11.77734375" style="3041" customWidth="1"/>
    <col min="1036" max="1037" width="10.77734375" style="3041" customWidth="1"/>
    <col min="1038" max="1038" width="10" style="3041" customWidth="1"/>
    <col min="1039" max="1040" width="10.44140625" style="3041" bestFit="1" customWidth="1"/>
    <col min="1041" max="1041" width="10" style="3041" customWidth="1"/>
    <col min="1042" max="1042" width="10.109375" style="3041" customWidth="1"/>
    <col min="1043" max="1043" width="10" style="3041" customWidth="1"/>
    <col min="1044" max="1044" width="26.109375" style="3041" customWidth="1"/>
    <col min="1045" max="1280" width="8.88671875" style="3041"/>
    <col min="1281" max="1281" width="9.44140625" style="3041" customWidth="1"/>
    <col min="1282" max="1282" width="8.88671875" style="3041"/>
    <col min="1283" max="1285" width="12.88671875" style="3041" customWidth="1"/>
    <col min="1286" max="1286" width="47.44140625" style="3041" customWidth="1"/>
    <col min="1287" max="1287" width="13" style="3041" customWidth="1"/>
    <col min="1288" max="1289" width="8.88671875" style="3041"/>
    <col min="1290" max="1290" width="5.77734375" style="3041" customWidth="1"/>
    <col min="1291" max="1291" width="11.77734375" style="3041" customWidth="1"/>
    <col min="1292" max="1293" width="10.77734375" style="3041" customWidth="1"/>
    <col min="1294" max="1294" width="10" style="3041" customWidth="1"/>
    <col min="1295" max="1296" width="10.44140625" style="3041" bestFit="1" customWidth="1"/>
    <col min="1297" max="1297" width="10" style="3041" customWidth="1"/>
    <col min="1298" max="1298" width="10.109375" style="3041" customWidth="1"/>
    <col min="1299" max="1299" width="10" style="3041" customWidth="1"/>
    <col min="1300" max="1300" width="26.109375" style="3041" customWidth="1"/>
    <col min="1301" max="1536" width="8.88671875" style="3041"/>
    <col min="1537" max="1537" width="9.44140625" style="3041" customWidth="1"/>
    <col min="1538" max="1538" width="8.88671875" style="3041"/>
    <col min="1539" max="1541" width="12.88671875" style="3041" customWidth="1"/>
    <col min="1542" max="1542" width="47.44140625" style="3041" customWidth="1"/>
    <col min="1543" max="1543" width="13" style="3041" customWidth="1"/>
    <col min="1544" max="1545" width="8.88671875" style="3041"/>
    <col min="1546" max="1546" width="5.77734375" style="3041" customWidth="1"/>
    <col min="1547" max="1547" width="11.77734375" style="3041" customWidth="1"/>
    <col min="1548" max="1549" width="10.77734375" style="3041" customWidth="1"/>
    <col min="1550" max="1550" width="10" style="3041" customWidth="1"/>
    <col min="1551" max="1552" width="10.44140625" style="3041" bestFit="1" customWidth="1"/>
    <col min="1553" max="1553" width="10" style="3041" customWidth="1"/>
    <col min="1554" max="1554" width="10.109375" style="3041" customWidth="1"/>
    <col min="1555" max="1555" width="10" style="3041" customWidth="1"/>
    <col min="1556" max="1556" width="26.109375" style="3041" customWidth="1"/>
    <col min="1557" max="1792" width="8.88671875" style="3041"/>
    <col min="1793" max="1793" width="9.44140625" style="3041" customWidth="1"/>
    <col min="1794" max="1794" width="8.88671875" style="3041"/>
    <col min="1795" max="1797" width="12.88671875" style="3041" customWidth="1"/>
    <col min="1798" max="1798" width="47.44140625" style="3041" customWidth="1"/>
    <col min="1799" max="1799" width="13" style="3041" customWidth="1"/>
    <col min="1800" max="1801" width="8.88671875" style="3041"/>
    <col min="1802" max="1802" width="5.77734375" style="3041" customWidth="1"/>
    <col min="1803" max="1803" width="11.77734375" style="3041" customWidth="1"/>
    <col min="1804" max="1805" width="10.77734375" style="3041" customWidth="1"/>
    <col min="1806" max="1806" width="10" style="3041" customWidth="1"/>
    <col min="1807" max="1808" width="10.44140625" style="3041" bestFit="1" customWidth="1"/>
    <col min="1809" max="1809" width="10" style="3041" customWidth="1"/>
    <col min="1810" max="1810" width="10.109375" style="3041" customWidth="1"/>
    <col min="1811" max="1811" width="10" style="3041" customWidth="1"/>
    <col min="1812" max="1812" width="26.109375" style="3041" customWidth="1"/>
    <col min="1813" max="2048" width="8.88671875" style="3041"/>
    <col min="2049" max="2049" width="9.44140625" style="3041" customWidth="1"/>
    <col min="2050" max="2050" width="8.88671875" style="3041"/>
    <col min="2051" max="2053" width="12.88671875" style="3041" customWidth="1"/>
    <col min="2054" max="2054" width="47.44140625" style="3041" customWidth="1"/>
    <col min="2055" max="2055" width="13" style="3041" customWidth="1"/>
    <col min="2056" max="2057" width="8.88671875" style="3041"/>
    <col min="2058" max="2058" width="5.77734375" style="3041" customWidth="1"/>
    <col min="2059" max="2059" width="11.77734375" style="3041" customWidth="1"/>
    <col min="2060" max="2061" width="10.77734375" style="3041" customWidth="1"/>
    <col min="2062" max="2062" width="10" style="3041" customWidth="1"/>
    <col min="2063" max="2064" width="10.44140625" style="3041" bestFit="1" customWidth="1"/>
    <col min="2065" max="2065" width="10" style="3041" customWidth="1"/>
    <col min="2066" max="2066" width="10.109375" style="3041" customWidth="1"/>
    <col min="2067" max="2067" width="10" style="3041" customWidth="1"/>
    <col min="2068" max="2068" width="26.109375" style="3041" customWidth="1"/>
    <col min="2069" max="2304" width="8.88671875" style="3041"/>
    <col min="2305" max="2305" width="9.44140625" style="3041" customWidth="1"/>
    <col min="2306" max="2306" width="8.88671875" style="3041"/>
    <col min="2307" max="2309" width="12.88671875" style="3041" customWidth="1"/>
    <col min="2310" max="2310" width="47.44140625" style="3041" customWidth="1"/>
    <col min="2311" max="2311" width="13" style="3041" customWidth="1"/>
    <col min="2312" max="2313" width="8.88671875" style="3041"/>
    <col min="2314" max="2314" width="5.77734375" style="3041" customWidth="1"/>
    <col min="2315" max="2315" width="11.77734375" style="3041" customWidth="1"/>
    <col min="2316" max="2317" width="10.77734375" style="3041" customWidth="1"/>
    <col min="2318" max="2318" width="10" style="3041" customWidth="1"/>
    <col min="2319" max="2320" width="10.44140625" style="3041" bestFit="1" customWidth="1"/>
    <col min="2321" max="2321" width="10" style="3041" customWidth="1"/>
    <col min="2322" max="2322" width="10.109375" style="3041" customWidth="1"/>
    <col min="2323" max="2323" width="10" style="3041" customWidth="1"/>
    <col min="2324" max="2324" width="26.109375" style="3041" customWidth="1"/>
    <col min="2325" max="2560" width="8.88671875" style="3041"/>
    <col min="2561" max="2561" width="9.44140625" style="3041" customWidth="1"/>
    <col min="2562" max="2562" width="8.88671875" style="3041"/>
    <col min="2563" max="2565" width="12.88671875" style="3041" customWidth="1"/>
    <col min="2566" max="2566" width="47.44140625" style="3041" customWidth="1"/>
    <col min="2567" max="2567" width="13" style="3041" customWidth="1"/>
    <col min="2568" max="2569" width="8.88671875" style="3041"/>
    <col min="2570" max="2570" width="5.77734375" style="3041" customWidth="1"/>
    <col min="2571" max="2571" width="11.77734375" style="3041" customWidth="1"/>
    <col min="2572" max="2573" width="10.77734375" style="3041" customWidth="1"/>
    <col min="2574" max="2574" width="10" style="3041" customWidth="1"/>
    <col min="2575" max="2576" width="10.44140625" style="3041" bestFit="1" customWidth="1"/>
    <col min="2577" max="2577" width="10" style="3041" customWidth="1"/>
    <col min="2578" max="2578" width="10.109375" style="3041" customWidth="1"/>
    <col min="2579" max="2579" width="10" style="3041" customWidth="1"/>
    <col min="2580" max="2580" width="26.109375" style="3041" customWidth="1"/>
    <col min="2581" max="2816" width="8.88671875" style="3041"/>
    <col min="2817" max="2817" width="9.44140625" style="3041" customWidth="1"/>
    <col min="2818" max="2818" width="8.88671875" style="3041"/>
    <col min="2819" max="2821" width="12.88671875" style="3041" customWidth="1"/>
    <col min="2822" max="2822" width="47.44140625" style="3041" customWidth="1"/>
    <col min="2823" max="2823" width="13" style="3041" customWidth="1"/>
    <col min="2824" max="2825" width="8.88671875" style="3041"/>
    <col min="2826" max="2826" width="5.77734375" style="3041" customWidth="1"/>
    <col min="2827" max="2827" width="11.77734375" style="3041" customWidth="1"/>
    <col min="2828" max="2829" width="10.77734375" style="3041" customWidth="1"/>
    <col min="2830" max="2830" width="10" style="3041" customWidth="1"/>
    <col min="2831" max="2832" width="10.44140625" style="3041" bestFit="1" customWidth="1"/>
    <col min="2833" max="2833" width="10" style="3041" customWidth="1"/>
    <col min="2834" max="2834" width="10.109375" style="3041" customWidth="1"/>
    <col min="2835" max="2835" width="10" style="3041" customWidth="1"/>
    <col min="2836" max="2836" width="26.109375" style="3041" customWidth="1"/>
    <col min="2837" max="3072" width="8.88671875" style="3041"/>
    <col min="3073" max="3073" width="9.44140625" style="3041" customWidth="1"/>
    <col min="3074" max="3074" width="8.88671875" style="3041"/>
    <col min="3075" max="3077" width="12.88671875" style="3041" customWidth="1"/>
    <col min="3078" max="3078" width="47.44140625" style="3041" customWidth="1"/>
    <col min="3079" max="3079" width="13" style="3041" customWidth="1"/>
    <col min="3080" max="3081" width="8.88671875" style="3041"/>
    <col min="3082" max="3082" width="5.77734375" style="3041" customWidth="1"/>
    <col min="3083" max="3083" width="11.77734375" style="3041" customWidth="1"/>
    <col min="3084" max="3085" width="10.77734375" style="3041" customWidth="1"/>
    <col min="3086" max="3086" width="10" style="3041" customWidth="1"/>
    <col min="3087" max="3088" width="10.44140625" style="3041" bestFit="1" customWidth="1"/>
    <col min="3089" max="3089" width="10" style="3041" customWidth="1"/>
    <col min="3090" max="3090" width="10.109375" style="3041" customWidth="1"/>
    <col min="3091" max="3091" width="10" style="3041" customWidth="1"/>
    <col min="3092" max="3092" width="26.109375" style="3041" customWidth="1"/>
    <col min="3093" max="3328" width="8.88671875" style="3041"/>
    <col min="3329" max="3329" width="9.44140625" style="3041" customWidth="1"/>
    <col min="3330" max="3330" width="8.88671875" style="3041"/>
    <col min="3331" max="3333" width="12.88671875" style="3041" customWidth="1"/>
    <col min="3334" max="3334" width="47.44140625" style="3041" customWidth="1"/>
    <col min="3335" max="3335" width="13" style="3041" customWidth="1"/>
    <col min="3336" max="3337" width="8.88671875" style="3041"/>
    <col min="3338" max="3338" width="5.77734375" style="3041" customWidth="1"/>
    <col min="3339" max="3339" width="11.77734375" style="3041" customWidth="1"/>
    <col min="3340" max="3341" width="10.77734375" style="3041" customWidth="1"/>
    <col min="3342" max="3342" width="10" style="3041" customWidth="1"/>
    <col min="3343" max="3344" width="10.44140625" style="3041" bestFit="1" customWidth="1"/>
    <col min="3345" max="3345" width="10" style="3041" customWidth="1"/>
    <col min="3346" max="3346" width="10.109375" style="3041" customWidth="1"/>
    <col min="3347" max="3347" width="10" style="3041" customWidth="1"/>
    <col min="3348" max="3348" width="26.109375" style="3041" customWidth="1"/>
    <col min="3349" max="3584" width="8.88671875" style="3041"/>
    <col min="3585" max="3585" width="9.44140625" style="3041" customWidth="1"/>
    <col min="3586" max="3586" width="8.88671875" style="3041"/>
    <col min="3587" max="3589" width="12.88671875" style="3041" customWidth="1"/>
    <col min="3590" max="3590" width="47.44140625" style="3041" customWidth="1"/>
    <col min="3591" max="3591" width="13" style="3041" customWidth="1"/>
    <col min="3592" max="3593" width="8.88671875" style="3041"/>
    <col min="3594" max="3594" width="5.77734375" style="3041" customWidth="1"/>
    <col min="3595" max="3595" width="11.77734375" style="3041" customWidth="1"/>
    <col min="3596" max="3597" width="10.77734375" style="3041" customWidth="1"/>
    <col min="3598" max="3598" width="10" style="3041" customWidth="1"/>
    <col min="3599" max="3600" width="10.44140625" style="3041" bestFit="1" customWidth="1"/>
    <col min="3601" max="3601" width="10" style="3041" customWidth="1"/>
    <col min="3602" max="3602" width="10.109375" style="3041" customWidth="1"/>
    <col min="3603" max="3603" width="10" style="3041" customWidth="1"/>
    <col min="3604" max="3604" width="26.109375" style="3041" customWidth="1"/>
    <col min="3605" max="3840" width="8.88671875" style="3041"/>
    <col min="3841" max="3841" width="9.44140625" style="3041" customWidth="1"/>
    <col min="3842" max="3842" width="8.88671875" style="3041"/>
    <col min="3843" max="3845" width="12.88671875" style="3041" customWidth="1"/>
    <col min="3846" max="3846" width="47.44140625" style="3041" customWidth="1"/>
    <col min="3847" max="3847" width="13" style="3041" customWidth="1"/>
    <col min="3848" max="3849" width="8.88671875" style="3041"/>
    <col min="3850" max="3850" width="5.77734375" style="3041" customWidth="1"/>
    <col min="3851" max="3851" width="11.77734375" style="3041" customWidth="1"/>
    <col min="3852" max="3853" width="10.77734375" style="3041" customWidth="1"/>
    <col min="3854" max="3854" width="10" style="3041" customWidth="1"/>
    <col min="3855" max="3856" width="10.44140625" style="3041" bestFit="1" customWidth="1"/>
    <col min="3857" max="3857" width="10" style="3041" customWidth="1"/>
    <col min="3858" max="3858" width="10.109375" style="3041" customWidth="1"/>
    <col min="3859" max="3859" width="10" style="3041" customWidth="1"/>
    <col min="3860" max="3860" width="26.109375" style="3041" customWidth="1"/>
    <col min="3861" max="4096" width="8.88671875" style="3041"/>
    <col min="4097" max="4097" width="9.44140625" style="3041" customWidth="1"/>
    <col min="4098" max="4098" width="8.88671875" style="3041"/>
    <col min="4099" max="4101" width="12.88671875" style="3041" customWidth="1"/>
    <col min="4102" max="4102" width="47.44140625" style="3041" customWidth="1"/>
    <col min="4103" max="4103" width="13" style="3041" customWidth="1"/>
    <col min="4104" max="4105" width="8.88671875" style="3041"/>
    <col min="4106" max="4106" width="5.77734375" style="3041" customWidth="1"/>
    <col min="4107" max="4107" width="11.77734375" style="3041" customWidth="1"/>
    <col min="4108" max="4109" width="10.77734375" style="3041" customWidth="1"/>
    <col min="4110" max="4110" width="10" style="3041" customWidth="1"/>
    <col min="4111" max="4112" width="10.44140625" style="3041" bestFit="1" customWidth="1"/>
    <col min="4113" max="4113" width="10" style="3041" customWidth="1"/>
    <col min="4114" max="4114" width="10.109375" style="3041" customWidth="1"/>
    <col min="4115" max="4115" width="10" style="3041" customWidth="1"/>
    <col min="4116" max="4116" width="26.109375" style="3041" customWidth="1"/>
    <col min="4117" max="4352" width="8.88671875" style="3041"/>
    <col min="4353" max="4353" width="9.44140625" style="3041" customWidth="1"/>
    <col min="4354" max="4354" width="8.88671875" style="3041"/>
    <col min="4355" max="4357" width="12.88671875" style="3041" customWidth="1"/>
    <col min="4358" max="4358" width="47.44140625" style="3041" customWidth="1"/>
    <col min="4359" max="4359" width="13" style="3041" customWidth="1"/>
    <col min="4360" max="4361" width="8.88671875" style="3041"/>
    <col min="4362" max="4362" width="5.77734375" style="3041" customWidth="1"/>
    <col min="4363" max="4363" width="11.77734375" style="3041" customWidth="1"/>
    <col min="4364" max="4365" width="10.77734375" style="3041" customWidth="1"/>
    <col min="4366" max="4366" width="10" style="3041" customWidth="1"/>
    <col min="4367" max="4368" width="10.44140625" style="3041" bestFit="1" customWidth="1"/>
    <col min="4369" max="4369" width="10" style="3041" customWidth="1"/>
    <col min="4370" max="4370" width="10.109375" style="3041" customWidth="1"/>
    <col min="4371" max="4371" width="10" style="3041" customWidth="1"/>
    <col min="4372" max="4372" width="26.109375" style="3041" customWidth="1"/>
    <col min="4373" max="4608" width="8.88671875" style="3041"/>
    <col min="4609" max="4609" width="9.44140625" style="3041" customWidth="1"/>
    <col min="4610" max="4610" width="8.88671875" style="3041"/>
    <col min="4611" max="4613" width="12.88671875" style="3041" customWidth="1"/>
    <col min="4614" max="4614" width="47.44140625" style="3041" customWidth="1"/>
    <col min="4615" max="4615" width="13" style="3041" customWidth="1"/>
    <col min="4616" max="4617" width="8.88671875" style="3041"/>
    <col min="4618" max="4618" width="5.77734375" style="3041" customWidth="1"/>
    <col min="4619" max="4619" width="11.77734375" style="3041" customWidth="1"/>
    <col min="4620" max="4621" width="10.77734375" style="3041" customWidth="1"/>
    <col min="4622" max="4622" width="10" style="3041" customWidth="1"/>
    <col min="4623" max="4624" width="10.44140625" style="3041" bestFit="1" customWidth="1"/>
    <col min="4625" max="4625" width="10" style="3041" customWidth="1"/>
    <col min="4626" max="4626" width="10.109375" style="3041" customWidth="1"/>
    <col min="4627" max="4627" width="10" style="3041" customWidth="1"/>
    <col min="4628" max="4628" width="26.109375" style="3041" customWidth="1"/>
    <col min="4629" max="4864" width="8.88671875" style="3041"/>
    <col min="4865" max="4865" width="9.44140625" style="3041" customWidth="1"/>
    <col min="4866" max="4866" width="8.88671875" style="3041"/>
    <col min="4867" max="4869" width="12.88671875" style="3041" customWidth="1"/>
    <col min="4870" max="4870" width="47.44140625" style="3041" customWidth="1"/>
    <col min="4871" max="4871" width="13" style="3041" customWidth="1"/>
    <col min="4872" max="4873" width="8.88671875" style="3041"/>
    <col min="4874" max="4874" width="5.77734375" style="3041" customWidth="1"/>
    <col min="4875" max="4875" width="11.77734375" style="3041" customWidth="1"/>
    <col min="4876" max="4877" width="10.77734375" style="3041" customWidth="1"/>
    <col min="4878" max="4878" width="10" style="3041" customWidth="1"/>
    <col min="4879" max="4880" width="10.44140625" style="3041" bestFit="1" customWidth="1"/>
    <col min="4881" max="4881" width="10" style="3041" customWidth="1"/>
    <col min="4882" max="4882" width="10.109375" style="3041" customWidth="1"/>
    <col min="4883" max="4883" width="10" style="3041" customWidth="1"/>
    <col min="4884" max="4884" width="26.109375" style="3041" customWidth="1"/>
    <col min="4885" max="5120" width="8.88671875" style="3041"/>
    <col min="5121" max="5121" width="9.44140625" style="3041" customWidth="1"/>
    <col min="5122" max="5122" width="8.88671875" style="3041"/>
    <col min="5123" max="5125" width="12.88671875" style="3041" customWidth="1"/>
    <col min="5126" max="5126" width="47.44140625" style="3041" customWidth="1"/>
    <col min="5127" max="5127" width="13" style="3041" customWidth="1"/>
    <col min="5128" max="5129" width="8.88671875" style="3041"/>
    <col min="5130" max="5130" width="5.77734375" style="3041" customWidth="1"/>
    <col min="5131" max="5131" width="11.77734375" style="3041" customWidth="1"/>
    <col min="5132" max="5133" width="10.77734375" style="3041" customWidth="1"/>
    <col min="5134" max="5134" width="10" style="3041" customWidth="1"/>
    <col min="5135" max="5136" width="10.44140625" style="3041" bestFit="1" customWidth="1"/>
    <col min="5137" max="5137" width="10" style="3041" customWidth="1"/>
    <col min="5138" max="5138" width="10.109375" style="3041" customWidth="1"/>
    <col min="5139" max="5139" width="10" style="3041" customWidth="1"/>
    <col min="5140" max="5140" width="26.109375" style="3041" customWidth="1"/>
    <col min="5141" max="5376" width="8.88671875" style="3041"/>
    <col min="5377" max="5377" width="9.44140625" style="3041" customWidth="1"/>
    <col min="5378" max="5378" width="8.88671875" style="3041"/>
    <col min="5379" max="5381" width="12.88671875" style="3041" customWidth="1"/>
    <col min="5382" max="5382" width="47.44140625" style="3041" customWidth="1"/>
    <col min="5383" max="5383" width="13" style="3041" customWidth="1"/>
    <col min="5384" max="5385" width="8.88671875" style="3041"/>
    <col min="5386" max="5386" width="5.77734375" style="3041" customWidth="1"/>
    <col min="5387" max="5387" width="11.77734375" style="3041" customWidth="1"/>
    <col min="5388" max="5389" width="10.77734375" style="3041" customWidth="1"/>
    <col min="5390" max="5390" width="10" style="3041" customWidth="1"/>
    <col min="5391" max="5392" width="10.44140625" style="3041" bestFit="1" customWidth="1"/>
    <col min="5393" max="5393" width="10" style="3041" customWidth="1"/>
    <col min="5394" max="5394" width="10.109375" style="3041" customWidth="1"/>
    <col min="5395" max="5395" width="10" style="3041" customWidth="1"/>
    <col min="5396" max="5396" width="26.109375" style="3041" customWidth="1"/>
    <col min="5397" max="5632" width="8.88671875" style="3041"/>
    <col min="5633" max="5633" width="9.44140625" style="3041" customWidth="1"/>
    <col min="5634" max="5634" width="8.88671875" style="3041"/>
    <col min="5635" max="5637" width="12.88671875" style="3041" customWidth="1"/>
    <col min="5638" max="5638" width="47.44140625" style="3041" customWidth="1"/>
    <col min="5639" max="5639" width="13" style="3041" customWidth="1"/>
    <col min="5640" max="5641" width="8.88671875" style="3041"/>
    <col min="5642" max="5642" width="5.77734375" style="3041" customWidth="1"/>
    <col min="5643" max="5643" width="11.77734375" style="3041" customWidth="1"/>
    <col min="5644" max="5645" width="10.77734375" style="3041" customWidth="1"/>
    <col min="5646" max="5646" width="10" style="3041" customWidth="1"/>
    <col min="5647" max="5648" width="10.44140625" style="3041" bestFit="1" customWidth="1"/>
    <col min="5649" max="5649" width="10" style="3041" customWidth="1"/>
    <col min="5650" max="5650" width="10.109375" style="3041" customWidth="1"/>
    <col min="5651" max="5651" width="10" style="3041" customWidth="1"/>
    <col min="5652" max="5652" width="26.109375" style="3041" customWidth="1"/>
    <col min="5653" max="5888" width="8.88671875" style="3041"/>
    <col min="5889" max="5889" width="9.44140625" style="3041" customWidth="1"/>
    <col min="5890" max="5890" width="8.88671875" style="3041"/>
    <col min="5891" max="5893" width="12.88671875" style="3041" customWidth="1"/>
    <col min="5894" max="5894" width="47.44140625" style="3041" customWidth="1"/>
    <col min="5895" max="5895" width="13" style="3041" customWidth="1"/>
    <col min="5896" max="5897" width="8.88671875" style="3041"/>
    <col min="5898" max="5898" width="5.77734375" style="3041" customWidth="1"/>
    <col min="5899" max="5899" width="11.77734375" style="3041" customWidth="1"/>
    <col min="5900" max="5901" width="10.77734375" style="3041" customWidth="1"/>
    <col min="5902" max="5902" width="10" style="3041" customWidth="1"/>
    <col min="5903" max="5904" width="10.44140625" style="3041" bestFit="1" customWidth="1"/>
    <col min="5905" max="5905" width="10" style="3041" customWidth="1"/>
    <col min="5906" max="5906" width="10.109375" style="3041" customWidth="1"/>
    <col min="5907" max="5907" width="10" style="3041" customWidth="1"/>
    <col min="5908" max="5908" width="26.109375" style="3041" customWidth="1"/>
    <col min="5909" max="6144" width="8.88671875" style="3041"/>
    <col min="6145" max="6145" width="9.44140625" style="3041" customWidth="1"/>
    <col min="6146" max="6146" width="8.88671875" style="3041"/>
    <col min="6147" max="6149" width="12.88671875" style="3041" customWidth="1"/>
    <col min="6150" max="6150" width="47.44140625" style="3041" customWidth="1"/>
    <col min="6151" max="6151" width="13" style="3041" customWidth="1"/>
    <col min="6152" max="6153" width="8.88671875" style="3041"/>
    <col min="6154" max="6154" width="5.77734375" style="3041" customWidth="1"/>
    <col min="6155" max="6155" width="11.77734375" style="3041" customWidth="1"/>
    <col min="6156" max="6157" width="10.77734375" style="3041" customWidth="1"/>
    <col min="6158" max="6158" width="10" style="3041" customWidth="1"/>
    <col min="6159" max="6160" width="10.44140625" style="3041" bestFit="1" customWidth="1"/>
    <col min="6161" max="6161" width="10" style="3041" customWidth="1"/>
    <col min="6162" max="6162" width="10.109375" style="3041" customWidth="1"/>
    <col min="6163" max="6163" width="10" style="3041" customWidth="1"/>
    <col min="6164" max="6164" width="26.109375" style="3041" customWidth="1"/>
    <col min="6165" max="6400" width="8.88671875" style="3041"/>
    <col min="6401" max="6401" width="9.44140625" style="3041" customWidth="1"/>
    <col min="6402" max="6402" width="8.88671875" style="3041"/>
    <col min="6403" max="6405" width="12.88671875" style="3041" customWidth="1"/>
    <col min="6406" max="6406" width="47.44140625" style="3041" customWidth="1"/>
    <col min="6407" max="6407" width="13" style="3041" customWidth="1"/>
    <col min="6408" max="6409" width="8.88671875" style="3041"/>
    <col min="6410" max="6410" width="5.77734375" style="3041" customWidth="1"/>
    <col min="6411" max="6411" width="11.77734375" style="3041" customWidth="1"/>
    <col min="6412" max="6413" width="10.77734375" style="3041" customWidth="1"/>
    <col min="6414" max="6414" width="10" style="3041" customWidth="1"/>
    <col min="6415" max="6416" width="10.44140625" style="3041" bestFit="1" customWidth="1"/>
    <col min="6417" max="6417" width="10" style="3041" customWidth="1"/>
    <col min="6418" max="6418" width="10.109375" style="3041" customWidth="1"/>
    <col min="6419" max="6419" width="10" style="3041" customWidth="1"/>
    <col min="6420" max="6420" width="26.109375" style="3041" customWidth="1"/>
    <col min="6421" max="6656" width="8.88671875" style="3041"/>
    <col min="6657" max="6657" width="9.44140625" style="3041" customWidth="1"/>
    <col min="6658" max="6658" width="8.88671875" style="3041"/>
    <col min="6659" max="6661" width="12.88671875" style="3041" customWidth="1"/>
    <col min="6662" max="6662" width="47.44140625" style="3041" customWidth="1"/>
    <col min="6663" max="6663" width="13" style="3041" customWidth="1"/>
    <col min="6664" max="6665" width="8.88671875" style="3041"/>
    <col min="6666" max="6666" width="5.77734375" style="3041" customWidth="1"/>
    <col min="6667" max="6667" width="11.77734375" style="3041" customWidth="1"/>
    <col min="6668" max="6669" width="10.77734375" style="3041" customWidth="1"/>
    <col min="6670" max="6670" width="10" style="3041" customWidth="1"/>
    <col min="6671" max="6672" width="10.44140625" style="3041" bestFit="1" customWidth="1"/>
    <col min="6673" max="6673" width="10" style="3041" customWidth="1"/>
    <col min="6674" max="6674" width="10.109375" style="3041" customWidth="1"/>
    <col min="6675" max="6675" width="10" style="3041" customWidth="1"/>
    <col min="6676" max="6676" width="26.109375" style="3041" customWidth="1"/>
    <col min="6677" max="6912" width="8.88671875" style="3041"/>
    <col min="6913" max="6913" width="9.44140625" style="3041" customWidth="1"/>
    <col min="6914" max="6914" width="8.88671875" style="3041"/>
    <col min="6915" max="6917" width="12.88671875" style="3041" customWidth="1"/>
    <col min="6918" max="6918" width="47.44140625" style="3041" customWidth="1"/>
    <col min="6919" max="6919" width="13" style="3041" customWidth="1"/>
    <col min="6920" max="6921" width="8.88671875" style="3041"/>
    <col min="6922" max="6922" width="5.77734375" style="3041" customWidth="1"/>
    <col min="6923" max="6923" width="11.77734375" style="3041" customWidth="1"/>
    <col min="6924" max="6925" width="10.77734375" style="3041" customWidth="1"/>
    <col min="6926" max="6926" width="10" style="3041" customWidth="1"/>
    <col min="6927" max="6928" width="10.44140625" style="3041" bestFit="1" customWidth="1"/>
    <col min="6929" max="6929" width="10" style="3041" customWidth="1"/>
    <col min="6930" max="6930" width="10.109375" style="3041" customWidth="1"/>
    <col min="6931" max="6931" width="10" style="3041" customWidth="1"/>
    <col min="6932" max="6932" width="26.109375" style="3041" customWidth="1"/>
    <col min="6933" max="7168" width="8.88671875" style="3041"/>
    <col min="7169" max="7169" width="9.44140625" style="3041" customWidth="1"/>
    <col min="7170" max="7170" width="8.88671875" style="3041"/>
    <col min="7171" max="7173" width="12.88671875" style="3041" customWidth="1"/>
    <col min="7174" max="7174" width="47.44140625" style="3041" customWidth="1"/>
    <col min="7175" max="7175" width="13" style="3041" customWidth="1"/>
    <col min="7176" max="7177" width="8.88671875" style="3041"/>
    <col min="7178" max="7178" width="5.77734375" style="3041" customWidth="1"/>
    <col min="7179" max="7179" width="11.77734375" style="3041" customWidth="1"/>
    <col min="7180" max="7181" width="10.77734375" style="3041" customWidth="1"/>
    <col min="7182" max="7182" width="10" style="3041" customWidth="1"/>
    <col min="7183" max="7184" width="10.44140625" style="3041" bestFit="1" customWidth="1"/>
    <col min="7185" max="7185" width="10" style="3041" customWidth="1"/>
    <col min="7186" max="7186" width="10.109375" style="3041" customWidth="1"/>
    <col min="7187" max="7187" width="10" style="3041" customWidth="1"/>
    <col min="7188" max="7188" width="26.109375" style="3041" customWidth="1"/>
    <col min="7189" max="7424" width="8.88671875" style="3041"/>
    <col min="7425" max="7425" width="9.44140625" style="3041" customWidth="1"/>
    <col min="7426" max="7426" width="8.88671875" style="3041"/>
    <col min="7427" max="7429" width="12.88671875" style="3041" customWidth="1"/>
    <col min="7430" max="7430" width="47.44140625" style="3041" customWidth="1"/>
    <col min="7431" max="7431" width="13" style="3041" customWidth="1"/>
    <col min="7432" max="7433" width="8.88671875" style="3041"/>
    <col min="7434" max="7434" width="5.77734375" style="3041" customWidth="1"/>
    <col min="7435" max="7435" width="11.77734375" style="3041" customWidth="1"/>
    <col min="7436" max="7437" width="10.77734375" style="3041" customWidth="1"/>
    <col min="7438" max="7438" width="10" style="3041" customWidth="1"/>
    <col min="7439" max="7440" width="10.44140625" style="3041" bestFit="1" customWidth="1"/>
    <col min="7441" max="7441" width="10" style="3041" customWidth="1"/>
    <col min="7442" max="7442" width="10.109375" style="3041" customWidth="1"/>
    <col min="7443" max="7443" width="10" style="3041" customWidth="1"/>
    <col min="7444" max="7444" width="26.109375" style="3041" customWidth="1"/>
    <col min="7445" max="7680" width="8.88671875" style="3041"/>
    <col min="7681" max="7681" width="9.44140625" style="3041" customWidth="1"/>
    <col min="7682" max="7682" width="8.88671875" style="3041"/>
    <col min="7683" max="7685" width="12.88671875" style="3041" customWidth="1"/>
    <col min="7686" max="7686" width="47.44140625" style="3041" customWidth="1"/>
    <col min="7687" max="7687" width="13" style="3041" customWidth="1"/>
    <col min="7688" max="7689" width="8.88671875" style="3041"/>
    <col min="7690" max="7690" width="5.77734375" style="3041" customWidth="1"/>
    <col min="7691" max="7691" width="11.77734375" style="3041" customWidth="1"/>
    <col min="7692" max="7693" width="10.77734375" style="3041" customWidth="1"/>
    <col min="7694" max="7694" width="10" style="3041" customWidth="1"/>
    <col min="7695" max="7696" width="10.44140625" style="3041" bestFit="1" customWidth="1"/>
    <col min="7697" max="7697" width="10" style="3041" customWidth="1"/>
    <col min="7698" max="7698" width="10.109375" style="3041" customWidth="1"/>
    <col min="7699" max="7699" width="10" style="3041" customWidth="1"/>
    <col min="7700" max="7700" width="26.109375" style="3041" customWidth="1"/>
    <col min="7701" max="7936" width="8.88671875" style="3041"/>
    <col min="7937" max="7937" width="9.44140625" style="3041" customWidth="1"/>
    <col min="7938" max="7938" width="8.88671875" style="3041"/>
    <col min="7939" max="7941" width="12.88671875" style="3041" customWidth="1"/>
    <col min="7942" max="7942" width="47.44140625" style="3041" customWidth="1"/>
    <col min="7943" max="7943" width="13" style="3041" customWidth="1"/>
    <col min="7944" max="7945" width="8.88671875" style="3041"/>
    <col min="7946" max="7946" width="5.77734375" style="3041" customWidth="1"/>
    <col min="7947" max="7947" width="11.77734375" style="3041" customWidth="1"/>
    <col min="7948" max="7949" width="10.77734375" style="3041" customWidth="1"/>
    <col min="7950" max="7950" width="10" style="3041" customWidth="1"/>
    <col min="7951" max="7952" width="10.44140625" style="3041" bestFit="1" customWidth="1"/>
    <col min="7953" max="7953" width="10" style="3041" customWidth="1"/>
    <col min="7954" max="7954" width="10.109375" style="3041" customWidth="1"/>
    <col min="7955" max="7955" width="10" style="3041" customWidth="1"/>
    <col min="7956" max="7956" width="26.109375" style="3041" customWidth="1"/>
    <col min="7957" max="8192" width="8.88671875" style="3041"/>
    <col min="8193" max="8193" width="9.44140625" style="3041" customWidth="1"/>
    <col min="8194" max="8194" width="8.88671875" style="3041"/>
    <col min="8195" max="8197" width="12.88671875" style="3041" customWidth="1"/>
    <col min="8198" max="8198" width="47.44140625" style="3041" customWidth="1"/>
    <col min="8199" max="8199" width="13" style="3041" customWidth="1"/>
    <col min="8200" max="8201" width="8.88671875" style="3041"/>
    <col min="8202" max="8202" width="5.77734375" style="3041" customWidth="1"/>
    <col min="8203" max="8203" width="11.77734375" style="3041" customWidth="1"/>
    <col min="8204" max="8205" width="10.77734375" style="3041" customWidth="1"/>
    <col min="8206" max="8206" width="10" style="3041" customWidth="1"/>
    <col min="8207" max="8208" width="10.44140625" style="3041" bestFit="1" customWidth="1"/>
    <col min="8209" max="8209" width="10" style="3041" customWidth="1"/>
    <col min="8210" max="8210" width="10.109375" style="3041" customWidth="1"/>
    <col min="8211" max="8211" width="10" style="3041" customWidth="1"/>
    <col min="8212" max="8212" width="26.109375" style="3041" customWidth="1"/>
    <col min="8213" max="8448" width="8.88671875" style="3041"/>
    <col min="8449" max="8449" width="9.44140625" style="3041" customWidth="1"/>
    <col min="8450" max="8450" width="8.88671875" style="3041"/>
    <col min="8451" max="8453" width="12.88671875" style="3041" customWidth="1"/>
    <col min="8454" max="8454" width="47.44140625" style="3041" customWidth="1"/>
    <col min="8455" max="8455" width="13" style="3041" customWidth="1"/>
    <col min="8456" max="8457" width="8.88671875" style="3041"/>
    <col min="8458" max="8458" width="5.77734375" style="3041" customWidth="1"/>
    <col min="8459" max="8459" width="11.77734375" style="3041" customWidth="1"/>
    <col min="8460" max="8461" width="10.77734375" style="3041" customWidth="1"/>
    <col min="8462" max="8462" width="10" style="3041" customWidth="1"/>
    <col min="8463" max="8464" width="10.44140625" style="3041" bestFit="1" customWidth="1"/>
    <col min="8465" max="8465" width="10" style="3041" customWidth="1"/>
    <col min="8466" max="8466" width="10.109375" style="3041" customWidth="1"/>
    <col min="8467" max="8467" width="10" style="3041" customWidth="1"/>
    <col min="8468" max="8468" width="26.109375" style="3041" customWidth="1"/>
    <col min="8469" max="8704" width="8.88671875" style="3041"/>
    <col min="8705" max="8705" width="9.44140625" style="3041" customWidth="1"/>
    <col min="8706" max="8706" width="8.88671875" style="3041"/>
    <col min="8707" max="8709" width="12.88671875" style="3041" customWidth="1"/>
    <col min="8710" max="8710" width="47.44140625" style="3041" customWidth="1"/>
    <col min="8711" max="8711" width="13" style="3041" customWidth="1"/>
    <col min="8712" max="8713" width="8.88671875" style="3041"/>
    <col min="8714" max="8714" width="5.77734375" style="3041" customWidth="1"/>
    <col min="8715" max="8715" width="11.77734375" style="3041" customWidth="1"/>
    <col min="8716" max="8717" width="10.77734375" style="3041" customWidth="1"/>
    <col min="8718" max="8718" width="10" style="3041" customWidth="1"/>
    <col min="8719" max="8720" width="10.44140625" style="3041" bestFit="1" customWidth="1"/>
    <col min="8721" max="8721" width="10" style="3041" customWidth="1"/>
    <col min="8722" max="8722" width="10.109375" style="3041" customWidth="1"/>
    <col min="8723" max="8723" width="10" style="3041" customWidth="1"/>
    <col min="8724" max="8724" width="26.109375" style="3041" customWidth="1"/>
    <col min="8725" max="8960" width="8.88671875" style="3041"/>
    <col min="8961" max="8961" width="9.44140625" style="3041" customWidth="1"/>
    <col min="8962" max="8962" width="8.88671875" style="3041"/>
    <col min="8963" max="8965" width="12.88671875" style="3041" customWidth="1"/>
    <col min="8966" max="8966" width="47.44140625" style="3041" customWidth="1"/>
    <col min="8967" max="8967" width="13" style="3041" customWidth="1"/>
    <col min="8968" max="8969" width="8.88671875" style="3041"/>
    <col min="8970" max="8970" width="5.77734375" style="3041" customWidth="1"/>
    <col min="8971" max="8971" width="11.77734375" style="3041" customWidth="1"/>
    <col min="8972" max="8973" width="10.77734375" style="3041" customWidth="1"/>
    <col min="8974" max="8974" width="10" style="3041" customWidth="1"/>
    <col min="8975" max="8976" width="10.44140625" style="3041" bestFit="1" customWidth="1"/>
    <col min="8977" max="8977" width="10" style="3041" customWidth="1"/>
    <col min="8978" max="8978" width="10.109375" style="3041" customWidth="1"/>
    <col min="8979" max="8979" width="10" style="3041" customWidth="1"/>
    <col min="8980" max="8980" width="26.109375" style="3041" customWidth="1"/>
    <col min="8981" max="9216" width="8.88671875" style="3041"/>
    <col min="9217" max="9217" width="9.44140625" style="3041" customWidth="1"/>
    <col min="9218" max="9218" width="8.88671875" style="3041"/>
    <col min="9219" max="9221" width="12.88671875" style="3041" customWidth="1"/>
    <col min="9222" max="9222" width="47.44140625" style="3041" customWidth="1"/>
    <col min="9223" max="9223" width="13" style="3041" customWidth="1"/>
    <col min="9224" max="9225" width="8.88671875" style="3041"/>
    <col min="9226" max="9226" width="5.77734375" style="3041" customWidth="1"/>
    <col min="9227" max="9227" width="11.77734375" style="3041" customWidth="1"/>
    <col min="9228" max="9229" width="10.77734375" style="3041" customWidth="1"/>
    <col min="9230" max="9230" width="10" style="3041" customWidth="1"/>
    <col min="9231" max="9232" width="10.44140625" style="3041" bestFit="1" customWidth="1"/>
    <col min="9233" max="9233" width="10" style="3041" customWidth="1"/>
    <col min="9234" max="9234" width="10.109375" style="3041" customWidth="1"/>
    <col min="9235" max="9235" width="10" style="3041" customWidth="1"/>
    <col min="9236" max="9236" width="26.109375" style="3041" customWidth="1"/>
    <col min="9237" max="9472" width="8.88671875" style="3041"/>
    <col min="9473" max="9473" width="9.44140625" style="3041" customWidth="1"/>
    <col min="9474" max="9474" width="8.88671875" style="3041"/>
    <col min="9475" max="9477" width="12.88671875" style="3041" customWidth="1"/>
    <col min="9478" max="9478" width="47.44140625" style="3041" customWidth="1"/>
    <col min="9479" max="9479" width="13" style="3041" customWidth="1"/>
    <col min="9480" max="9481" width="8.88671875" style="3041"/>
    <col min="9482" max="9482" width="5.77734375" style="3041" customWidth="1"/>
    <col min="9483" max="9483" width="11.77734375" style="3041" customWidth="1"/>
    <col min="9484" max="9485" width="10.77734375" style="3041" customWidth="1"/>
    <col min="9486" max="9486" width="10" style="3041" customWidth="1"/>
    <col min="9487" max="9488" width="10.44140625" style="3041" bestFit="1" customWidth="1"/>
    <col min="9489" max="9489" width="10" style="3041" customWidth="1"/>
    <col min="9490" max="9490" width="10.109375" style="3041" customWidth="1"/>
    <col min="9491" max="9491" width="10" style="3041" customWidth="1"/>
    <col min="9492" max="9492" width="26.109375" style="3041" customWidth="1"/>
    <col min="9493" max="9728" width="8.88671875" style="3041"/>
    <col min="9729" max="9729" width="9.44140625" style="3041" customWidth="1"/>
    <col min="9730" max="9730" width="8.88671875" style="3041"/>
    <col min="9731" max="9733" width="12.88671875" style="3041" customWidth="1"/>
    <col min="9734" max="9734" width="47.44140625" style="3041" customWidth="1"/>
    <col min="9735" max="9735" width="13" style="3041" customWidth="1"/>
    <col min="9736" max="9737" width="8.88671875" style="3041"/>
    <col min="9738" max="9738" width="5.77734375" style="3041" customWidth="1"/>
    <col min="9739" max="9739" width="11.77734375" style="3041" customWidth="1"/>
    <col min="9740" max="9741" width="10.77734375" style="3041" customWidth="1"/>
    <col min="9742" max="9742" width="10" style="3041" customWidth="1"/>
    <col min="9743" max="9744" width="10.44140625" style="3041" bestFit="1" customWidth="1"/>
    <col min="9745" max="9745" width="10" style="3041" customWidth="1"/>
    <col min="9746" max="9746" width="10.109375" style="3041" customWidth="1"/>
    <col min="9747" max="9747" width="10" style="3041" customWidth="1"/>
    <col min="9748" max="9748" width="26.109375" style="3041" customWidth="1"/>
    <col min="9749" max="9984" width="8.88671875" style="3041"/>
    <col min="9985" max="9985" width="9.44140625" style="3041" customWidth="1"/>
    <col min="9986" max="9986" width="8.88671875" style="3041"/>
    <col min="9987" max="9989" width="12.88671875" style="3041" customWidth="1"/>
    <col min="9990" max="9990" width="47.44140625" style="3041" customWidth="1"/>
    <col min="9991" max="9991" width="13" style="3041" customWidth="1"/>
    <col min="9992" max="9993" width="8.88671875" style="3041"/>
    <col min="9994" max="9994" width="5.77734375" style="3041" customWidth="1"/>
    <col min="9995" max="9995" width="11.77734375" style="3041" customWidth="1"/>
    <col min="9996" max="9997" width="10.77734375" style="3041" customWidth="1"/>
    <col min="9998" max="9998" width="10" style="3041" customWidth="1"/>
    <col min="9999" max="10000" width="10.44140625" style="3041" bestFit="1" customWidth="1"/>
    <col min="10001" max="10001" width="10" style="3041" customWidth="1"/>
    <col min="10002" max="10002" width="10.109375" style="3041" customWidth="1"/>
    <col min="10003" max="10003" width="10" style="3041" customWidth="1"/>
    <col min="10004" max="10004" width="26.109375" style="3041" customWidth="1"/>
    <col min="10005" max="10240" width="8.88671875" style="3041"/>
    <col min="10241" max="10241" width="9.44140625" style="3041" customWidth="1"/>
    <col min="10242" max="10242" width="8.88671875" style="3041"/>
    <col min="10243" max="10245" width="12.88671875" style="3041" customWidth="1"/>
    <col min="10246" max="10246" width="47.44140625" style="3041" customWidth="1"/>
    <col min="10247" max="10247" width="13" style="3041" customWidth="1"/>
    <col min="10248" max="10249" width="8.88671875" style="3041"/>
    <col min="10250" max="10250" width="5.77734375" style="3041" customWidth="1"/>
    <col min="10251" max="10251" width="11.77734375" style="3041" customWidth="1"/>
    <col min="10252" max="10253" width="10.77734375" style="3041" customWidth="1"/>
    <col min="10254" max="10254" width="10" style="3041" customWidth="1"/>
    <col min="10255" max="10256" width="10.44140625" style="3041" bestFit="1" customWidth="1"/>
    <col min="10257" max="10257" width="10" style="3041" customWidth="1"/>
    <col min="10258" max="10258" width="10.109375" style="3041" customWidth="1"/>
    <col min="10259" max="10259" width="10" style="3041" customWidth="1"/>
    <col min="10260" max="10260" width="26.109375" style="3041" customWidth="1"/>
    <col min="10261" max="10496" width="8.88671875" style="3041"/>
    <col min="10497" max="10497" width="9.44140625" style="3041" customWidth="1"/>
    <col min="10498" max="10498" width="8.88671875" style="3041"/>
    <col min="10499" max="10501" width="12.88671875" style="3041" customWidth="1"/>
    <col min="10502" max="10502" width="47.44140625" style="3041" customWidth="1"/>
    <col min="10503" max="10503" width="13" style="3041" customWidth="1"/>
    <col min="10504" max="10505" width="8.88671875" style="3041"/>
    <col min="10506" max="10506" width="5.77734375" style="3041" customWidth="1"/>
    <col min="10507" max="10507" width="11.77734375" style="3041" customWidth="1"/>
    <col min="10508" max="10509" width="10.77734375" style="3041" customWidth="1"/>
    <col min="10510" max="10510" width="10" style="3041" customWidth="1"/>
    <col min="10511" max="10512" width="10.44140625" style="3041" bestFit="1" customWidth="1"/>
    <col min="10513" max="10513" width="10" style="3041" customWidth="1"/>
    <col min="10514" max="10514" width="10.109375" style="3041" customWidth="1"/>
    <col min="10515" max="10515" width="10" style="3041" customWidth="1"/>
    <col min="10516" max="10516" width="26.109375" style="3041" customWidth="1"/>
    <col min="10517" max="10752" width="8.88671875" style="3041"/>
    <col min="10753" max="10753" width="9.44140625" style="3041" customWidth="1"/>
    <col min="10754" max="10754" width="8.88671875" style="3041"/>
    <col min="10755" max="10757" width="12.88671875" style="3041" customWidth="1"/>
    <col min="10758" max="10758" width="47.44140625" style="3041" customWidth="1"/>
    <col min="10759" max="10759" width="13" style="3041" customWidth="1"/>
    <col min="10760" max="10761" width="8.88671875" style="3041"/>
    <col min="10762" max="10762" width="5.77734375" style="3041" customWidth="1"/>
    <col min="10763" max="10763" width="11.77734375" style="3041" customWidth="1"/>
    <col min="10764" max="10765" width="10.77734375" style="3041" customWidth="1"/>
    <col min="10766" max="10766" width="10" style="3041" customWidth="1"/>
    <col min="10767" max="10768" width="10.44140625" style="3041" bestFit="1" customWidth="1"/>
    <col min="10769" max="10769" width="10" style="3041" customWidth="1"/>
    <col min="10770" max="10770" width="10.109375" style="3041" customWidth="1"/>
    <col min="10771" max="10771" width="10" style="3041" customWidth="1"/>
    <col min="10772" max="10772" width="26.109375" style="3041" customWidth="1"/>
    <col min="10773" max="11008" width="8.88671875" style="3041"/>
    <col min="11009" max="11009" width="9.44140625" style="3041" customWidth="1"/>
    <col min="11010" max="11010" width="8.88671875" style="3041"/>
    <col min="11011" max="11013" width="12.88671875" style="3041" customWidth="1"/>
    <col min="11014" max="11014" width="47.44140625" style="3041" customWidth="1"/>
    <col min="11015" max="11015" width="13" style="3041" customWidth="1"/>
    <col min="11016" max="11017" width="8.88671875" style="3041"/>
    <col min="11018" max="11018" width="5.77734375" style="3041" customWidth="1"/>
    <col min="11019" max="11019" width="11.77734375" style="3041" customWidth="1"/>
    <col min="11020" max="11021" width="10.77734375" style="3041" customWidth="1"/>
    <col min="11022" max="11022" width="10" style="3041" customWidth="1"/>
    <col min="11023" max="11024" width="10.44140625" style="3041" bestFit="1" customWidth="1"/>
    <col min="11025" max="11025" width="10" style="3041" customWidth="1"/>
    <col min="11026" max="11026" width="10.109375" style="3041" customWidth="1"/>
    <col min="11027" max="11027" width="10" style="3041" customWidth="1"/>
    <col min="11028" max="11028" width="26.109375" style="3041" customWidth="1"/>
    <col min="11029" max="11264" width="8.88671875" style="3041"/>
    <col min="11265" max="11265" width="9.44140625" style="3041" customWidth="1"/>
    <col min="11266" max="11266" width="8.88671875" style="3041"/>
    <col min="11267" max="11269" width="12.88671875" style="3041" customWidth="1"/>
    <col min="11270" max="11270" width="47.44140625" style="3041" customWidth="1"/>
    <col min="11271" max="11271" width="13" style="3041" customWidth="1"/>
    <col min="11272" max="11273" width="8.88671875" style="3041"/>
    <col min="11274" max="11274" width="5.77734375" style="3041" customWidth="1"/>
    <col min="11275" max="11275" width="11.77734375" style="3041" customWidth="1"/>
    <col min="11276" max="11277" width="10.77734375" style="3041" customWidth="1"/>
    <col min="11278" max="11278" width="10" style="3041" customWidth="1"/>
    <col min="11279" max="11280" width="10.44140625" style="3041" bestFit="1" customWidth="1"/>
    <col min="11281" max="11281" width="10" style="3041" customWidth="1"/>
    <col min="11282" max="11282" width="10.109375" style="3041" customWidth="1"/>
    <col min="11283" max="11283" width="10" style="3041" customWidth="1"/>
    <col min="11284" max="11284" width="26.109375" style="3041" customWidth="1"/>
    <col min="11285" max="11520" width="8.88671875" style="3041"/>
    <col min="11521" max="11521" width="9.44140625" style="3041" customWidth="1"/>
    <col min="11522" max="11522" width="8.88671875" style="3041"/>
    <col min="11523" max="11525" width="12.88671875" style="3041" customWidth="1"/>
    <col min="11526" max="11526" width="47.44140625" style="3041" customWidth="1"/>
    <col min="11527" max="11527" width="13" style="3041" customWidth="1"/>
    <col min="11528" max="11529" width="8.88671875" style="3041"/>
    <col min="11530" max="11530" width="5.77734375" style="3041" customWidth="1"/>
    <col min="11531" max="11531" width="11.77734375" style="3041" customWidth="1"/>
    <col min="11532" max="11533" width="10.77734375" style="3041" customWidth="1"/>
    <col min="11534" max="11534" width="10" style="3041" customWidth="1"/>
    <col min="11535" max="11536" width="10.44140625" style="3041" bestFit="1" customWidth="1"/>
    <col min="11537" max="11537" width="10" style="3041" customWidth="1"/>
    <col min="11538" max="11538" width="10.109375" style="3041" customWidth="1"/>
    <col min="11539" max="11539" width="10" style="3041" customWidth="1"/>
    <col min="11540" max="11540" width="26.109375" style="3041" customWidth="1"/>
    <col min="11541" max="11776" width="8.88671875" style="3041"/>
    <col min="11777" max="11777" width="9.44140625" style="3041" customWidth="1"/>
    <col min="11778" max="11778" width="8.88671875" style="3041"/>
    <col min="11779" max="11781" width="12.88671875" style="3041" customWidth="1"/>
    <col min="11782" max="11782" width="47.44140625" style="3041" customWidth="1"/>
    <col min="11783" max="11783" width="13" style="3041" customWidth="1"/>
    <col min="11784" max="11785" width="8.88671875" style="3041"/>
    <col min="11786" max="11786" width="5.77734375" style="3041" customWidth="1"/>
    <col min="11787" max="11787" width="11.77734375" style="3041" customWidth="1"/>
    <col min="11788" max="11789" width="10.77734375" style="3041" customWidth="1"/>
    <col min="11790" max="11790" width="10" style="3041" customWidth="1"/>
    <col min="11791" max="11792" width="10.44140625" style="3041" bestFit="1" customWidth="1"/>
    <col min="11793" max="11793" width="10" style="3041" customWidth="1"/>
    <col min="11794" max="11794" width="10.109375" style="3041" customWidth="1"/>
    <col min="11795" max="11795" width="10" style="3041" customWidth="1"/>
    <col min="11796" max="11796" width="26.109375" style="3041" customWidth="1"/>
    <col min="11797" max="12032" width="8.88671875" style="3041"/>
    <col min="12033" max="12033" width="9.44140625" style="3041" customWidth="1"/>
    <col min="12034" max="12034" width="8.88671875" style="3041"/>
    <col min="12035" max="12037" width="12.88671875" style="3041" customWidth="1"/>
    <col min="12038" max="12038" width="47.44140625" style="3041" customWidth="1"/>
    <col min="12039" max="12039" width="13" style="3041" customWidth="1"/>
    <col min="12040" max="12041" width="8.88671875" style="3041"/>
    <col min="12042" max="12042" width="5.77734375" style="3041" customWidth="1"/>
    <col min="12043" max="12043" width="11.77734375" style="3041" customWidth="1"/>
    <col min="12044" max="12045" width="10.77734375" style="3041" customWidth="1"/>
    <col min="12046" max="12046" width="10" style="3041" customWidth="1"/>
    <col min="12047" max="12048" width="10.44140625" style="3041" bestFit="1" customWidth="1"/>
    <col min="12049" max="12049" width="10" style="3041" customWidth="1"/>
    <col min="12050" max="12050" width="10.109375" style="3041" customWidth="1"/>
    <col min="12051" max="12051" width="10" style="3041" customWidth="1"/>
    <col min="12052" max="12052" width="26.109375" style="3041" customWidth="1"/>
    <col min="12053" max="12288" width="8.88671875" style="3041"/>
    <col min="12289" max="12289" width="9.44140625" style="3041" customWidth="1"/>
    <col min="12290" max="12290" width="8.88671875" style="3041"/>
    <col min="12291" max="12293" width="12.88671875" style="3041" customWidth="1"/>
    <col min="12294" max="12294" width="47.44140625" style="3041" customWidth="1"/>
    <col min="12295" max="12295" width="13" style="3041" customWidth="1"/>
    <col min="12296" max="12297" width="8.88671875" style="3041"/>
    <col min="12298" max="12298" width="5.77734375" style="3041" customWidth="1"/>
    <col min="12299" max="12299" width="11.77734375" style="3041" customWidth="1"/>
    <col min="12300" max="12301" width="10.77734375" style="3041" customWidth="1"/>
    <col min="12302" max="12302" width="10" style="3041" customWidth="1"/>
    <col min="12303" max="12304" width="10.44140625" style="3041" bestFit="1" customWidth="1"/>
    <col min="12305" max="12305" width="10" style="3041" customWidth="1"/>
    <col min="12306" max="12306" width="10.109375" style="3041" customWidth="1"/>
    <col min="12307" max="12307" width="10" style="3041" customWidth="1"/>
    <col min="12308" max="12308" width="26.109375" style="3041" customWidth="1"/>
    <col min="12309" max="12544" width="8.88671875" style="3041"/>
    <col min="12545" max="12545" width="9.44140625" style="3041" customWidth="1"/>
    <col min="12546" max="12546" width="8.88671875" style="3041"/>
    <col min="12547" max="12549" width="12.88671875" style="3041" customWidth="1"/>
    <col min="12550" max="12550" width="47.44140625" style="3041" customWidth="1"/>
    <col min="12551" max="12551" width="13" style="3041" customWidth="1"/>
    <col min="12552" max="12553" width="8.88671875" style="3041"/>
    <col min="12554" max="12554" width="5.77734375" style="3041" customWidth="1"/>
    <col min="12555" max="12555" width="11.77734375" style="3041" customWidth="1"/>
    <col min="12556" max="12557" width="10.77734375" style="3041" customWidth="1"/>
    <col min="12558" max="12558" width="10" style="3041" customWidth="1"/>
    <col min="12559" max="12560" width="10.44140625" style="3041" bestFit="1" customWidth="1"/>
    <col min="12561" max="12561" width="10" style="3041" customWidth="1"/>
    <col min="12562" max="12562" width="10.109375" style="3041" customWidth="1"/>
    <col min="12563" max="12563" width="10" style="3041" customWidth="1"/>
    <col min="12564" max="12564" width="26.109375" style="3041" customWidth="1"/>
    <col min="12565" max="12800" width="8.88671875" style="3041"/>
    <col min="12801" max="12801" width="9.44140625" style="3041" customWidth="1"/>
    <col min="12802" max="12802" width="8.88671875" style="3041"/>
    <col min="12803" max="12805" width="12.88671875" style="3041" customWidth="1"/>
    <col min="12806" max="12806" width="47.44140625" style="3041" customWidth="1"/>
    <col min="12807" max="12807" width="13" style="3041" customWidth="1"/>
    <col min="12808" max="12809" width="8.88671875" style="3041"/>
    <col min="12810" max="12810" width="5.77734375" style="3041" customWidth="1"/>
    <col min="12811" max="12811" width="11.77734375" style="3041" customWidth="1"/>
    <col min="12812" max="12813" width="10.77734375" style="3041" customWidth="1"/>
    <col min="12814" max="12814" width="10" style="3041" customWidth="1"/>
    <col min="12815" max="12816" width="10.44140625" style="3041" bestFit="1" customWidth="1"/>
    <col min="12817" max="12817" width="10" style="3041" customWidth="1"/>
    <col min="12818" max="12818" width="10.109375" style="3041" customWidth="1"/>
    <col min="12819" max="12819" width="10" style="3041" customWidth="1"/>
    <col min="12820" max="12820" width="26.109375" style="3041" customWidth="1"/>
    <col min="12821" max="13056" width="8.88671875" style="3041"/>
    <col min="13057" max="13057" width="9.44140625" style="3041" customWidth="1"/>
    <col min="13058" max="13058" width="8.88671875" style="3041"/>
    <col min="13059" max="13061" width="12.88671875" style="3041" customWidth="1"/>
    <col min="13062" max="13062" width="47.44140625" style="3041" customWidth="1"/>
    <col min="13063" max="13063" width="13" style="3041" customWidth="1"/>
    <col min="13064" max="13065" width="8.88671875" style="3041"/>
    <col min="13066" max="13066" width="5.77734375" style="3041" customWidth="1"/>
    <col min="13067" max="13067" width="11.77734375" style="3041" customWidth="1"/>
    <col min="13068" max="13069" width="10.77734375" style="3041" customWidth="1"/>
    <col min="13070" max="13070" width="10" style="3041" customWidth="1"/>
    <col min="13071" max="13072" width="10.44140625" style="3041" bestFit="1" customWidth="1"/>
    <col min="13073" max="13073" width="10" style="3041" customWidth="1"/>
    <col min="13074" max="13074" width="10.109375" style="3041" customWidth="1"/>
    <col min="13075" max="13075" width="10" style="3041" customWidth="1"/>
    <col min="13076" max="13076" width="26.109375" style="3041" customWidth="1"/>
    <col min="13077" max="13312" width="8.88671875" style="3041"/>
    <col min="13313" max="13313" width="9.44140625" style="3041" customWidth="1"/>
    <col min="13314" max="13314" width="8.88671875" style="3041"/>
    <col min="13315" max="13317" width="12.88671875" style="3041" customWidth="1"/>
    <col min="13318" max="13318" width="47.44140625" style="3041" customWidth="1"/>
    <col min="13319" max="13319" width="13" style="3041" customWidth="1"/>
    <col min="13320" max="13321" width="8.88671875" style="3041"/>
    <col min="13322" max="13322" width="5.77734375" style="3041" customWidth="1"/>
    <col min="13323" max="13323" width="11.77734375" style="3041" customWidth="1"/>
    <col min="13324" max="13325" width="10.77734375" style="3041" customWidth="1"/>
    <col min="13326" max="13326" width="10" style="3041" customWidth="1"/>
    <col min="13327" max="13328" width="10.44140625" style="3041" bestFit="1" customWidth="1"/>
    <col min="13329" max="13329" width="10" style="3041" customWidth="1"/>
    <col min="13330" max="13330" width="10.109375" style="3041" customWidth="1"/>
    <col min="13331" max="13331" width="10" style="3041" customWidth="1"/>
    <col min="13332" max="13332" width="26.109375" style="3041" customWidth="1"/>
    <col min="13333" max="13568" width="8.88671875" style="3041"/>
    <col min="13569" max="13569" width="9.44140625" style="3041" customWidth="1"/>
    <col min="13570" max="13570" width="8.88671875" style="3041"/>
    <col min="13571" max="13573" width="12.88671875" style="3041" customWidth="1"/>
    <col min="13574" max="13574" width="47.44140625" style="3041" customWidth="1"/>
    <col min="13575" max="13575" width="13" style="3041" customWidth="1"/>
    <col min="13576" max="13577" width="8.88671875" style="3041"/>
    <col min="13578" max="13578" width="5.77734375" style="3041" customWidth="1"/>
    <col min="13579" max="13579" width="11.77734375" style="3041" customWidth="1"/>
    <col min="13580" max="13581" width="10.77734375" style="3041" customWidth="1"/>
    <col min="13582" max="13582" width="10" style="3041" customWidth="1"/>
    <col min="13583" max="13584" width="10.44140625" style="3041" bestFit="1" customWidth="1"/>
    <col min="13585" max="13585" width="10" style="3041" customWidth="1"/>
    <col min="13586" max="13586" width="10.109375" style="3041" customWidth="1"/>
    <col min="13587" max="13587" width="10" style="3041" customWidth="1"/>
    <col min="13588" max="13588" width="26.109375" style="3041" customWidth="1"/>
    <col min="13589" max="13824" width="8.88671875" style="3041"/>
    <col min="13825" max="13825" width="9.44140625" style="3041" customWidth="1"/>
    <col min="13826" max="13826" width="8.88671875" style="3041"/>
    <col min="13827" max="13829" width="12.88671875" style="3041" customWidth="1"/>
    <col min="13830" max="13830" width="47.44140625" style="3041" customWidth="1"/>
    <col min="13831" max="13831" width="13" style="3041" customWidth="1"/>
    <col min="13832" max="13833" width="8.88671875" style="3041"/>
    <col min="13834" max="13834" width="5.77734375" style="3041" customWidth="1"/>
    <col min="13835" max="13835" width="11.77734375" style="3041" customWidth="1"/>
    <col min="13836" max="13837" width="10.77734375" style="3041" customWidth="1"/>
    <col min="13838" max="13838" width="10" style="3041" customWidth="1"/>
    <col min="13839" max="13840" width="10.44140625" style="3041" bestFit="1" customWidth="1"/>
    <col min="13841" max="13841" width="10" style="3041" customWidth="1"/>
    <col min="13842" max="13842" width="10.109375" style="3041" customWidth="1"/>
    <col min="13843" max="13843" width="10" style="3041" customWidth="1"/>
    <col min="13844" max="13844" width="26.109375" style="3041" customWidth="1"/>
    <col min="13845" max="14080" width="8.88671875" style="3041"/>
    <col min="14081" max="14081" width="9.44140625" style="3041" customWidth="1"/>
    <col min="14082" max="14082" width="8.88671875" style="3041"/>
    <col min="14083" max="14085" width="12.88671875" style="3041" customWidth="1"/>
    <col min="14086" max="14086" width="47.44140625" style="3041" customWidth="1"/>
    <col min="14087" max="14087" width="13" style="3041" customWidth="1"/>
    <col min="14088" max="14089" width="8.88671875" style="3041"/>
    <col min="14090" max="14090" width="5.77734375" style="3041" customWidth="1"/>
    <col min="14091" max="14091" width="11.77734375" style="3041" customWidth="1"/>
    <col min="14092" max="14093" width="10.77734375" style="3041" customWidth="1"/>
    <col min="14094" max="14094" width="10" style="3041" customWidth="1"/>
    <col min="14095" max="14096" width="10.44140625" style="3041" bestFit="1" customWidth="1"/>
    <col min="14097" max="14097" width="10" style="3041" customWidth="1"/>
    <col min="14098" max="14098" width="10.109375" style="3041" customWidth="1"/>
    <col min="14099" max="14099" width="10" style="3041" customWidth="1"/>
    <col min="14100" max="14100" width="26.109375" style="3041" customWidth="1"/>
    <col min="14101" max="14336" width="8.88671875" style="3041"/>
    <col min="14337" max="14337" width="9.44140625" style="3041" customWidth="1"/>
    <col min="14338" max="14338" width="8.88671875" style="3041"/>
    <col min="14339" max="14341" width="12.88671875" style="3041" customWidth="1"/>
    <col min="14342" max="14342" width="47.44140625" style="3041" customWidth="1"/>
    <col min="14343" max="14343" width="13" style="3041" customWidth="1"/>
    <col min="14344" max="14345" width="8.88671875" style="3041"/>
    <col min="14346" max="14346" width="5.77734375" style="3041" customWidth="1"/>
    <col min="14347" max="14347" width="11.77734375" style="3041" customWidth="1"/>
    <col min="14348" max="14349" width="10.77734375" style="3041" customWidth="1"/>
    <col min="14350" max="14350" width="10" style="3041" customWidth="1"/>
    <col min="14351" max="14352" width="10.44140625" style="3041" bestFit="1" customWidth="1"/>
    <col min="14353" max="14353" width="10" style="3041" customWidth="1"/>
    <col min="14354" max="14354" width="10.109375" style="3041" customWidth="1"/>
    <col min="14355" max="14355" width="10" style="3041" customWidth="1"/>
    <col min="14356" max="14356" width="26.109375" style="3041" customWidth="1"/>
    <col min="14357" max="14592" width="8.88671875" style="3041"/>
    <col min="14593" max="14593" width="9.44140625" style="3041" customWidth="1"/>
    <col min="14594" max="14594" width="8.88671875" style="3041"/>
    <col min="14595" max="14597" width="12.88671875" style="3041" customWidth="1"/>
    <col min="14598" max="14598" width="47.44140625" style="3041" customWidth="1"/>
    <col min="14599" max="14599" width="13" style="3041" customWidth="1"/>
    <col min="14600" max="14601" width="8.88671875" style="3041"/>
    <col min="14602" max="14602" width="5.77734375" style="3041" customWidth="1"/>
    <col min="14603" max="14603" width="11.77734375" style="3041" customWidth="1"/>
    <col min="14604" max="14605" width="10.77734375" style="3041" customWidth="1"/>
    <col min="14606" max="14606" width="10" style="3041" customWidth="1"/>
    <col min="14607" max="14608" width="10.44140625" style="3041" bestFit="1" customWidth="1"/>
    <col min="14609" max="14609" width="10" style="3041" customWidth="1"/>
    <col min="14610" max="14610" width="10.109375" style="3041" customWidth="1"/>
    <col min="14611" max="14611" width="10" style="3041" customWidth="1"/>
    <col min="14612" max="14612" width="26.109375" style="3041" customWidth="1"/>
    <col min="14613" max="14848" width="8.88671875" style="3041"/>
    <col min="14849" max="14849" width="9.44140625" style="3041" customWidth="1"/>
    <col min="14850" max="14850" width="8.88671875" style="3041"/>
    <col min="14851" max="14853" width="12.88671875" style="3041" customWidth="1"/>
    <col min="14854" max="14854" width="47.44140625" style="3041" customWidth="1"/>
    <col min="14855" max="14855" width="13" style="3041" customWidth="1"/>
    <col min="14856" max="14857" width="8.88671875" style="3041"/>
    <col min="14858" max="14858" width="5.77734375" style="3041" customWidth="1"/>
    <col min="14859" max="14859" width="11.77734375" style="3041" customWidth="1"/>
    <col min="14860" max="14861" width="10.77734375" style="3041" customWidth="1"/>
    <col min="14862" max="14862" width="10" style="3041" customWidth="1"/>
    <col min="14863" max="14864" width="10.44140625" style="3041" bestFit="1" customWidth="1"/>
    <col min="14865" max="14865" width="10" style="3041" customWidth="1"/>
    <col min="14866" max="14866" width="10.109375" style="3041" customWidth="1"/>
    <col min="14867" max="14867" width="10" style="3041" customWidth="1"/>
    <col min="14868" max="14868" width="26.109375" style="3041" customWidth="1"/>
    <col min="14869" max="15104" width="8.88671875" style="3041"/>
    <col min="15105" max="15105" width="9.44140625" style="3041" customWidth="1"/>
    <col min="15106" max="15106" width="8.88671875" style="3041"/>
    <col min="15107" max="15109" width="12.88671875" style="3041" customWidth="1"/>
    <col min="15110" max="15110" width="47.44140625" style="3041" customWidth="1"/>
    <col min="15111" max="15111" width="13" style="3041" customWidth="1"/>
    <col min="15112" max="15113" width="8.88671875" style="3041"/>
    <col min="15114" max="15114" width="5.77734375" style="3041" customWidth="1"/>
    <col min="15115" max="15115" width="11.77734375" style="3041" customWidth="1"/>
    <col min="15116" max="15117" width="10.77734375" style="3041" customWidth="1"/>
    <col min="15118" max="15118" width="10" style="3041" customWidth="1"/>
    <col min="15119" max="15120" width="10.44140625" style="3041" bestFit="1" customWidth="1"/>
    <col min="15121" max="15121" width="10" style="3041" customWidth="1"/>
    <col min="15122" max="15122" width="10.109375" style="3041" customWidth="1"/>
    <col min="15123" max="15123" width="10" style="3041" customWidth="1"/>
    <col min="15124" max="15124" width="26.109375" style="3041" customWidth="1"/>
    <col min="15125" max="15360" width="8.88671875" style="3041"/>
    <col min="15361" max="15361" width="9.44140625" style="3041" customWidth="1"/>
    <col min="15362" max="15362" width="8.88671875" style="3041"/>
    <col min="15363" max="15365" width="12.88671875" style="3041" customWidth="1"/>
    <col min="15366" max="15366" width="47.44140625" style="3041" customWidth="1"/>
    <col min="15367" max="15367" width="13" style="3041" customWidth="1"/>
    <col min="15368" max="15369" width="8.88671875" style="3041"/>
    <col min="15370" max="15370" width="5.77734375" style="3041" customWidth="1"/>
    <col min="15371" max="15371" width="11.77734375" style="3041" customWidth="1"/>
    <col min="15372" max="15373" width="10.77734375" style="3041" customWidth="1"/>
    <col min="15374" max="15374" width="10" style="3041" customWidth="1"/>
    <col min="15375" max="15376" width="10.44140625" style="3041" bestFit="1" customWidth="1"/>
    <col min="15377" max="15377" width="10" style="3041" customWidth="1"/>
    <col min="15378" max="15378" width="10.109375" style="3041" customWidth="1"/>
    <col min="15379" max="15379" width="10" style="3041" customWidth="1"/>
    <col min="15380" max="15380" width="26.109375" style="3041" customWidth="1"/>
    <col min="15381" max="15616" width="8.88671875" style="3041"/>
    <col min="15617" max="15617" width="9.44140625" style="3041" customWidth="1"/>
    <col min="15618" max="15618" width="8.88671875" style="3041"/>
    <col min="15619" max="15621" width="12.88671875" style="3041" customWidth="1"/>
    <col min="15622" max="15622" width="47.44140625" style="3041" customWidth="1"/>
    <col min="15623" max="15623" width="13" style="3041" customWidth="1"/>
    <col min="15624" max="15625" width="8.88671875" style="3041"/>
    <col min="15626" max="15626" width="5.77734375" style="3041" customWidth="1"/>
    <col min="15627" max="15627" width="11.77734375" style="3041" customWidth="1"/>
    <col min="15628" max="15629" width="10.77734375" style="3041" customWidth="1"/>
    <col min="15630" max="15630" width="10" style="3041" customWidth="1"/>
    <col min="15631" max="15632" width="10.44140625" style="3041" bestFit="1" customWidth="1"/>
    <col min="15633" max="15633" width="10" style="3041" customWidth="1"/>
    <col min="15634" max="15634" width="10.109375" style="3041" customWidth="1"/>
    <col min="15635" max="15635" width="10" style="3041" customWidth="1"/>
    <col min="15636" max="15636" width="26.109375" style="3041" customWidth="1"/>
    <col min="15637" max="15872" width="8.88671875" style="3041"/>
    <col min="15873" max="15873" width="9.44140625" style="3041" customWidth="1"/>
    <col min="15874" max="15874" width="8.88671875" style="3041"/>
    <col min="15875" max="15877" width="12.88671875" style="3041" customWidth="1"/>
    <col min="15878" max="15878" width="47.44140625" style="3041" customWidth="1"/>
    <col min="15879" max="15879" width="13" style="3041" customWidth="1"/>
    <col min="15880" max="15881" width="8.88671875" style="3041"/>
    <col min="15882" max="15882" width="5.77734375" style="3041" customWidth="1"/>
    <col min="15883" max="15883" width="11.77734375" style="3041" customWidth="1"/>
    <col min="15884" max="15885" width="10.77734375" style="3041" customWidth="1"/>
    <col min="15886" max="15886" width="10" style="3041" customWidth="1"/>
    <col min="15887" max="15888" width="10.44140625" style="3041" bestFit="1" customWidth="1"/>
    <col min="15889" max="15889" width="10" style="3041" customWidth="1"/>
    <col min="15890" max="15890" width="10.109375" style="3041" customWidth="1"/>
    <col min="15891" max="15891" width="10" style="3041" customWidth="1"/>
    <col min="15892" max="15892" width="26.109375" style="3041" customWidth="1"/>
    <col min="15893" max="16128" width="8.88671875" style="3041"/>
    <col min="16129" max="16129" width="9.44140625" style="3041" customWidth="1"/>
    <col min="16130" max="16130" width="8.88671875" style="3041"/>
    <col min="16131" max="16133" width="12.88671875" style="3041" customWidth="1"/>
    <col min="16134" max="16134" width="47.44140625" style="3041" customWidth="1"/>
    <col min="16135" max="16135" width="13" style="3041" customWidth="1"/>
    <col min="16136" max="16137" width="8.88671875" style="3041"/>
    <col min="16138" max="16138" width="5.77734375" style="3041" customWidth="1"/>
    <col min="16139" max="16139" width="11.77734375" style="3041" customWidth="1"/>
    <col min="16140" max="16141" width="10.77734375" style="3041" customWidth="1"/>
    <col min="16142" max="16142" width="10" style="3041" customWidth="1"/>
    <col min="16143" max="16144" width="10.44140625" style="3041" bestFit="1" customWidth="1"/>
    <col min="16145" max="16145" width="10" style="3041" customWidth="1"/>
    <col min="16146" max="16146" width="10.109375" style="3041" customWidth="1"/>
    <col min="16147" max="16147" width="10" style="3041" customWidth="1"/>
    <col min="16148" max="16148" width="26.109375" style="3041" customWidth="1"/>
    <col min="16149" max="16384" width="8.88671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2" customHeight="1">
      <c r="A2" s="1539" t="s">
        <v>3006</v>
      </c>
      <c r="B2" s="3042" t="e">
        <f>C40</f>
        <v>#DIV/0!</v>
      </c>
      <c r="C2" s="3043" t="s">
        <v>3007</v>
      </c>
      <c r="D2" s="3043"/>
      <c r="E2" s="3044"/>
      <c r="F2" s="3045"/>
      <c r="G2" s="3046"/>
      <c r="H2" s="3047"/>
      <c r="I2" s="3048"/>
      <c r="J2" s="3405" t="s">
        <v>3008</v>
      </c>
      <c r="K2" s="3406"/>
      <c r="L2" s="3049" t="s">
        <v>3009</v>
      </c>
      <c r="M2" s="3049" t="s">
        <v>3010</v>
      </c>
      <c r="N2" s="3049" t="s">
        <v>3011</v>
      </c>
      <c r="O2" s="3049" t="s">
        <v>3012</v>
      </c>
      <c r="P2" s="3049" t="s">
        <v>3013</v>
      </c>
      <c r="Q2" s="3050" t="s">
        <v>3014</v>
      </c>
      <c r="R2" s="3051" t="s">
        <v>3015</v>
      </c>
      <c r="S2" s="3040"/>
      <c r="T2" s="3040"/>
      <c r="U2" s="3040"/>
      <c r="V2" s="3048"/>
    </row>
    <row r="3" spans="1:22" s="3052" customFormat="1" ht="13.2" customHeight="1">
      <c r="A3" s="3053" t="s">
        <v>3016</v>
      </c>
      <c r="B3" s="3054" t="e">
        <f>ROUND(B2*10000/B4,0)</f>
        <v>#DIV/0!</v>
      </c>
      <c r="C3" s="3043" t="s">
        <v>3017</v>
      </c>
      <c r="D3" s="3043"/>
      <c r="E3" s="3044"/>
      <c r="F3" s="3045"/>
      <c r="G3" s="3046"/>
      <c r="H3" s="3047"/>
      <c r="I3" s="3048"/>
      <c r="J3" s="3407" t="s">
        <v>3018</v>
      </c>
      <c r="K3" s="3408"/>
      <c r="L3" s="3055"/>
      <c r="M3" s="3055"/>
      <c r="N3" s="3055"/>
      <c r="O3" s="3055"/>
      <c r="P3" s="3055"/>
      <c r="Q3" s="3056"/>
      <c r="R3" s="3057">
        <f>SUM(L3:Q3)</f>
        <v>0</v>
      </c>
      <c r="S3" s="3040"/>
      <c r="T3" s="3040"/>
      <c r="U3" s="3040"/>
      <c r="V3" s="3048"/>
    </row>
    <row r="4" spans="1:22" s="3052" customFormat="1" ht="13.2" customHeight="1">
      <c r="A4" s="3058" t="s">
        <v>3019</v>
      </c>
      <c r="B4" s="3059"/>
      <c r="C4" s="3043"/>
      <c r="D4" s="3043"/>
      <c r="E4" s="3044"/>
      <c r="F4" s="3045"/>
      <c r="G4" s="3046"/>
      <c r="H4" s="3047"/>
      <c r="I4" s="3048"/>
      <c r="J4" s="3407" t="s">
        <v>3020</v>
      </c>
      <c r="K4" s="3408"/>
      <c r="L4" s="3060"/>
      <c r="M4" s="3060"/>
      <c r="N4" s="3060"/>
      <c r="O4" s="3060"/>
      <c r="P4" s="3060"/>
      <c r="Q4" s="3061"/>
      <c r="R4" s="3062">
        <f>SUM(L4:Q4)</f>
        <v>0</v>
      </c>
      <c r="S4" s="3040"/>
      <c r="T4" s="3040"/>
      <c r="U4" s="3040"/>
      <c r="V4" s="3048"/>
    </row>
    <row r="5" spans="1:22" s="3052" customFormat="1" ht="13.2"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2" customHeight="1" thickBot="1">
      <c r="A6" s="3409" t="s">
        <v>3024</v>
      </c>
      <c r="B6" s="3410"/>
      <c r="C6" s="3411"/>
      <c r="D6" s="3069"/>
      <c r="E6" s="3070"/>
      <c r="F6" s="3071"/>
      <c r="G6" s="3072"/>
      <c r="H6" s="3047"/>
      <c r="I6" s="3048"/>
      <c r="J6" s="3412">
        <v>1</v>
      </c>
      <c r="K6" s="3413"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2" customHeight="1">
      <c r="A7" s="3075" t="s">
        <v>3034</v>
      </c>
      <c r="B7" s="3076"/>
      <c r="C7" s="3077"/>
      <c r="D7" s="3078">
        <f>SUM(D9,D10,D11,D17,0)</f>
        <v>0</v>
      </c>
      <c r="E7" s="3079" t="e">
        <f>E9+E10+E11+E17</f>
        <v>#DIV/0!</v>
      </c>
      <c r="F7" s="3080"/>
      <c r="G7" s="3081"/>
      <c r="H7" s="3047"/>
      <c r="I7" s="3048"/>
      <c r="J7" s="3412"/>
      <c r="K7" s="3414"/>
      <c r="L7" s="3082" t="s">
        <v>3035</v>
      </c>
      <c r="M7" s="3083"/>
      <c r="N7" s="3059"/>
      <c r="O7" s="3084"/>
      <c r="P7" s="3084"/>
      <c r="Q7" s="3085">
        <v>365</v>
      </c>
      <c r="R7" s="3086">
        <f>ROUND(M7*N7*O7*P7*Q7/10000,0)</f>
        <v>0</v>
      </c>
      <c r="S7" s="3040"/>
      <c r="T7" s="3040" t="s">
        <v>3036</v>
      </c>
      <c r="U7" s="3040"/>
      <c r="V7" s="3048"/>
    </row>
    <row r="8" spans="1:22" s="3052" customFormat="1" ht="13.2" customHeight="1">
      <c r="A8" s="3087" t="s">
        <v>3037</v>
      </c>
      <c r="B8" s="3416" t="s">
        <v>3038</v>
      </c>
      <c r="C8" s="3417"/>
      <c r="D8" s="3088" t="s">
        <v>3039</v>
      </c>
      <c r="E8" s="3089" t="s">
        <v>3040</v>
      </c>
      <c r="F8" s="3090" t="s">
        <v>3041</v>
      </c>
      <c r="G8" s="3091"/>
      <c r="H8" s="3047"/>
      <c r="I8" s="3048"/>
      <c r="J8" s="3412"/>
      <c r="K8" s="3414"/>
      <c r="L8" s="3082" t="s">
        <v>3042</v>
      </c>
      <c r="M8" s="3083"/>
      <c r="N8" s="3059"/>
      <c r="O8" s="3084"/>
      <c r="P8" s="3084"/>
      <c r="Q8" s="3085">
        <v>365</v>
      </c>
      <c r="R8" s="3086">
        <f t="shared" ref="R8:R13" si="0">ROUND(M8*N8*O8*P8*Q8/10000,0)</f>
        <v>0</v>
      </c>
      <c r="S8" s="3040"/>
      <c r="T8" s="3040" t="s">
        <v>3043</v>
      </c>
      <c r="U8" s="3040"/>
      <c r="V8" s="3048"/>
    </row>
    <row r="9" spans="1:22" s="3052" customFormat="1" ht="13.2" customHeight="1">
      <c r="A9" s="3087">
        <v>1</v>
      </c>
      <c r="B9" s="3416" t="s">
        <v>3044</v>
      </c>
      <c r="C9" s="3417"/>
      <c r="D9" s="3088">
        <f>ROUND(D6*E9,0)</f>
        <v>0</v>
      </c>
      <c r="E9" s="3092"/>
      <c r="F9" s="3093" t="s">
        <v>3045</v>
      </c>
      <c r="G9" s="3072"/>
      <c r="H9" s="3047"/>
      <c r="I9" s="3048"/>
      <c r="J9" s="3412"/>
      <c r="K9" s="3414"/>
      <c r="L9" s="3082" t="s">
        <v>3046</v>
      </c>
      <c r="M9" s="3083"/>
      <c r="N9" s="3059"/>
      <c r="O9" s="3084"/>
      <c r="P9" s="3084"/>
      <c r="Q9" s="3085">
        <v>365</v>
      </c>
      <c r="R9" s="3086">
        <f t="shared" si="0"/>
        <v>0</v>
      </c>
      <c r="S9" s="3040"/>
      <c r="T9" s="3040"/>
      <c r="U9" s="3040"/>
      <c r="V9" s="3048"/>
    </row>
    <row r="10" spans="1:22" s="3052" customFormat="1" ht="13.2" customHeight="1">
      <c r="A10" s="3087">
        <v>2</v>
      </c>
      <c r="B10" s="3416" t="s">
        <v>3047</v>
      </c>
      <c r="C10" s="3417"/>
      <c r="D10" s="3088">
        <f>ROUND(D6*E10,0)</f>
        <v>0</v>
      </c>
      <c r="E10" s="3092"/>
      <c r="F10" s="3093" t="s">
        <v>3048</v>
      </c>
      <c r="G10" s="3072"/>
      <c r="H10" s="3047"/>
      <c r="I10" s="3048"/>
      <c r="J10" s="3412"/>
      <c r="K10" s="3414"/>
      <c r="L10" s="3082" t="s">
        <v>3049</v>
      </c>
      <c r="M10" s="3083"/>
      <c r="N10" s="3059"/>
      <c r="O10" s="3084"/>
      <c r="P10" s="3084"/>
      <c r="Q10" s="3085">
        <v>365</v>
      </c>
      <c r="R10" s="3086">
        <f t="shared" si="0"/>
        <v>0</v>
      </c>
      <c r="S10" s="3040"/>
      <c r="T10" s="3040"/>
      <c r="U10" s="3040"/>
      <c r="V10" s="3048"/>
    </row>
    <row r="11" spans="1:22" s="3052" customFormat="1" ht="13.2" customHeight="1">
      <c r="A11" s="3087">
        <v>3</v>
      </c>
      <c r="B11" s="3416" t="s">
        <v>3050</v>
      </c>
      <c r="C11" s="3417"/>
      <c r="D11" s="3088">
        <f>D12+D14+D15+D16</f>
        <v>0</v>
      </c>
      <c r="E11" s="3094" t="e">
        <f>D11/D6</f>
        <v>#DIV/0!</v>
      </c>
      <c r="F11" s="3090"/>
      <c r="G11" s="3091"/>
      <c r="H11" s="3047"/>
      <c r="I11" s="3048"/>
      <c r="J11" s="3412"/>
      <c r="K11" s="3414"/>
      <c r="L11" s="3082" t="s">
        <v>3051</v>
      </c>
      <c r="M11" s="3083"/>
      <c r="N11" s="3059"/>
      <c r="O11" s="3084"/>
      <c r="P11" s="3084"/>
      <c r="Q11" s="3085">
        <v>365</v>
      </c>
      <c r="R11" s="3086">
        <f t="shared" si="0"/>
        <v>0</v>
      </c>
      <c r="S11" s="3040"/>
      <c r="T11" s="3040"/>
      <c r="U11" s="3040"/>
      <c r="V11" s="3048"/>
    </row>
    <row r="12" spans="1:22" s="3052" customFormat="1" ht="13.2" customHeight="1">
      <c r="A12" s="3095" t="s">
        <v>3052</v>
      </c>
      <c r="B12" s="3418" t="s">
        <v>3053</v>
      </c>
      <c r="C12" s="3419"/>
      <c r="D12" s="3096">
        <f>ROUND(D13*1.2%*(1-30%),0)</f>
        <v>0</v>
      </c>
      <c r="E12" s="3097">
        <v>1.2E-2</v>
      </c>
      <c r="F12" s="3090" t="s">
        <v>3054</v>
      </c>
      <c r="G12" s="3091"/>
      <c r="H12" s="3047"/>
      <c r="I12" s="3048"/>
      <c r="J12" s="3412"/>
      <c r="K12" s="3414"/>
      <c r="L12" s="3082" t="s">
        <v>3055</v>
      </c>
      <c r="M12" s="3083"/>
      <c r="N12" s="3059"/>
      <c r="O12" s="3084"/>
      <c r="P12" s="3084"/>
      <c r="Q12" s="3085">
        <v>365</v>
      </c>
      <c r="R12" s="3086">
        <f t="shared" si="0"/>
        <v>0</v>
      </c>
      <c r="S12" s="3040"/>
      <c r="T12" s="3040"/>
      <c r="U12" s="3040"/>
      <c r="V12" s="3048"/>
    </row>
    <row r="13" spans="1:22" s="3052" customFormat="1" ht="13.2" customHeight="1">
      <c r="A13" s="3095"/>
      <c r="B13" s="3098"/>
      <c r="C13" s="3099" t="s">
        <v>3056</v>
      </c>
      <c r="D13" s="3100"/>
      <c r="E13" s="3101"/>
      <c r="F13" s="3090"/>
      <c r="G13" s="3091"/>
      <c r="H13" s="3047"/>
      <c r="I13" s="3048"/>
      <c r="J13" s="3412"/>
      <c r="K13" s="3414"/>
      <c r="L13" s="3082" t="s">
        <v>3057</v>
      </c>
      <c r="M13" s="3083"/>
      <c r="N13" s="3059"/>
      <c r="O13" s="3084"/>
      <c r="P13" s="3084"/>
      <c r="Q13" s="3085">
        <v>365</v>
      </c>
      <c r="R13" s="3086">
        <f t="shared" si="0"/>
        <v>0</v>
      </c>
      <c r="S13" s="3040"/>
      <c r="T13" s="3040"/>
      <c r="U13" s="3040"/>
      <c r="V13" s="3048"/>
    </row>
    <row r="14" spans="1:22" s="3052" customFormat="1" ht="13.2" customHeight="1">
      <c r="A14" s="3095" t="s">
        <v>3058</v>
      </c>
      <c r="B14" s="3418" t="s">
        <v>3059</v>
      </c>
      <c r="C14" s="3419"/>
      <c r="D14" s="3096">
        <f>ROUND(E14*B5/10000,0)</f>
        <v>0</v>
      </c>
      <c r="E14" s="3085"/>
      <c r="F14" s="3090" t="s">
        <v>3060</v>
      </c>
      <c r="G14" s="3091"/>
      <c r="H14" s="3047"/>
      <c r="I14" s="3048"/>
      <c r="J14" s="3412"/>
      <c r="K14" s="3415"/>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2" customHeight="1">
      <c r="A15" s="3095" t="s">
        <v>3062</v>
      </c>
      <c r="B15" s="3418" t="s">
        <v>3063</v>
      </c>
      <c r="C15" s="3419"/>
      <c r="D15" s="3096">
        <f>ROUND(D6*E15,0)</f>
        <v>0</v>
      </c>
      <c r="E15" s="3097">
        <v>5.5E-2</v>
      </c>
      <c r="F15" s="3090" t="s">
        <v>3064</v>
      </c>
      <c r="G15" s="3072"/>
      <c r="H15" s="3047"/>
      <c r="I15" s="3048"/>
      <c r="J15" s="3412">
        <v>2</v>
      </c>
      <c r="K15" s="3413"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2" customHeight="1">
      <c r="A16" s="3095" t="s">
        <v>3071</v>
      </c>
      <c r="B16" s="3418" t="s">
        <v>3072</v>
      </c>
      <c r="C16" s="3419"/>
      <c r="D16" s="3107">
        <f>D6*E16</f>
        <v>0</v>
      </c>
      <c r="E16" s="3108"/>
      <c r="F16" s="3093" t="s">
        <v>3073</v>
      </c>
      <c r="G16" s="3072"/>
      <c r="H16" s="3047"/>
      <c r="I16" s="3048"/>
      <c r="J16" s="3412"/>
      <c r="K16" s="3414"/>
      <c r="L16" s="3082" t="s">
        <v>3074</v>
      </c>
      <c r="M16" s="3083"/>
      <c r="N16" s="3083"/>
      <c r="O16" s="3084"/>
      <c r="P16" s="3085">
        <v>365</v>
      </c>
      <c r="Q16" s="3059"/>
      <c r="R16" s="3106">
        <f>ROUND(M16*N16*O16*P16/10000,0)</f>
        <v>0</v>
      </c>
      <c r="S16" s="3040"/>
      <c r="T16" s="3040"/>
      <c r="U16" s="3040"/>
      <c r="V16" s="3048"/>
    </row>
    <row r="17" spans="1:22" s="3052" customFormat="1" ht="13.2" customHeight="1" thickBot="1">
      <c r="A17" s="3109">
        <v>4</v>
      </c>
      <c r="B17" s="3420" t="s">
        <v>3075</v>
      </c>
      <c r="C17" s="3421"/>
      <c r="D17" s="3110">
        <f>ROUND(D6*E17,0)</f>
        <v>0</v>
      </c>
      <c r="E17" s="3111"/>
      <c r="F17" s="3112" t="s">
        <v>3076</v>
      </c>
      <c r="G17" s="3072"/>
      <c r="H17" s="3047"/>
      <c r="I17" s="3048"/>
      <c r="J17" s="3412"/>
      <c r="K17" s="3414"/>
      <c r="L17" s="3082" t="s">
        <v>3077</v>
      </c>
      <c r="M17" s="3083"/>
      <c r="N17" s="3083"/>
      <c r="O17" s="3084"/>
      <c r="P17" s="3085">
        <v>365</v>
      </c>
      <c r="Q17" s="3059"/>
      <c r="R17" s="3106">
        <f>ROUND(M17*N17*O17*P17/10000,0)</f>
        <v>0</v>
      </c>
      <c r="S17" s="3040"/>
      <c r="T17" s="3040"/>
      <c r="U17" s="3040"/>
      <c r="V17" s="3048"/>
    </row>
    <row r="18" spans="1:22" s="3052" customFormat="1" ht="13.2" customHeight="1" thickBot="1">
      <c r="A18" s="3075" t="s">
        <v>3078</v>
      </c>
      <c r="B18" s="3076"/>
      <c r="C18" s="3076"/>
      <c r="D18" s="3113">
        <f>ROUND(D6*E18,0)</f>
        <v>0</v>
      </c>
      <c r="E18" s="3114"/>
      <c r="F18" s="3115" t="s">
        <v>3079</v>
      </c>
      <c r="G18" s="3072"/>
      <c r="H18" s="3047"/>
      <c r="I18" s="3048"/>
      <c r="J18" s="3412"/>
      <c r="K18" s="3414"/>
      <c r="L18" s="3082" t="s">
        <v>3080</v>
      </c>
      <c r="M18" s="3083"/>
      <c r="N18" s="3083"/>
      <c r="O18" s="3084"/>
      <c r="P18" s="3085">
        <v>365</v>
      </c>
      <c r="Q18" s="3059"/>
      <c r="R18" s="3106">
        <f>ROUND(M18*N18*O18*P18/10000,0)</f>
        <v>0</v>
      </c>
      <c r="S18" s="3040"/>
      <c r="T18" s="3040"/>
      <c r="U18" s="3040"/>
      <c r="V18" s="3048"/>
    </row>
    <row r="19" spans="1:22" s="3052" customFormat="1" ht="13.2" customHeight="1" thickBot="1">
      <c r="A19" s="3116" t="s">
        <v>3081</v>
      </c>
      <c r="B19" s="3070"/>
      <c r="C19" s="3070"/>
      <c r="D19" s="3070"/>
      <c r="E19" s="3070"/>
      <c r="F19" s="3071"/>
      <c r="G19" s="3091"/>
      <c r="H19" s="3047"/>
      <c r="I19" s="3048"/>
      <c r="J19" s="3412"/>
      <c r="K19" s="3415"/>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2" customHeight="1">
      <c r="A20" s="3075"/>
      <c r="B20" s="3076"/>
      <c r="C20" s="3076"/>
      <c r="D20" s="3076"/>
      <c r="E20" s="3076"/>
      <c r="F20" s="3119"/>
      <c r="G20" s="3091"/>
      <c r="H20" s="3047"/>
      <c r="I20" s="3048"/>
      <c r="J20" s="3412">
        <v>3</v>
      </c>
      <c r="K20" s="3413"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2" customHeight="1">
      <c r="A21" s="3075"/>
      <c r="B21" s="3076"/>
      <c r="C21" s="3122" t="s">
        <v>3090</v>
      </c>
      <c r="D21" s="3123" t="s">
        <v>3091</v>
      </c>
      <c r="E21" s="3124" t="s">
        <v>3092</v>
      </c>
      <c r="F21" s="3119"/>
      <c r="G21" s="3091"/>
      <c r="H21" s="3047"/>
      <c r="I21" s="3048"/>
      <c r="J21" s="3412"/>
      <c r="K21" s="3414"/>
      <c r="L21" s="3082" t="s">
        <v>3093</v>
      </c>
      <c r="M21" s="3083"/>
      <c r="N21" s="3083"/>
      <c r="O21" s="3084"/>
      <c r="P21" s="3085">
        <v>365</v>
      </c>
      <c r="Q21" s="3059"/>
      <c r="R21" s="3125">
        <f>ROUND(M21*N21*O21*P21/10000,0)</f>
        <v>0</v>
      </c>
      <c r="S21" s="3121"/>
      <c r="T21" s="3121"/>
      <c r="U21" s="3121"/>
      <c r="V21" s="3048"/>
    </row>
    <row r="22" spans="1:22" s="3052" customFormat="1" ht="13.2" customHeight="1">
      <c r="A22" s="3075"/>
      <c r="B22" s="3076"/>
      <c r="C22" s="3126" t="s">
        <v>3094</v>
      </c>
      <c r="D22" s="3127" t="s">
        <v>3095</v>
      </c>
      <c r="E22" s="3128" t="s">
        <v>3096</v>
      </c>
      <c r="F22" s="3119"/>
      <c r="G22" s="3129"/>
      <c r="H22" s="3047"/>
      <c r="I22" s="3048"/>
      <c r="J22" s="3412"/>
      <c r="K22" s="3414"/>
      <c r="L22" s="3082" t="s">
        <v>3097</v>
      </c>
      <c r="M22" s="3083"/>
      <c r="N22" s="3083"/>
      <c r="O22" s="3084"/>
      <c r="P22" s="3085">
        <v>365</v>
      </c>
      <c r="Q22" s="3059"/>
      <c r="R22" s="3125">
        <f>ROUND(M22*N22*O22*P22/10000,0)</f>
        <v>0</v>
      </c>
      <c r="S22" s="3121"/>
      <c r="T22" s="3121"/>
      <c r="U22" s="3121"/>
      <c r="V22" s="3048"/>
    </row>
    <row r="23" spans="1:22" s="3052" customFormat="1" ht="13.2" customHeight="1">
      <c r="A23" s="3130">
        <v>1</v>
      </c>
      <c r="B23" s="3131" t="s">
        <v>3098</v>
      </c>
      <c r="C23" s="3132">
        <f>D6</f>
        <v>0</v>
      </c>
      <c r="D23" s="3133">
        <f>C23*(1+D24)</f>
        <v>0</v>
      </c>
      <c r="E23" s="3134">
        <f>D23*(1+E24)</f>
        <v>0</v>
      </c>
      <c r="F23" s="3135"/>
      <c r="G23" s="3136"/>
      <c r="H23" s="3047"/>
      <c r="I23" s="3048"/>
      <c r="J23" s="3412"/>
      <c r="K23" s="3414"/>
      <c r="L23" s="3082" t="s">
        <v>3099</v>
      </c>
      <c r="M23" s="3083"/>
      <c r="N23" s="3083"/>
      <c r="O23" s="3084"/>
      <c r="P23" s="3085">
        <v>365</v>
      </c>
      <c r="Q23" s="3059"/>
      <c r="R23" s="3125">
        <f>ROUND(M23*N23*O23*P23/10000,0)</f>
        <v>0</v>
      </c>
      <c r="S23" s="3040"/>
      <c r="T23" s="3040"/>
      <c r="U23" s="3040"/>
      <c r="V23" s="3048"/>
    </row>
    <row r="24" spans="1:22" s="3052" customFormat="1" ht="13.2" customHeight="1">
      <c r="A24" s="3137"/>
      <c r="B24" s="3138" t="s">
        <v>3100</v>
      </c>
      <c r="C24" s="3139"/>
      <c r="D24" s="3140"/>
      <c r="E24" s="3141"/>
      <c r="F24" s="3142"/>
      <c r="G24" s="3136"/>
      <c r="H24" s="3047"/>
      <c r="I24" s="3048"/>
      <c r="J24" s="3412"/>
      <c r="K24" s="3415"/>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2"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2" customHeight="1">
      <c r="A26" s="3130">
        <v>2</v>
      </c>
      <c r="B26" s="3131" t="s">
        <v>3102</v>
      </c>
      <c r="C26" s="3132">
        <f>D7</f>
        <v>0</v>
      </c>
      <c r="D26" s="3133">
        <f>D23*D27</f>
        <v>0</v>
      </c>
      <c r="E26" s="3134">
        <f>E23*E27</f>
        <v>0</v>
      </c>
      <c r="F26" s="3135"/>
      <c r="G26" s="3136"/>
      <c r="H26" s="3047"/>
      <c r="I26" s="3048"/>
      <c r="J26" s="3422">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2" customHeight="1">
      <c r="A27" s="3137"/>
      <c r="B27" s="3138" t="s">
        <v>3108</v>
      </c>
      <c r="C27" s="3156" t="e">
        <f>E7</f>
        <v>#DIV/0!</v>
      </c>
      <c r="D27" s="3140"/>
      <c r="E27" s="3141"/>
      <c r="F27" s="3142"/>
      <c r="G27" s="3136"/>
      <c r="H27" s="3157"/>
      <c r="I27" s="3148"/>
      <c r="J27" s="3423"/>
      <c r="K27" s="3158"/>
      <c r="L27" s="3159"/>
      <c r="M27" s="3160"/>
      <c r="N27" s="3161"/>
      <c r="O27" s="3161"/>
      <c r="P27" s="3161"/>
      <c r="Q27" s="3162"/>
      <c r="R27" s="3118">
        <f>ROUND(O27*N27*P27*(1-Q27)/10000,0)</f>
        <v>0</v>
      </c>
      <c r="S27" s="3040"/>
      <c r="T27" s="3040"/>
      <c r="U27" s="3040"/>
      <c r="V27" s="3048"/>
    </row>
    <row r="28" spans="1:22" s="3149" customFormat="1" ht="13.2"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2"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2"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2"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2" customHeight="1">
      <c r="A32" s="3130">
        <v>4</v>
      </c>
      <c r="B32" s="3131" t="s">
        <v>3116</v>
      </c>
      <c r="C32" s="3132">
        <f>C23-C26-C29</f>
        <v>0</v>
      </c>
      <c r="D32" s="3133">
        <f>D23-D26-D29</f>
        <v>0</v>
      </c>
      <c r="E32" s="3134">
        <f>E23-E26-E29</f>
        <v>0</v>
      </c>
      <c r="F32" s="3135"/>
      <c r="G32" s="3129"/>
      <c r="H32" s="3047"/>
      <c r="I32" s="3048"/>
      <c r="J32" s="3405" t="s">
        <v>3008</v>
      </c>
      <c r="K32" s="3406"/>
      <c r="L32" s="3049" t="s">
        <v>3009</v>
      </c>
      <c r="M32" s="3049" t="s">
        <v>3010</v>
      </c>
      <c r="N32" s="3049" t="s">
        <v>3011</v>
      </c>
      <c r="O32" s="3049" t="s">
        <v>3012</v>
      </c>
      <c r="P32" s="3049" t="s">
        <v>3013</v>
      </c>
      <c r="Q32" s="3050" t="s">
        <v>3014</v>
      </c>
      <c r="R32" s="3172" t="s">
        <v>3015</v>
      </c>
      <c r="S32" s="3121"/>
      <c r="T32" s="3040"/>
      <c r="U32" s="3040"/>
      <c r="V32" s="3148"/>
    </row>
    <row r="33" spans="1:23" s="3052" customFormat="1" ht="13.2" customHeight="1">
      <c r="A33" s="3130"/>
      <c r="B33" s="3131"/>
      <c r="C33" s="3132"/>
      <c r="D33" s="3173"/>
      <c r="E33" s="3174"/>
      <c r="F33" s="3135"/>
      <c r="G33" s="3129"/>
      <c r="H33" s="3157"/>
      <c r="I33" s="3148"/>
      <c r="J33" s="3407" t="s">
        <v>3018</v>
      </c>
      <c r="K33" s="3408"/>
      <c r="L33" s="3055"/>
      <c r="M33" s="3055"/>
      <c r="N33" s="3055"/>
      <c r="O33" s="3055"/>
      <c r="P33" s="3055"/>
      <c r="Q33" s="3056"/>
      <c r="R33" s="3175">
        <f>SUM(L33:Q33)</f>
        <v>0</v>
      </c>
      <c r="S33" s="3121"/>
      <c r="T33" s="3040"/>
      <c r="U33" s="3040"/>
      <c r="V33" s="3048"/>
    </row>
    <row r="34" spans="1:23" s="3052" customFormat="1" ht="13.2" customHeight="1">
      <c r="A34" s="3130">
        <v>5</v>
      </c>
      <c r="B34" s="3131" t="s">
        <v>3117</v>
      </c>
      <c r="C34" s="3176"/>
      <c r="D34" s="3177"/>
      <c r="E34" s="3178"/>
      <c r="F34" s="3135"/>
      <c r="G34" s="3129"/>
      <c r="H34" s="3157"/>
      <c r="I34" s="3148"/>
      <c r="J34" s="3407" t="s">
        <v>3020</v>
      </c>
      <c r="K34" s="3408"/>
      <c r="L34" s="3060"/>
      <c r="M34" s="3060"/>
      <c r="N34" s="3060"/>
      <c r="O34" s="3060"/>
      <c r="P34" s="3060"/>
      <c r="Q34" s="3061"/>
      <c r="R34" s="3179">
        <f>SUM(L34:Q34)</f>
        <v>0</v>
      </c>
      <c r="S34" s="3121"/>
      <c r="T34" s="3040"/>
      <c r="U34" s="3040" t="e">
        <f>ROUND(R35*10000/365/R33,1)</f>
        <v>#DIV/0!</v>
      </c>
      <c r="V34" s="3048"/>
    </row>
    <row r="35" spans="1:23" s="3052" customFormat="1" ht="13.2"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2" customHeight="1" thickBot="1">
      <c r="A36" s="3130">
        <v>7</v>
      </c>
      <c r="B36" s="3185" t="s">
        <v>3119</v>
      </c>
      <c r="C36" s="3186"/>
      <c r="D36" s="3187"/>
      <c r="E36" s="3188"/>
      <c r="F36" s="3189">
        <f>C36+D36+E36</f>
        <v>0</v>
      </c>
      <c r="G36" s="3129"/>
      <c r="H36" s="3047"/>
      <c r="I36" s="3048"/>
      <c r="J36" s="3412">
        <v>1</v>
      </c>
      <c r="K36" s="3413" t="s">
        <v>3120</v>
      </c>
      <c r="L36" s="3073"/>
      <c r="M36" s="3074"/>
      <c r="N36" s="3074"/>
      <c r="O36" s="3074"/>
      <c r="P36" s="3074"/>
      <c r="Q36" s="3074"/>
      <c r="R36" s="3057" t="s">
        <v>3032</v>
      </c>
      <c r="S36" s="3121"/>
      <c r="T36" s="3040" t="s">
        <v>3033</v>
      </c>
      <c r="U36" s="3040"/>
      <c r="V36" s="3048"/>
    </row>
    <row r="37" spans="1:23" s="3052" customFormat="1" ht="13.2" customHeight="1">
      <c r="A37" s="3130"/>
      <c r="B37" s="3131"/>
      <c r="C37" s="3131"/>
      <c r="D37" s="3131"/>
      <c r="E37" s="3131"/>
      <c r="F37" s="3135"/>
      <c r="G37" s="3129"/>
      <c r="H37" s="3047"/>
      <c r="I37" s="3048"/>
      <c r="J37" s="3412"/>
      <c r="K37" s="3414"/>
      <c r="L37" s="3082"/>
      <c r="M37" s="3083"/>
      <c r="N37" s="3059"/>
      <c r="O37" s="3084"/>
      <c r="P37" s="3084"/>
      <c r="Q37" s="3085"/>
      <c r="R37" s="3086"/>
      <c r="S37" s="3121"/>
      <c r="T37" s="3040" t="s">
        <v>3036</v>
      </c>
      <c r="U37" s="3040"/>
      <c r="V37" s="3048"/>
    </row>
    <row r="38" spans="1:23" s="3052" customFormat="1" ht="13.2" customHeight="1">
      <c r="A38" s="3130">
        <v>8</v>
      </c>
      <c r="B38" s="3131"/>
      <c r="C38" s="3088" t="e">
        <f>ROUND(C32*(1-((1+C35)/(1+C34))^C36)/(C34-C35),0)</f>
        <v>#DIV/0!</v>
      </c>
      <c r="D38" s="3088">
        <f>IF(D23=0,0,ROUND(D32*(1-((1+D35)/(1+D34))^D36)/(D34-D35),0))</f>
        <v>0</v>
      </c>
      <c r="E38" s="3088">
        <f>IF(E23=0,0,ROUND(E32*(1-((1+E35)/(1+E34))^E36)/(E34-E35),0))</f>
        <v>0</v>
      </c>
      <c r="F38" s="3135"/>
      <c r="G38" s="3129"/>
      <c r="H38" s="3047"/>
      <c r="I38" s="3048"/>
      <c r="J38" s="3412"/>
      <c r="K38" s="3414"/>
      <c r="L38" s="3082"/>
      <c r="M38" s="3083"/>
      <c r="N38" s="3059"/>
      <c r="O38" s="3084"/>
      <c r="P38" s="3084"/>
      <c r="Q38" s="3085"/>
      <c r="R38" s="3086"/>
      <c r="S38" s="3121"/>
      <c r="T38" s="3040" t="s">
        <v>3043</v>
      </c>
      <c r="U38" s="3040"/>
      <c r="V38" s="3048"/>
    </row>
    <row r="39" spans="1:23" s="3052" customFormat="1" ht="13.2" customHeight="1">
      <c r="A39" s="3130">
        <v>9</v>
      </c>
      <c r="B39" s="3131" t="s">
        <v>3121</v>
      </c>
      <c r="C39" s="3096" t="e">
        <f>C38</f>
        <v>#DIV/0!</v>
      </c>
      <c r="D39" s="3131">
        <f>D38/(1+D34)^C36</f>
        <v>0</v>
      </c>
      <c r="E39" s="3131">
        <f>E38/(1+E34)^(C36+D36)</f>
        <v>0</v>
      </c>
      <c r="F39" s="3135"/>
      <c r="G39" s="3190"/>
      <c r="H39" s="3047"/>
      <c r="I39" s="3048"/>
      <c r="J39" s="3412"/>
      <c r="K39" s="3414"/>
      <c r="L39" s="3082"/>
      <c r="M39" s="3083"/>
      <c r="N39" s="3059"/>
      <c r="O39" s="3084"/>
      <c r="P39" s="3084"/>
      <c r="Q39" s="3085"/>
      <c r="R39" s="3086"/>
      <c r="S39" s="3121"/>
      <c r="T39" s="3040"/>
      <c r="U39" s="3040"/>
      <c r="V39" s="3048"/>
    </row>
    <row r="40" spans="1:23" s="3052" customFormat="1" ht="13.2" customHeight="1">
      <c r="A40" s="3191">
        <v>10</v>
      </c>
      <c r="B40" s="3131" t="s">
        <v>3122</v>
      </c>
      <c r="C40" s="3192" t="e">
        <f>C39+D39+E39</f>
        <v>#DIV/0!</v>
      </c>
      <c r="D40" s="3193"/>
      <c r="E40" s="3193"/>
      <c r="F40" s="3194"/>
      <c r="G40" s="3129"/>
      <c r="H40" s="3047"/>
      <c r="I40" s="3048"/>
      <c r="J40" s="3412"/>
      <c r="K40" s="3415"/>
      <c r="L40" s="3102" t="s">
        <v>3061</v>
      </c>
      <c r="M40" s="3103"/>
      <c r="N40" s="3103"/>
      <c r="O40" s="3104"/>
      <c r="P40" s="3104"/>
      <c r="Q40" s="3105"/>
      <c r="R40" s="3051">
        <f>SUM(R37:R39)</f>
        <v>0</v>
      </c>
      <c r="S40" s="3121"/>
      <c r="T40" s="3040"/>
      <c r="U40" s="3040"/>
      <c r="V40" s="3048"/>
    </row>
    <row r="41" spans="1:23" s="3052" customFormat="1" ht="13.2"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2" customHeight="1">
      <c r="G42" s="3199"/>
      <c r="H42" s="3047"/>
      <c r="I42" s="3048"/>
      <c r="J42" s="3422">
        <v>3</v>
      </c>
      <c r="K42" s="3150" t="s">
        <v>3103</v>
      </c>
      <c r="L42" s="3151"/>
      <c r="M42" s="3152"/>
      <c r="N42" s="3153" t="s">
        <v>3104</v>
      </c>
      <c r="O42" s="3153" t="s">
        <v>3105</v>
      </c>
      <c r="P42" s="3154" t="s">
        <v>3106</v>
      </c>
      <c r="Q42" s="3154" t="s">
        <v>3107</v>
      </c>
      <c r="R42" s="3057" t="s">
        <v>3032</v>
      </c>
      <c r="S42" s="3155"/>
      <c r="T42" s="3155"/>
      <c r="U42" s="3040"/>
      <c r="V42" s="3048"/>
    </row>
    <row r="43" spans="1:23" ht="13.2" customHeight="1">
      <c r="A43" s="3052"/>
      <c r="B43" s="3052"/>
      <c r="C43" s="3052"/>
      <c r="D43" s="3052"/>
      <c r="E43" s="3052"/>
      <c r="F43" s="3052"/>
      <c r="I43" s="3035"/>
      <c r="J43" s="3423"/>
      <c r="K43" s="3158"/>
      <c r="L43" s="3159"/>
      <c r="M43" s="3160"/>
      <c r="N43" s="3083"/>
      <c r="O43" s="3083"/>
      <c r="P43" s="3083"/>
      <c r="Q43" s="3147"/>
      <c r="R43" s="3118">
        <f>ROUND(O43*N43*P43*(1-Q43)/10000,0)</f>
        <v>0</v>
      </c>
      <c r="S43" s="3121"/>
      <c r="T43" s="3040"/>
      <c r="V43" s="3201"/>
      <c r="W43" s="3202"/>
    </row>
    <row r="44" spans="1:23" ht="13.2"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2287</v>
      </c>
      <c r="B1" s="2024"/>
      <c r="C1" s="2024"/>
      <c r="D1" s="2024"/>
      <c r="E1" s="2025"/>
      <c r="F1" s="2904"/>
      <c r="G1" s="1644"/>
      <c r="H1" s="1644"/>
      <c r="I1" s="1644"/>
      <c r="J1" s="1644"/>
      <c r="K1" s="1644"/>
      <c r="L1" s="1644"/>
      <c r="M1" s="1644"/>
      <c r="N1" s="1644"/>
      <c r="O1" s="1644"/>
      <c r="P1" s="1644"/>
      <c r="Q1" s="1644"/>
      <c r="R1" s="1644"/>
      <c r="S1" s="1644"/>
    </row>
    <row r="2" spans="1:22" ht="15.6">
      <c r="A2" s="2026" t="s">
        <v>2088</v>
      </c>
      <c r="B2" s="2027">
        <f ca="1">SUMIF(B6:B13,"&lt;&gt;#ref!",B6:B13)</f>
        <v>10248</v>
      </c>
      <c r="C2" s="2028" t="s">
        <v>2280</v>
      </c>
      <c r="D2" s="2029" t="s">
        <v>2281</v>
      </c>
      <c r="E2" s="2801">
        <f>SUM(E6:E13)</f>
        <v>9321.1299999999992</v>
      </c>
      <c r="F2" s="2904"/>
      <c r="G2" s="1644"/>
      <c r="H2" s="1644"/>
      <c r="I2" s="1644"/>
      <c r="J2" s="1644"/>
      <c r="K2" s="1644"/>
      <c r="L2" s="1644"/>
      <c r="M2" s="1644"/>
      <c r="N2" s="1644"/>
      <c r="O2" s="1644"/>
      <c r="P2" s="1644"/>
      <c r="Q2" s="1644"/>
      <c r="R2" s="1644"/>
      <c r="S2" s="1644"/>
    </row>
    <row r="3" spans="1:22" ht="15.6">
      <c r="A3" s="2026" t="s">
        <v>1300</v>
      </c>
      <c r="B3" s="2795">
        <f ca="1">ROUND(B2*10000/E2,0)</f>
        <v>10994</v>
      </c>
      <c r="C3" s="2028" t="s">
        <v>2288</v>
      </c>
      <c r="D3" s="2906"/>
      <c r="E3" s="2908"/>
      <c r="F3" s="2904"/>
      <c r="G3" s="1644"/>
      <c r="H3" s="1644"/>
      <c r="I3" s="1644"/>
      <c r="J3" s="1644"/>
      <c r="K3" s="1644"/>
      <c r="L3" s="1644"/>
      <c r="M3" s="1644"/>
      <c r="N3" s="1644"/>
      <c r="O3" s="1644"/>
      <c r="P3" s="1644"/>
      <c r="Q3" s="1644"/>
      <c r="R3" s="1644"/>
      <c r="S3" s="1644"/>
    </row>
    <row r="4" spans="1:22" ht="15.6">
      <c r="A4" s="2909"/>
      <c r="B4" s="2906"/>
      <c r="C4" s="2906"/>
      <c r="D4" s="2906"/>
      <c r="E4" s="2908"/>
      <c r="F4" s="2904"/>
      <c r="G4" s="1644"/>
      <c r="H4" s="1644"/>
      <c r="I4" s="1644"/>
      <c r="J4" s="1644"/>
      <c r="K4" s="1644"/>
      <c r="L4" s="1644"/>
      <c r="M4" s="1644"/>
      <c r="N4" s="1644"/>
      <c r="O4" s="1644"/>
      <c r="P4" s="1644"/>
      <c r="Q4" s="1644"/>
      <c r="R4" s="1644"/>
      <c r="S4" s="1644"/>
    </row>
    <row r="5" spans="1:22" ht="14.4">
      <c r="A5" s="2797" t="s">
        <v>2282</v>
      </c>
      <c r="B5" s="3424" t="s">
        <v>2283</v>
      </c>
      <c r="C5" s="3425"/>
      <c r="D5" s="2905"/>
      <c r="E5" s="2030" t="s">
        <v>2284</v>
      </c>
      <c r="F5" s="2031" t="s">
        <v>2285</v>
      </c>
      <c r="G5" s="1644"/>
      <c r="H5" s="1644"/>
      <c r="I5" s="1644"/>
      <c r="J5" s="1644"/>
      <c r="K5" s="1644"/>
      <c r="L5" s="1644"/>
      <c r="M5" s="1644"/>
      <c r="N5" s="1644"/>
      <c r="O5" s="1644"/>
      <c r="P5" s="1644"/>
      <c r="Q5" s="1644"/>
      <c r="R5" s="1644"/>
      <c r="S5" s="1644"/>
    </row>
    <row r="6" spans="1:22" ht="14.4">
      <c r="A6" s="2798" t="str">
        <f>'数据-取费表'!AN6</f>
        <v>收益法</v>
      </c>
      <c r="B6" s="2796">
        <f ca="1">IF(F6="是",'数据-取费表'!AO6,0)</f>
        <v>10248</v>
      </c>
      <c r="C6" s="2028" t="s">
        <v>2280</v>
      </c>
      <c r="D6" s="2906"/>
      <c r="E6" s="2800">
        <f>IF(OR(A6=0,F6="否"),0,'数据-取费表'!K6+'数据-取费表'!S6)</f>
        <v>9321.1299999999992</v>
      </c>
      <c r="F6" s="2032" t="s">
        <v>2286</v>
      </c>
      <c r="G6" s="1644"/>
      <c r="H6" s="1644"/>
      <c r="I6" s="1644"/>
      <c r="J6" s="1644"/>
      <c r="K6" s="1644"/>
      <c r="L6" s="1644"/>
      <c r="M6" s="1644"/>
      <c r="N6" s="1644"/>
      <c r="O6" s="1644"/>
      <c r="P6" s="1644"/>
      <c r="Q6" s="1644"/>
      <c r="R6" s="1644"/>
      <c r="S6" s="1644"/>
    </row>
    <row r="7" spans="1:22" ht="14.4">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ht="14.4">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ht="14.4">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ht="14.4">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ht="14.4">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ht="14.4">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9321.1299999999992</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4.4">
      <c r="A4" s="361" t="s">
        <v>2296</v>
      </c>
      <c r="B4" s="362"/>
      <c r="C4" s="3444" t="s">
        <v>2297</v>
      </c>
      <c r="D4" s="3445"/>
      <c r="E4" s="3446" t="s">
        <v>2298</v>
      </c>
      <c r="F4" s="3447"/>
      <c r="G4" s="3444" t="s">
        <v>2299</v>
      </c>
      <c r="H4" s="3445"/>
      <c r="I4" s="3444" t="s">
        <v>2300</v>
      </c>
      <c r="J4" s="3445"/>
      <c r="K4" s="2045" t="s">
        <v>2301</v>
      </c>
      <c r="L4" s="2912"/>
      <c r="M4" s="2913"/>
      <c r="N4" s="2913"/>
      <c r="O4" s="2913"/>
      <c r="P4" s="3448" t="s">
        <v>2302</v>
      </c>
      <c r="Q4" s="3449"/>
      <c r="R4" s="3431" t="s">
        <v>2298</v>
      </c>
      <c r="S4" s="3432"/>
      <c r="T4" s="3431" t="s">
        <v>2299</v>
      </c>
      <c r="U4" s="3432"/>
      <c r="V4" s="3456" t="s">
        <v>2300</v>
      </c>
      <c r="W4" s="3456"/>
      <c r="X4" s="1509"/>
      <c r="Y4" s="3431" t="s">
        <v>2302</v>
      </c>
      <c r="Z4" s="3432"/>
      <c r="AA4" s="3426" t="s">
        <v>2298</v>
      </c>
      <c r="AB4" s="3426" t="s">
        <v>2299</v>
      </c>
      <c r="AC4" s="3426" t="s">
        <v>2300</v>
      </c>
    </row>
    <row r="5" spans="1:29">
      <c r="A5" s="364"/>
      <c r="B5" s="365"/>
      <c r="C5" s="3437" t="s">
        <v>2303</v>
      </c>
      <c r="D5" s="3438"/>
      <c r="E5" s="3435" t="s">
        <v>2304</v>
      </c>
      <c r="F5" s="3436"/>
      <c r="G5" s="3437" t="s">
        <v>2305</v>
      </c>
      <c r="H5" s="3438"/>
      <c r="I5" s="3437" t="s">
        <v>2306</v>
      </c>
      <c r="J5" s="3438"/>
      <c r="K5" s="2046"/>
      <c r="L5" s="2912"/>
      <c r="M5" s="2913"/>
      <c r="N5" s="2913"/>
      <c r="O5" s="2913"/>
      <c r="P5" s="3450"/>
      <c r="Q5" s="3451"/>
      <c r="R5" s="3433"/>
      <c r="S5" s="3434"/>
      <c r="T5" s="3433"/>
      <c r="U5" s="3434"/>
      <c r="V5" s="3456"/>
      <c r="W5" s="3456"/>
      <c r="X5" s="1509"/>
      <c r="Y5" s="3433"/>
      <c r="Z5" s="3434"/>
      <c r="AA5" s="3427"/>
      <c r="AB5" s="3427"/>
      <c r="AC5" s="3427"/>
    </row>
    <row r="6" spans="1:29" ht="15" thickBot="1">
      <c r="A6" s="366"/>
      <c r="B6" s="367"/>
      <c r="C6" s="3439" t="s">
        <v>2307</v>
      </c>
      <c r="D6" s="3440"/>
      <c r="E6" s="3441" t="s">
        <v>2307</v>
      </c>
      <c r="F6" s="3442"/>
      <c r="G6" s="3439" t="s">
        <v>2307</v>
      </c>
      <c r="H6" s="3440"/>
      <c r="I6" s="3439" t="s">
        <v>2307</v>
      </c>
      <c r="J6" s="3440"/>
      <c r="K6" s="2046" t="s">
        <v>2308</v>
      </c>
      <c r="L6" s="2912"/>
      <c r="M6" s="2913"/>
      <c r="N6" s="2913"/>
      <c r="O6" s="2913"/>
      <c r="P6" s="3452"/>
      <c r="Q6" s="3453"/>
      <c r="R6" s="3433"/>
      <c r="S6" s="3434"/>
      <c r="T6" s="3454"/>
      <c r="U6" s="3455"/>
      <c r="V6" s="3456"/>
      <c r="W6" s="3456"/>
      <c r="X6" s="1509"/>
      <c r="Y6" s="3454"/>
      <c r="Z6" s="3455"/>
      <c r="AA6" s="3428"/>
      <c r="AB6" s="3428"/>
      <c r="AC6" s="3428"/>
    </row>
    <row r="7" spans="1:29" s="113" customFormat="1" ht="1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29" t="s">
        <v>2310</v>
      </c>
      <c r="Q7" s="3457"/>
      <c r="R7" s="710" t="s">
        <v>23</v>
      </c>
      <c r="S7" s="711">
        <f t="shared" ref="S7:S15" si="0">F7</f>
        <v>0</v>
      </c>
      <c r="T7" s="710" t="s">
        <v>23</v>
      </c>
      <c r="U7" s="711">
        <f t="shared" ref="U7:U15" si="1">H7</f>
        <v>0</v>
      </c>
      <c r="V7" s="710" t="s">
        <v>23</v>
      </c>
      <c r="W7" s="711">
        <f t="shared" ref="W7:W15" si="2">J7</f>
        <v>0</v>
      </c>
      <c r="X7" s="712"/>
      <c r="Y7" s="3429" t="s">
        <v>2310</v>
      </c>
      <c r="Z7" s="3430"/>
      <c r="AA7" s="713" t="e">
        <f>D7/F7</f>
        <v>#DIV/0!</v>
      </c>
      <c r="AB7" s="713" t="e">
        <f>D7/H7</f>
        <v>#DIV/0!</v>
      </c>
      <c r="AC7" s="713" t="e">
        <f>D7/J7</f>
        <v>#DIV/0!</v>
      </c>
    </row>
    <row r="8" spans="1:29" s="113" customFormat="1" ht="1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29" t="s">
        <v>2313</v>
      </c>
      <c r="Q8" s="3430"/>
      <c r="R8" s="710" t="s">
        <v>23</v>
      </c>
      <c r="S8" s="711">
        <f t="shared" si="0"/>
        <v>0</v>
      </c>
      <c r="T8" s="710" t="s">
        <v>23</v>
      </c>
      <c r="U8" s="711">
        <f t="shared" si="1"/>
        <v>0</v>
      </c>
      <c r="V8" s="710" t="s">
        <v>23</v>
      </c>
      <c r="W8" s="711">
        <f t="shared" si="2"/>
        <v>0</v>
      </c>
      <c r="X8" s="712"/>
      <c r="Y8" s="3429" t="s">
        <v>2313</v>
      </c>
      <c r="Z8" s="3430"/>
      <c r="AA8" s="713" t="e">
        <f t="shared" ref="AA8:AA19" si="3">D8/F8</f>
        <v>#DIV/0!</v>
      </c>
      <c r="AB8" s="713" t="e">
        <f t="shared" ref="AB8:AB19" si="4">D8/H8</f>
        <v>#DIV/0!</v>
      </c>
      <c r="AC8" s="713" t="e">
        <f t="shared" ref="AC8:AC19" si="5">D8/J8</f>
        <v>#DIV/0!</v>
      </c>
    </row>
    <row r="9" spans="1:29" s="113" customFormat="1" ht="14.4">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3"/>
      <c r="Q11" s="1497" t="str">
        <f t="shared" si="6"/>
        <v>容积率</v>
      </c>
      <c r="R11" s="710" t="s">
        <v>21</v>
      </c>
      <c r="S11" s="711" t="e">
        <f t="shared" si="0"/>
        <v>#N/A</v>
      </c>
      <c r="T11" s="710" t="s">
        <v>21</v>
      </c>
      <c r="U11" s="711" t="e">
        <f t="shared" si="1"/>
        <v>#N/A</v>
      </c>
      <c r="V11" s="710" t="s">
        <v>21</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3"/>
      <c r="Q12" s="1497">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3"/>
      <c r="Q13" s="1497">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3"/>
      <c r="Q14" s="1497">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96.6">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70" t="s">
        <v>2321</v>
      </c>
      <c r="Q15" s="1506" t="str">
        <f t="shared" si="6"/>
        <v>居住社区成熟度</v>
      </c>
      <c r="R15" s="714" t="s">
        <v>21</v>
      </c>
      <c r="S15" s="715">
        <f t="shared" si="0"/>
        <v>100</v>
      </c>
      <c r="T15" s="714" t="s">
        <v>21</v>
      </c>
      <c r="U15" s="715">
        <f t="shared" si="1"/>
        <v>100</v>
      </c>
      <c r="V15" s="714" t="s">
        <v>21</v>
      </c>
      <c r="W15" s="715">
        <f t="shared" si="2"/>
        <v>100</v>
      </c>
      <c r="X15" s="1509"/>
      <c r="Y15" s="3463"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71"/>
      <c r="Q16" s="1506"/>
      <c r="R16" s="714"/>
      <c r="S16" s="715"/>
      <c r="T16" s="714"/>
      <c r="U16" s="715"/>
      <c r="V16" s="714"/>
      <c r="W16" s="715"/>
      <c r="X16" s="1509"/>
      <c r="Y16" s="3464"/>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71"/>
      <c r="Q17" s="1506" t="str">
        <f>B17</f>
        <v>交通便捷度</v>
      </c>
      <c r="R17" s="714" t="s">
        <v>21</v>
      </c>
      <c r="S17" s="715">
        <f>F17</f>
        <v>100</v>
      </c>
      <c r="T17" s="714" t="s">
        <v>21</v>
      </c>
      <c r="U17" s="715">
        <f>H17</f>
        <v>100</v>
      </c>
      <c r="V17" s="714" t="s">
        <v>21</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71"/>
      <c r="Q18" s="1506"/>
      <c r="R18" s="714"/>
      <c r="S18" s="715"/>
      <c r="T18" s="714"/>
      <c r="U18" s="715"/>
      <c r="V18" s="714"/>
      <c r="W18" s="715"/>
      <c r="X18" s="1509"/>
      <c r="Y18" s="3464"/>
      <c r="Z18" s="1510"/>
      <c r="AA18" s="1507">
        <v>1</v>
      </c>
      <c r="AB18" s="1507">
        <v>1</v>
      </c>
      <c r="AC18" s="1507">
        <v>1</v>
      </c>
    </row>
    <row r="19" spans="1:29" ht="41.4">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71"/>
      <c r="Q19" s="1506" t="str">
        <f>B19</f>
        <v>公共配套设施</v>
      </c>
      <c r="R19" s="714" t="s">
        <v>21</v>
      </c>
      <c r="S19" s="715">
        <f>F19</f>
        <v>100</v>
      </c>
      <c r="T19" s="714" t="s">
        <v>21</v>
      </c>
      <c r="U19" s="715">
        <f>H19</f>
        <v>100</v>
      </c>
      <c r="V19" s="714" t="s">
        <v>21</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71"/>
      <c r="Q20" s="1506"/>
      <c r="R20" s="714"/>
      <c r="S20" s="715"/>
      <c r="T20" s="714"/>
      <c r="U20" s="715"/>
      <c r="V20" s="714"/>
      <c r="W20" s="715"/>
      <c r="X20" s="1509"/>
      <c r="Y20" s="3464"/>
      <c r="Z20" s="1510"/>
      <c r="AA20" s="1507">
        <v>1</v>
      </c>
      <c r="AB20" s="1507">
        <v>1</v>
      </c>
      <c r="AC20" s="1507">
        <v>1</v>
      </c>
    </row>
    <row r="21" spans="1:29" ht="27.6">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71"/>
      <c r="Q22" s="1506"/>
      <c r="R22" s="714"/>
      <c r="S22" s="715"/>
      <c r="T22" s="714"/>
      <c r="U22" s="715"/>
      <c r="V22" s="714"/>
      <c r="W22" s="715"/>
      <c r="X22" s="1509"/>
      <c r="Y22" s="3464"/>
      <c r="Z22" s="1510"/>
      <c r="AA22" s="1507">
        <v>1</v>
      </c>
      <c r="AB22" s="1507">
        <v>1</v>
      </c>
      <c r="AC22" s="1507">
        <v>1</v>
      </c>
    </row>
    <row r="23" spans="1:29" ht="55.2">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71"/>
      <c r="Q23" s="1506" t="str">
        <f>B23</f>
        <v>自然及人文环境</v>
      </c>
      <c r="R23" s="714" t="s">
        <v>21</v>
      </c>
      <c r="S23" s="715">
        <f>F23</f>
        <v>100</v>
      </c>
      <c r="T23" s="714" t="s">
        <v>21</v>
      </c>
      <c r="U23" s="715">
        <f>H23</f>
        <v>100</v>
      </c>
      <c r="V23" s="714" t="s">
        <v>21</v>
      </c>
      <c r="W23" s="715">
        <f>J23</f>
        <v>100</v>
      </c>
      <c r="X23" s="1509"/>
      <c r="Y23" s="346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71"/>
      <c r="Q24" s="1506"/>
      <c r="R24" s="714"/>
      <c r="S24" s="715"/>
      <c r="T24" s="714"/>
      <c r="U24" s="715"/>
      <c r="V24" s="714"/>
      <c r="W24" s="715"/>
      <c r="X24" s="1509"/>
      <c r="Y24" s="3464"/>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7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71"/>
      <c r="Q26" s="1506" t="str">
        <f t="shared" si="11"/>
        <v>朝向</v>
      </c>
      <c r="R26" s="714" t="s">
        <v>21</v>
      </c>
      <c r="S26" s="715">
        <f t="shared" si="12"/>
        <v>100</v>
      </c>
      <c r="T26" s="714" t="s">
        <v>21</v>
      </c>
      <c r="U26" s="715">
        <f t="shared" si="13"/>
        <v>100</v>
      </c>
      <c r="V26" s="714" t="s">
        <v>21</v>
      </c>
      <c r="W26" s="715">
        <f t="shared" si="14"/>
        <v>100</v>
      </c>
      <c r="X26" s="1509"/>
      <c r="Y26" s="346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71"/>
      <c r="Q27" s="1497">
        <f t="shared" si="11"/>
        <v>111</v>
      </c>
      <c r="R27" s="710" t="s">
        <v>21</v>
      </c>
      <c r="S27" s="711">
        <f t="shared" si="12"/>
        <v>100</v>
      </c>
      <c r="T27" s="710" t="s">
        <v>21</v>
      </c>
      <c r="U27" s="711">
        <f t="shared" si="13"/>
        <v>100</v>
      </c>
      <c r="V27" s="710" t="s">
        <v>21</v>
      </c>
      <c r="W27" s="711">
        <f t="shared" si="14"/>
        <v>100</v>
      </c>
      <c r="X27" s="712"/>
      <c r="Y27" s="346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71"/>
      <c r="Q28" s="1506">
        <f t="shared" si="11"/>
        <v>111</v>
      </c>
      <c r="R28" s="714" t="s">
        <v>21</v>
      </c>
      <c r="S28" s="715">
        <f t="shared" si="12"/>
        <v>100</v>
      </c>
      <c r="T28" s="714" t="s">
        <v>21</v>
      </c>
      <c r="U28" s="715">
        <f t="shared" si="13"/>
        <v>100</v>
      </c>
      <c r="V28" s="714" t="s">
        <v>21</v>
      </c>
      <c r="W28" s="715">
        <f t="shared" si="14"/>
        <v>100</v>
      </c>
      <c r="X28" s="1509"/>
      <c r="Y28" s="346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71"/>
      <c r="Q29" s="1506">
        <f t="shared" si="11"/>
        <v>111</v>
      </c>
      <c r="R29" s="714" t="s">
        <v>21</v>
      </c>
      <c r="S29" s="715">
        <f t="shared" si="12"/>
        <v>100</v>
      </c>
      <c r="T29" s="714" t="s">
        <v>21</v>
      </c>
      <c r="U29" s="715">
        <f t="shared" si="13"/>
        <v>100</v>
      </c>
      <c r="V29" s="714" t="s">
        <v>21</v>
      </c>
      <c r="W29" s="715">
        <f t="shared" si="14"/>
        <v>100</v>
      </c>
      <c r="X29" s="1509"/>
      <c r="Y29" s="346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71"/>
      <c r="Q30" s="1506">
        <f t="shared" si="11"/>
        <v>111</v>
      </c>
      <c r="R30" s="714" t="s">
        <v>21</v>
      </c>
      <c r="S30" s="715">
        <f t="shared" si="12"/>
        <v>100</v>
      </c>
      <c r="T30" s="714" t="s">
        <v>21</v>
      </c>
      <c r="U30" s="715">
        <f t="shared" si="13"/>
        <v>100</v>
      </c>
      <c r="V30" s="714" t="s">
        <v>21</v>
      </c>
      <c r="W30" s="715">
        <f t="shared" si="14"/>
        <v>100</v>
      </c>
      <c r="X30" s="1509"/>
      <c r="Y30" s="3464"/>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71"/>
      <c r="Q31" s="1506">
        <f t="shared" si="11"/>
        <v>111</v>
      </c>
      <c r="R31" s="714" t="s">
        <v>21</v>
      </c>
      <c r="S31" s="715">
        <f t="shared" si="12"/>
        <v>100</v>
      </c>
      <c r="T31" s="714" t="s">
        <v>21</v>
      </c>
      <c r="U31" s="715">
        <f t="shared" si="13"/>
        <v>100</v>
      </c>
      <c r="V31" s="714" t="s">
        <v>21</v>
      </c>
      <c r="W31" s="715">
        <f t="shared" si="14"/>
        <v>100</v>
      </c>
      <c r="X31" s="1509"/>
      <c r="Y31" s="3464"/>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65" t="s">
        <v>2326</v>
      </c>
      <c r="Q32" s="1506" t="str">
        <f t="shared" si="11"/>
        <v>建筑类型</v>
      </c>
      <c r="R32" s="714" t="s">
        <v>21</v>
      </c>
      <c r="S32" s="715">
        <f t="shared" si="12"/>
        <v>100</v>
      </c>
      <c r="T32" s="714" t="s">
        <v>21</v>
      </c>
      <c r="U32" s="715">
        <f t="shared" si="13"/>
        <v>100</v>
      </c>
      <c r="V32" s="714" t="s">
        <v>21</v>
      </c>
      <c r="W32" s="715">
        <f t="shared" si="14"/>
        <v>100</v>
      </c>
      <c r="X32" s="1509"/>
      <c r="Y32" s="3468"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66"/>
      <c r="Q34" s="1506" t="str">
        <f t="shared" si="11"/>
        <v>建筑结构</v>
      </c>
      <c r="R34" s="714" t="s">
        <v>21</v>
      </c>
      <c r="S34" s="715">
        <f t="shared" si="12"/>
        <v>100</v>
      </c>
      <c r="T34" s="714" t="s">
        <v>21</v>
      </c>
      <c r="U34" s="715">
        <f t="shared" si="13"/>
        <v>100</v>
      </c>
      <c r="V34" s="714" t="s">
        <v>21</v>
      </c>
      <c r="W34" s="715">
        <f t="shared" si="14"/>
        <v>100</v>
      </c>
      <c r="X34" s="1509"/>
      <c r="Y34" s="3468"/>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66"/>
      <c r="Q35" s="1506" t="str">
        <f t="shared" si="11"/>
        <v>建筑品质</v>
      </c>
      <c r="R35" s="714" t="s">
        <v>21</v>
      </c>
      <c r="S35" s="715">
        <f t="shared" si="12"/>
        <v>100</v>
      </c>
      <c r="T35" s="714" t="s">
        <v>21</v>
      </c>
      <c r="U35" s="715">
        <f t="shared" si="13"/>
        <v>100</v>
      </c>
      <c r="V35" s="714" t="s">
        <v>21</v>
      </c>
      <c r="W35" s="715">
        <f t="shared" si="14"/>
        <v>100</v>
      </c>
      <c r="X35" s="1509"/>
      <c r="Y35" s="3468"/>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66"/>
      <c r="Q36" s="1506" t="str">
        <f t="shared" si="11"/>
        <v>公共部分装修</v>
      </c>
      <c r="R36" s="714" t="s">
        <v>21</v>
      </c>
      <c r="S36" s="715">
        <f t="shared" si="12"/>
        <v>100</v>
      </c>
      <c r="T36" s="714" t="s">
        <v>21</v>
      </c>
      <c r="U36" s="715">
        <f t="shared" si="13"/>
        <v>100</v>
      </c>
      <c r="V36" s="714" t="s">
        <v>21</v>
      </c>
      <c r="W36" s="715">
        <f t="shared" si="14"/>
        <v>100</v>
      </c>
      <c r="X36" s="1509"/>
      <c r="Y36" s="3468"/>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66"/>
      <c r="Q37" s="149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66" t="s">
        <v>2326</v>
      </c>
      <c r="Q38" s="1506" t="str">
        <f t="shared" si="11"/>
        <v>物业管理</v>
      </c>
      <c r="R38" s="714" t="s">
        <v>21</v>
      </c>
      <c r="S38" s="715">
        <f t="shared" si="12"/>
        <v>100</v>
      </c>
      <c r="T38" s="714" t="s">
        <v>21</v>
      </c>
      <c r="U38" s="715">
        <f t="shared" si="13"/>
        <v>100</v>
      </c>
      <c r="V38" s="714" t="s">
        <v>21</v>
      </c>
      <c r="W38" s="715">
        <f t="shared" si="14"/>
        <v>100</v>
      </c>
      <c r="X38" s="1509"/>
      <c r="Y38" s="3468"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66"/>
      <c r="Q39" s="1506" t="str">
        <f t="shared" si="11"/>
        <v>市政基础设施</v>
      </c>
      <c r="R39" s="714" t="s">
        <v>21</v>
      </c>
      <c r="S39" s="715">
        <f t="shared" si="12"/>
        <v>100</v>
      </c>
      <c r="T39" s="714" t="s">
        <v>21</v>
      </c>
      <c r="U39" s="715">
        <f t="shared" si="13"/>
        <v>100</v>
      </c>
      <c r="V39" s="714" t="s">
        <v>21</v>
      </c>
      <c r="W39" s="715">
        <f t="shared" si="14"/>
        <v>100</v>
      </c>
      <c r="X39" s="1509"/>
      <c r="Y39" s="3468"/>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66"/>
      <c r="Q40" s="1506" t="str">
        <f t="shared" si="11"/>
        <v>房型</v>
      </c>
      <c r="R40" s="714" t="s">
        <v>21</v>
      </c>
      <c r="S40" s="715">
        <f t="shared" si="12"/>
        <v>100</v>
      </c>
      <c r="T40" s="714" t="s">
        <v>21</v>
      </c>
      <c r="U40" s="715">
        <f t="shared" si="13"/>
        <v>100</v>
      </c>
      <c r="V40" s="714" t="s">
        <v>21</v>
      </c>
      <c r="W40" s="715">
        <f t="shared" si="14"/>
        <v>100</v>
      </c>
      <c r="X40" s="1509"/>
      <c r="Y40" s="3468"/>
      <c r="Z40" s="1510" t="str">
        <f t="shared" si="18"/>
        <v>房型</v>
      </c>
      <c r="AA40" s="1507">
        <f t="shared" si="15"/>
        <v>1</v>
      </c>
      <c r="AB40" s="1507">
        <f t="shared" si="16"/>
        <v>1</v>
      </c>
      <c r="AC40" s="1507">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66"/>
      <c r="Q42" s="1506" t="str">
        <f t="shared" si="11"/>
        <v>内部装修</v>
      </c>
      <c r="R42" s="714" t="s">
        <v>21</v>
      </c>
      <c r="S42" s="715">
        <f t="shared" si="12"/>
        <v>100</v>
      </c>
      <c r="T42" s="714" t="s">
        <v>21</v>
      </c>
      <c r="U42" s="715">
        <f t="shared" si="13"/>
        <v>100</v>
      </c>
      <c r="V42" s="714" t="s">
        <v>21</v>
      </c>
      <c r="W42" s="715">
        <f t="shared" si="14"/>
        <v>100</v>
      </c>
      <c r="X42" s="1509"/>
      <c r="Y42" s="3468"/>
      <c r="Z42" s="1510" t="str">
        <f t="shared" si="18"/>
        <v>内部装修</v>
      </c>
      <c r="AA42" s="1507">
        <f t="shared" si="15"/>
        <v>1</v>
      </c>
      <c r="AB42" s="1507">
        <f t="shared" si="16"/>
        <v>1</v>
      </c>
      <c r="AC42" s="1507">
        <f t="shared" si="17"/>
        <v>1</v>
      </c>
    </row>
    <row r="43" spans="1:29" ht="28.8">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66"/>
      <c r="Q43" s="1506" t="str">
        <f t="shared" si="11"/>
        <v>内部装修维护情况</v>
      </c>
      <c r="R43" s="714" t="s">
        <v>21</v>
      </c>
      <c r="S43" s="715">
        <f t="shared" si="12"/>
        <v>100</v>
      </c>
      <c r="T43" s="714" t="s">
        <v>21</v>
      </c>
      <c r="U43" s="715">
        <f t="shared" si="13"/>
        <v>100</v>
      </c>
      <c r="V43" s="714" t="s">
        <v>21</v>
      </c>
      <c r="W43" s="715">
        <f t="shared" si="14"/>
        <v>100</v>
      </c>
      <c r="X43" s="1509"/>
      <c r="Y43" s="346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66"/>
      <c r="Q44" s="149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66"/>
      <c r="Q45" s="1506">
        <f t="shared" si="11"/>
        <v>111</v>
      </c>
      <c r="R45" s="714" t="s">
        <v>21</v>
      </c>
      <c r="S45" s="715">
        <f t="shared" si="12"/>
        <v>100</v>
      </c>
      <c r="T45" s="714" t="s">
        <v>21</v>
      </c>
      <c r="U45" s="715">
        <f t="shared" si="13"/>
        <v>100</v>
      </c>
      <c r="V45" s="714" t="s">
        <v>21</v>
      </c>
      <c r="W45" s="715">
        <f t="shared" si="14"/>
        <v>100</v>
      </c>
      <c r="X45" s="1509"/>
      <c r="Y45" s="3468"/>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67"/>
      <c r="Q46" s="1506">
        <f t="shared" si="11"/>
        <v>111</v>
      </c>
      <c r="R46" s="714" t="s">
        <v>20</v>
      </c>
      <c r="S46" s="715">
        <f t="shared" si="12"/>
        <v>100</v>
      </c>
      <c r="T46" s="714" t="s">
        <v>20</v>
      </c>
      <c r="U46" s="715">
        <f t="shared" si="13"/>
        <v>100</v>
      </c>
      <c r="V46" s="714" t="s">
        <v>20</v>
      </c>
      <c r="W46" s="715">
        <f t="shared" si="14"/>
        <v>100</v>
      </c>
      <c r="X46" s="1509"/>
      <c r="Y46" s="3469"/>
      <c r="Z46" s="1510">
        <f t="shared" si="18"/>
        <v>111</v>
      </c>
      <c r="AA46" s="1507">
        <f t="shared" si="15"/>
        <v>1</v>
      </c>
      <c r="AB46" s="1507">
        <f t="shared" si="16"/>
        <v>1</v>
      </c>
      <c r="AC46" s="1507">
        <f t="shared" si="17"/>
        <v>1</v>
      </c>
    </row>
    <row r="47" spans="1:29" ht="14.4">
      <c r="A47" s="438" t="s">
        <v>2338</v>
      </c>
      <c r="B47" s="439"/>
      <c r="C47" s="1288" t="s">
        <v>19</v>
      </c>
      <c r="D47" s="1289"/>
      <c r="E47" s="1290"/>
      <c r="F47" s="1291"/>
      <c r="G47" s="1292"/>
      <c r="H47" s="1293"/>
      <c r="I47" s="1290"/>
      <c r="J47" s="1293"/>
      <c r="K47" s="2070"/>
      <c r="L47" s="2921"/>
      <c r="M47" s="2922"/>
      <c r="N47" s="2913"/>
      <c r="O47" s="2922"/>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 thickBot="1">
      <c r="A49" s="449" t="s">
        <v>2340</v>
      </c>
      <c r="B49" s="450"/>
      <c r="C49" s="1296" t="e">
        <f>R49</f>
        <v>#DIV/0!</v>
      </c>
      <c r="D49" s="1297"/>
      <c r="E49" s="1297"/>
      <c r="F49" s="1297"/>
      <c r="G49" s="1297"/>
      <c r="H49" s="1297"/>
      <c r="I49" s="1297"/>
      <c r="J49" s="1297"/>
      <c r="K49" s="2071"/>
      <c r="L49" s="2921"/>
      <c r="M49" s="2922"/>
      <c r="N49" s="2922"/>
      <c r="O49" s="2922"/>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2.2" thickBot="1">
      <c r="A57" s="703" t="s">
        <v>2344</v>
      </c>
      <c r="B57" s="699"/>
      <c r="C57" s="704"/>
      <c r="D57" s="704"/>
      <c r="E57" s="704"/>
      <c r="F57" s="705"/>
      <c r="G57" s="705"/>
      <c r="H57" s="704"/>
      <c r="I57" s="704"/>
      <c r="J57" s="704"/>
      <c r="K57" s="1072"/>
      <c r="L57" s="1073"/>
      <c r="M57" s="1071"/>
      <c r="N57" s="1071"/>
      <c r="O57" s="1071"/>
      <c r="P57" s="2074"/>
      <c r="Q57" s="461"/>
    </row>
    <row r="58" spans="1:29" s="465" customFormat="1" ht="14.4">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2346</v>
      </c>
      <c r="B60" s="473"/>
      <c r="C60" s="474"/>
      <c r="D60" s="475"/>
      <c r="E60" s="475"/>
      <c r="F60" s="475"/>
      <c r="G60" s="475"/>
      <c r="H60" s="475"/>
      <c r="I60" s="475"/>
      <c r="J60" s="475"/>
      <c r="K60" s="475"/>
      <c r="L60" s="475"/>
      <c r="M60" s="476"/>
      <c r="N60" s="475"/>
      <c r="O60" s="476"/>
      <c r="P60" s="2076"/>
      <c r="Q60" s="461"/>
    </row>
    <row r="61" spans="1:29" s="113" customFormat="1" ht="14.4">
      <c r="A61" s="478" t="s">
        <v>2347</v>
      </c>
      <c r="B61" s="467"/>
      <c r="C61" s="479" t="s">
        <v>2348</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2349</v>
      </c>
      <c r="B63" s="485" t="s">
        <v>2315</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2371</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2372</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2324</v>
      </c>
      <c r="B100" s="485" t="s">
        <v>2373</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6.2"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ht="14.4">
      <c r="B147" s="2085" t="s">
        <v>2401</v>
      </c>
    </row>
    <row r="148" spans="2:11" ht="14.4">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F1"/>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4.4">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56" t="s">
        <v>2409</v>
      </c>
      <c r="AC4" s="3426" t="s">
        <v>2410</v>
      </c>
    </row>
    <row r="5" spans="1:29">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56"/>
      <c r="AC5" s="3427"/>
    </row>
    <row r="6" spans="1:29" ht="1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56"/>
      <c r="AC6" s="3428"/>
    </row>
    <row r="7" spans="1:29" s="113" customFormat="1" ht="1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70" t="s">
        <v>2321</v>
      </c>
      <c r="Q15" s="1506" t="str">
        <f t="shared" si="6"/>
        <v>商业繁华度</v>
      </c>
      <c r="R15" s="714" t="s">
        <v>17</v>
      </c>
      <c r="S15" s="715">
        <f t="shared" si="0"/>
        <v>100</v>
      </c>
      <c r="T15" s="714" t="s">
        <v>17</v>
      </c>
      <c r="U15" s="715">
        <f t="shared" si="1"/>
        <v>100</v>
      </c>
      <c r="V15" s="714" t="s">
        <v>17</v>
      </c>
      <c r="W15" s="715">
        <f t="shared" si="2"/>
        <v>100</v>
      </c>
      <c r="X15" s="1509"/>
      <c r="Y15" s="346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71"/>
      <c r="Q16" s="1506"/>
      <c r="R16" s="714"/>
      <c r="S16" s="715"/>
      <c r="T16" s="714"/>
      <c r="U16" s="715"/>
      <c r="V16" s="714"/>
      <c r="W16" s="715"/>
      <c r="X16" s="1509"/>
      <c r="Y16" s="3464"/>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71"/>
      <c r="Q18" s="1506"/>
      <c r="R18" s="714"/>
      <c r="S18" s="715"/>
      <c r="T18" s="714"/>
      <c r="U18" s="715"/>
      <c r="V18" s="714"/>
      <c r="W18" s="715"/>
      <c r="X18" s="1509"/>
      <c r="Y18" s="3464"/>
      <c r="Z18" s="1510"/>
      <c r="AA18" s="1507">
        <v>1</v>
      </c>
      <c r="AB18" s="1507">
        <v>1</v>
      </c>
      <c r="AC18" s="1507">
        <v>1</v>
      </c>
    </row>
    <row r="19" spans="1:29" ht="41.4">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71"/>
      <c r="Q20" s="1506"/>
      <c r="R20" s="714"/>
      <c r="S20" s="715"/>
      <c r="T20" s="714"/>
      <c r="U20" s="715"/>
      <c r="V20" s="714"/>
      <c r="W20" s="715"/>
      <c r="X20" s="1509"/>
      <c r="Y20" s="3464"/>
      <c r="Z20" s="1510"/>
      <c r="AA20" s="1507">
        <v>1</v>
      </c>
      <c r="AB20" s="1507">
        <v>1</v>
      </c>
      <c r="AC20" s="1507">
        <v>1</v>
      </c>
    </row>
    <row r="21" spans="1:29" ht="27.6">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71"/>
      <c r="Q22" s="1506"/>
      <c r="R22" s="714"/>
      <c r="S22" s="715"/>
      <c r="T22" s="714"/>
      <c r="U22" s="715"/>
      <c r="V22" s="714"/>
      <c r="W22" s="715"/>
      <c r="X22" s="1509"/>
      <c r="Y22" s="3464"/>
      <c r="Z22" s="1510"/>
      <c r="AA22" s="1507">
        <v>1</v>
      </c>
      <c r="AB22" s="1507">
        <v>1</v>
      </c>
      <c r="AC22" s="1507">
        <v>1</v>
      </c>
    </row>
    <row r="23" spans="1:29" ht="55.2">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71"/>
      <c r="Q23" s="1506" t="str">
        <f>B23</f>
        <v>自然及人文环境</v>
      </c>
      <c r="R23" s="714" t="s">
        <v>17</v>
      </c>
      <c r="S23" s="715">
        <f>F23</f>
        <v>100</v>
      </c>
      <c r="T23" s="714" t="s">
        <v>17</v>
      </c>
      <c r="U23" s="715">
        <f>H23</f>
        <v>100</v>
      </c>
      <c r="V23" s="714" t="s">
        <v>17</v>
      </c>
      <c r="W23" s="715">
        <f>J23</f>
        <v>100</v>
      </c>
      <c r="X23" s="1509"/>
      <c r="Y23" s="346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71"/>
      <c r="Q24" s="1506"/>
      <c r="R24" s="714"/>
      <c r="S24" s="715"/>
      <c r="T24" s="714"/>
      <c r="U24" s="715"/>
      <c r="V24" s="714"/>
      <c r="W24" s="715"/>
      <c r="X24" s="1509"/>
      <c r="Y24" s="346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71"/>
      <c r="Q25" s="1506" t="str">
        <f t="shared" ref="Q25:Q46" si="11">B25</f>
        <v>临街状况</v>
      </c>
      <c r="R25" s="714" t="s">
        <v>17</v>
      </c>
      <c r="S25" s="715">
        <f>F25</f>
        <v>100</v>
      </c>
      <c r="T25" s="714" t="s">
        <v>17</v>
      </c>
      <c r="U25" s="715">
        <f>H25</f>
        <v>100</v>
      </c>
      <c r="V25" s="714" t="s">
        <v>17</v>
      </c>
      <c r="W25" s="715">
        <f>J25</f>
        <v>100</v>
      </c>
      <c r="X25" s="1509"/>
      <c r="Y25" s="346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71"/>
      <c r="Q26" s="1506" t="str">
        <f t="shared" si="11"/>
        <v>平面位置/可视性</v>
      </c>
      <c r="R26" s="714" t="s">
        <v>17</v>
      </c>
      <c r="S26" s="715">
        <f>F26</f>
        <v>100</v>
      </c>
      <c r="T26" s="714" t="s">
        <v>17</v>
      </c>
      <c r="U26" s="715">
        <f>H26</f>
        <v>100</v>
      </c>
      <c r="V26" s="714" t="s">
        <v>17</v>
      </c>
      <c r="W26" s="715">
        <f>J26</f>
        <v>100</v>
      </c>
      <c r="X26" s="1509"/>
      <c r="Y26" s="3464"/>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71"/>
      <c r="Q27" s="1497" t="str">
        <f t="shared" si="11"/>
        <v>人流量</v>
      </c>
      <c r="R27" s="710" t="s">
        <v>17</v>
      </c>
      <c r="S27" s="711">
        <f>F27</f>
        <v>100</v>
      </c>
      <c r="T27" s="710" t="s">
        <v>17</v>
      </c>
      <c r="U27" s="711">
        <f>H27</f>
        <v>100</v>
      </c>
      <c r="V27" s="710" t="s">
        <v>17</v>
      </c>
      <c r="W27" s="711">
        <f>J27</f>
        <v>100</v>
      </c>
      <c r="X27" s="712"/>
      <c r="Y27" s="346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7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71"/>
      <c r="Q29" s="1506">
        <f t="shared" si="11"/>
        <v>111</v>
      </c>
      <c r="R29" s="714" t="s">
        <v>17</v>
      </c>
      <c r="S29" s="715">
        <f t="shared" si="12"/>
        <v>100</v>
      </c>
      <c r="T29" s="714" t="s">
        <v>17</v>
      </c>
      <c r="U29" s="715">
        <f t="shared" si="13"/>
        <v>100</v>
      </c>
      <c r="V29" s="714" t="s">
        <v>17</v>
      </c>
      <c r="W29" s="715">
        <f t="shared" si="14"/>
        <v>100</v>
      </c>
      <c r="X29" s="1509"/>
      <c r="Y29" s="346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65" t="s">
        <v>2326</v>
      </c>
      <c r="Q32" s="1506" t="str">
        <f t="shared" si="11"/>
        <v>商业类型</v>
      </c>
      <c r="R32" s="714" t="s">
        <v>17</v>
      </c>
      <c r="S32" s="715">
        <f t="shared" si="12"/>
        <v>100</v>
      </c>
      <c r="T32" s="714" t="s">
        <v>17</v>
      </c>
      <c r="U32" s="715">
        <f t="shared" si="13"/>
        <v>100</v>
      </c>
      <c r="V32" s="714" t="s">
        <v>17</v>
      </c>
      <c r="W32" s="715">
        <f t="shared" si="14"/>
        <v>100</v>
      </c>
      <c r="X32" s="1509"/>
      <c r="Y32" s="3468"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66"/>
      <c r="Q34" s="1506" t="str">
        <f t="shared" si="11"/>
        <v>建筑结构</v>
      </c>
      <c r="R34" s="714" t="s">
        <v>17</v>
      </c>
      <c r="S34" s="715">
        <f t="shared" si="12"/>
        <v>100</v>
      </c>
      <c r="T34" s="714" t="s">
        <v>17</v>
      </c>
      <c r="U34" s="715">
        <f t="shared" si="13"/>
        <v>100</v>
      </c>
      <c r="V34" s="714" t="s">
        <v>17</v>
      </c>
      <c r="W34" s="715">
        <f t="shared" si="14"/>
        <v>100</v>
      </c>
      <c r="X34" s="1509"/>
      <c r="Y34" s="3468"/>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66"/>
      <c r="Q35" s="1506" t="str">
        <f t="shared" si="11"/>
        <v>公共部分装修</v>
      </c>
      <c r="R35" s="714" t="s">
        <v>17</v>
      </c>
      <c r="S35" s="715">
        <f t="shared" si="12"/>
        <v>100</v>
      </c>
      <c r="T35" s="714" t="s">
        <v>17</v>
      </c>
      <c r="U35" s="715">
        <f t="shared" si="13"/>
        <v>100</v>
      </c>
      <c r="V35" s="714" t="s">
        <v>17</v>
      </c>
      <c r="W35" s="715">
        <f t="shared" si="14"/>
        <v>100</v>
      </c>
      <c r="X35" s="1509"/>
      <c r="Y35" s="3468"/>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66"/>
      <c r="Q36" s="1506" t="str">
        <f t="shared" si="11"/>
        <v>成新度</v>
      </c>
      <c r="R36" s="714" t="s">
        <v>17</v>
      </c>
      <c r="S36" s="715" t="e">
        <f t="shared" si="12"/>
        <v>#N/A</v>
      </c>
      <c r="T36" s="714" t="s">
        <v>17</v>
      </c>
      <c r="U36" s="715" t="e">
        <f t="shared" si="13"/>
        <v>#N/A</v>
      </c>
      <c r="V36" s="714" t="s">
        <v>17</v>
      </c>
      <c r="W36" s="715" t="e">
        <f t="shared" si="14"/>
        <v>#N/A</v>
      </c>
      <c r="X36" s="1509"/>
      <c r="Y36" s="3468"/>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66"/>
      <c r="Q37" s="149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66" t="s">
        <v>2326</v>
      </c>
      <c r="Q38" s="1506" t="str">
        <f t="shared" si="11"/>
        <v>业态</v>
      </c>
      <c r="R38" s="714" t="s">
        <v>17</v>
      </c>
      <c r="S38" s="715">
        <f t="shared" si="12"/>
        <v>100</v>
      </c>
      <c r="T38" s="714" t="s">
        <v>17</v>
      </c>
      <c r="U38" s="715">
        <f t="shared" si="13"/>
        <v>100</v>
      </c>
      <c r="V38" s="714" t="s">
        <v>17</v>
      </c>
      <c r="W38" s="715">
        <f t="shared" si="14"/>
        <v>100</v>
      </c>
      <c r="X38" s="1509"/>
      <c r="Y38" s="3468"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66"/>
      <c r="Q39" s="1506" t="str">
        <f t="shared" si="11"/>
        <v>层高</v>
      </c>
      <c r="R39" s="714" t="s">
        <v>17</v>
      </c>
      <c r="S39" s="715">
        <f t="shared" si="12"/>
        <v>100</v>
      </c>
      <c r="T39" s="714" t="s">
        <v>17</v>
      </c>
      <c r="U39" s="715">
        <f t="shared" si="13"/>
        <v>100</v>
      </c>
      <c r="V39" s="714" t="s">
        <v>17</v>
      </c>
      <c r="W39" s="715">
        <f t="shared" si="14"/>
        <v>100</v>
      </c>
      <c r="X39" s="1509"/>
      <c r="Y39" s="3468"/>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66"/>
      <c r="Q40" s="1506" t="str">
        <f t="shared" si="11"/>
        <v>单套建筑面积</v>
      </c>
      <c r="R40" s="714" t="s">
        <v>17</v>
      </c>
      <c r="S40" s="715">
        <f t="shared" si="12"/>
        <v>100</v>
      </c>
      <c r="T40" s="714" t="s">
        <v>17</v>
      </c>
      <c r="U40" s="715">
        <f t="shared" si="13"/>
        <v>100</v>
      </c>
      <c r="V40" s="714" t="s">
        <v>17</v>
      </c>
      <c r="W40" s="715">
        <f t="shared" si="14"/>
        <v>100</v>
      </c>
      <c r="X40" s="1509"/>
      <c r="Y40" s="3468"/>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66"/>
      <c r="Q42" s="1506" t="str">
        <f t="shared" si="11"/>
        <v>内部装修</v>
      </c>
      <c r="R42" s="714" t="s">
        <v>17</v>
      </c>
      <c r="S42" s="715">
        <f t="shared" si="12"/>
        <v>100</v>
      </c>
      <c r="T42" s="714" t="s">
        <v>17</v>
      </c>
      <c r="U42" s="715">
        <f t="shared" si="13"/>
        <v>100</v>
      </c>
      <c r="V42" s="714" t="s">
        <v>17</v>
      </c>
      <c r="W42" s="715">
        <f t="shared" si="14"/>
        <v>100</v>
      </c>
      <c r="X42" s="1509"/>
      <c r="Y42" s="3468"/>
      <c r="Z42" s="1510" t="str">
        <f t="shared" si="15"/>
        <v>内部装修</v>
      </c>
      <c r="AA42" s="1507">
        <f t="shared" si="3"/>
        <v>1</v>
      </c>
      <c r="AB42" s="1507">
        <f t="shared" si="4"/>
        <v>1</v>
      </c>
      <c r="AC42" s="1507">
        <f t="shared" si="5"/>
        <v>1</v>
      </c>
    </row>
    <row r="43" spans="1:29" ht="28.8">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66"/>
      <c r="Q43" s="1506" t="str">
        <f t="shared" si="11"/>
        <v>内部装修维护情况</v>
      </c>
      <c r="R43" s="714" t="s">
        <v>17</v>
      </c>
      <c r="S43" s="715">
        <f t="shared" si="12"/>
        <v>100</v>
      </c>
      <c r="T43" s="714" t="s">
        <v>17</v>
      </c>
      <c r="U43" s="715">
        <f t="shared" si="13"/>
        <v>100</v>
      </c>
      <c r="V43" s="714" t="s">
        <v>17</v>
      </c>
      <c r="W43" s="715">
        <f t="shared" si="14"/>
        <v>100</v>
      </c>
      <c r="X43" s="1509"/>
      <c r="Y43" s="346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66"/>
      <c r="Q44" s="149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66"/>
      <c r="Q45" s="1506">
        <f t="shared" si="11"/>
        <v>111</v>
      </c>
      <c r="R45" s="714" t="s">
        <v>17</v>
      </c>
      <c r="S45" s="715">
        <f t="shared" si="12"/>
        <v>100</v>
      </c>
      <c r="T45" s="714" t="s">
        <v>17</v>
      </c>
      <c r="U45" s="715">
        <f t="shared" si="13"/>
        <v>100</v>
      </c>
      <c r="V45" s="714" t="s">
        <v>17</v>
      </c>
      <c r="W45" s="715">
        <f t="shared" si="14"/>
        <v>100</v>
      </c>
      <c r="X45" s="1509"/>
      <c r="Y45" s="3468"/>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1507">
        <f t="shared" si="5"/>
        <v>1</v>
      </c>
    </row>
    <row r="47" spans="1:29" ht="14.4">
      <c r="A47" s="438" t="s">
        <v>2338</v>
      </c>
      <c r="B47" s="439"/>
      <c r="C47" s="1288" t="s">
        <v>1</v>
      </c>
      <c r="D47" s="1289"/>
      <c r="E47" s="1290"/>
      <c r="F47" s="1291"/>
      <c r="G47" s="1292"/>
      <c r="H47" s="1293"/>
      <c r="I47" s="1290"/>
      <c r="J47" s="1293"/>
      <c r="K47" s="723"/>
      <c r="L47" s="2921"/>
      <c r="M47" s="2922"/>
      <c r="N47" s="2913"/>
      <c r="O47" s="2922"/>
      <c r="P47" s="3461" t="str">
        <f>A47</f>
        <v>成交单价（元/平方米）</v>
      </c>
      <c r="Q47" s="3461"/>
      <c r="R47" s="3456">
        <f>E47</f>
        <v>0</v>
      </c>
      <c r="S47" s="3456"/>
      <c r="T47" s="3456">
        <f>G47</f>
        <v>0</v>
      </c>
      <c r="U47" s="3456"/>
      <c r="V47" s="3456">
        <f>I47</f>
        <v>0</v>
      </c>
      <c r="W47" s="3456"/>
      <c r="X47" s="699"/>
      <c r="Y47" s="721"/>
      <c r="Z47" s="699"/>
      <c r="AA47" s="699"/>
      <c r="AB47" s="699"/>
      <c r="AC47" s="699"/>
    </row>
    <row r="48" spans="1:29" ht="1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 thickBot="1">
      <c r="A49" s="449" t="s">
        <v>2431</v>
      </c>
      <c r="B49" s="450"/>
      <c r="C49" s="1297" t="e">
        <f>R49</f>
        <v>#DIV/0!</v>
      </c>
      <c r="D49" s="1297"/>
      <c r="E49" s="1297"/>
      <c r="F49" s="1297"/>
      <c r="G49" s="1297"/>
      <c r="H49" s="1297"/>
      <c r="I49" s="1297"/>
      <c r="J49" s="1297"/>
      <c r="K49" s="724"/>
      <c r="L49" s="2921"/>
      <c r="M49" s="2922"/>
      <c r="N49" s="2913"/>
      <c r="O49" s="2922"/>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2.2"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4.4">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7"/>
      <c r="Q58" s="2938"/>
      <c r="R58" s="2938"/>
      <c r="S58" s="2938"/>
      <c r="T58" s="2938"/>
      <c r="U58" s="2938"/>
      <c r="V58" s="2938"/>
      <c r="W58" s="2938"/>
      <c r="X58" s="2938"/>
      <c r="Y58" s="2938"/>
      <c r="Z58" s="2938"/>
      <c r="AA58" s="2938"/>
      <c r="AB58" s="2938"/>
      <c r="AC58" s="2938"/>
    </row>
    <row r="59" spans="1:29" s="113" customFormat="1">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4.4">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4.4"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ht="14.4">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4.4"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4.4"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4.4"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4.4"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4.4"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4.4"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4.4"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ht="14.4">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4.4"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4.4"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4.4"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4.4"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4.4"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4.4"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4.4"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4.4"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4.4"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4.4"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4.4"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ht="14.4">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4.4"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4.4"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4.4"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4.4"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4.4"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4.4"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4.4"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4.4"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4.4">
      <c r="A4" s="361" t="s">
        <v>2406</v>
      </c>
      <c r="B4" s="362"/>
      <c r="C4" s="3444" t="s">
        <v>2407</v>
      </c>
      <c r="D4" s="3445"/>
      <c r="E4" s="3446" t="s">
        <v>2408</v>
      </c>
      <c r="F4" s="3447"/>
      <c r="G4" s="3444" t="s">
        <v>2409</v>
      </c>
      <c r="H4" s="3445"/>
      <c r="I4" s="3444" t="s">
        <v>2410</v>
      </c>
      <c r="J4" s="3445"/>
      <c r="K4" s="567" t="s">
        <v>2411</v>
      </c>
      <c r="L4" s="2912"/>
      <c r="M4" s="2913"/>
      <c r="N4" s="2913"/>
      <c r="O4" s="2913"/>
      <c r="P4" s="3478" t="s">
        <v>2412</v>
      </c>
      <c r="Q4" s="3479"/>
      <c r="R4" s="3473" t="s">
        <v>2408</v>
      </c>
      <c r="S4" s="3474"/>
      <c r="T4" s="3473" t="s">
        <v>2409</v>
      </c>
      <c r="U4" s="3474"/>
      <c r="V4" s="3482" t="s">
        <v>2410</v>
      </c>
      <c r="W4" s="3482"/>
      <c r="X4" s="2114"/>
      <c r="Y4" s="3473" t="s">
        <v>2412</v>
      </c>
      <c r="Z4" s="3474"/>
      <c r="AA4" s="3472" t="s">
        <v>2408</v>
      </c>
      <c r="AB4" s="3472" t="s">
        <v>2409</v>
      </c>
      <c r="AC4" s="3475" t="s">
        <v>2410</v>
      </c>
    </row>
    <row r="5" spans="1:29">
      <c r="A5" s="364"/>
      <c r="B5" s="365"/>
      <c r="C5" s="3437" t="s">
        <v>2303</v>
      </c>
      <c r="D5" s="3438"/>
      <c r="E5" s="3435" t="s">
        <v>2304</v>
      </c>
      <c r="F5" s="3436"/>
      <c r="G5" s="3437" t="s">
        <v>2305</v>
      </c>
      <c r="H5" s="3438"/>
      <c r="I5" s="3437" t="s">
        <v>2306</v>
      </c>
      <c r="J5" s="3438"/>
      <c r="K5" s="567"/>
      <c r="L5" s="2912"/>
      <c r="M5" s="2913"/>
      <c r="N5" s="2913"/>
      <c r="O5" s="2913"/>
      <c r="P5" s="3480"/>
      <c r="Q5" s="3451"/>
      <c r="R5" s="3433"/>
      <c r="S5" s="3434"/>
      <c r="T5" s="3433"/>
      <c r="U5" s="3434"/>
      <c r="V5" s="3456"/>
      <c r="W5" s="3456"/>
      <c r="X5" s="1509"/>
      <c r="Y5" s="3433"/>
      <c r="Z5" s="3434"/>
      <c r="AA5" s="3427"/>
      <c r="AB5" s="3427"/>
      <c r="AC5" s="3476"/>
    </row>
    <row r="6" spans="1:29" ht="15" thickBot="1">
      <c r="A6" s="366"/>
      <c r="B6" s="367"/>
      <c r="C6" s="3439" t="s">
        <v>2307</v>
      </c>
      <c r="D6" s="3440"/>
      <c r="E6" s="3441" t="s">
        <v>2307</v>
      </c>
      <c r="F6" s="3442"/>
      <c r="G6" s="3439" t="s">
        <v>2307</v>
      </c>
      <c r="H6" s="3440"/>
      <c r="I6" s="3439" t="s">
        <v>2307</v>
      </c>
      <c r="J6" s="3440"/>
      <c r="K6" s="567" t="s">
        <v>2308</v>
      </c>
      <c r="L6" s="2912"/>
      <c r="M6" s="2913"/>
      <c r="N6" s="2913"/>
      <c r="O6" s="2913"/>
      <c r="P6" s="3481"/>
      <c r="Q6" s="3453"/>
      <c r="R6" s="3433"/>
      <c r="S6" s="3434"/>
      <c r="T6" s="3454"/>
      <c r="U6" s="3455"/>
      <c r="V6" s="3456"/>
      <c r="W6" s="3456"/>
      <c r="X6" s="1509"/>
      <c r="Y6" s="3454"/>
      <c r="Z6" s="3455"/>
      <c r="AA6" s="3428"/>
      <c r="AB6" s="3428"/>
      <c r="AC6" s="3477"/>
    </row>
    <row r="7" spans="1:29" s="113" customFormat="1" ht="1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3"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2115"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3" t="s">
        <v>2313</v>
      </c>
      <c r="Q8" s="3430"/>
      <c r="R8" s="710" t="s">
        <v>17</v>
      </c>
      <c r="S8" s="711">
        <f t="shared" si="0"/>
        <v>0</v>
      </c>
      <c r="T8" s="710" t="s">
        <v>17</v>
      </c>
      <c r="U8" s="711">
        <f t="shared" si="1"/>
        <v>0</v>
      </c>
      <c r="V8" s="710" t="s">
        <v>17</v>
      </c>
      <c r="W8" s="711">
        <f t="shared" si="2"/>
        <v>0</v>
      </c>
      <c r="X8" s="712"/>
      <c r="Y8" s="3429" t="s">
        <v>2313</v>
      </c>
      <c r="Z8" s="3430"/>
      <c r="AA8" s="713" t="e">
        <f t="shared" ref="AA8:AA47" si="3">D8/F8</f>
        <v>#DIV/0!</v>
      </c>
      <c r="AB8" s="713" t="e">
        <f t="shared" ref="AB8:AB47" si="4">D8/H8</f>
        <v>#DIV/0!</v>
      </c>
      <c r="AC8" s="2115"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2115">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115">
        <f t="shared" si="5"/>
        <v>1</v>
      </c>
    </row>
    <row r="15" spans="1:29" ht="69">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70" t="s">
        <v>2321</v>
      </c>
      <c r="Q15" s="1506" t="str">
        <f t="shared" si="6"/>
        <v>办公集聚程度</v>
      </c>
      <c r="R15" s="714" t="s">
        <v>17</v>
      </c>
      <c r="S15" s="715">
        <f t="shared" si="0"/>
        <v>100</v>
      </c>
      <c r="T15" s="714" t="s">
        <v>17</v>
      </c>
      <c r="U15" s="715">
        <f t="shared" si="1"/>
        <v>100</v>
      </c>
      <c r="V15" s="714" t="s">
        <v>17</v>
      </c>
      <c r="W15" s="715">
        <f t="shared" si="2"/>
        <v>100</v>
      </c>
      <c r="X15" s="1509"/>
      <c r="Y15" s="3463"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71"/>
      <c r="Q16" s="1506"/>
      <c r="R16" s="714"/>
      <c r="S16" s="715"/>
      <c r="T16" s="714"/>
      <c r="U16" s="715"/>
      <c r="V16" s="714"/>
      <c r="W16" s="715"/>
      <c r="X16" s="1509"/>
      <c r="Y16" s="3464"/>
      <c r="Z16" s="1510"/>
      <c r="AA16" s="1507">
        <v>1</v>
      </c>
      <c r="AB16" s="1507">
        <v>1</v>
      </c>
      <c r="AC16" s="2118">
        <v>1</v>
      </c>
    </row>
    <row r="17" spans="1:29" ht="82.8">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71"/>
      <c r="Q18" s="1506"/>
      <c r="R18" s="714"/>
      <c r="S18" s="715"/>
      <c r="T18" s="714"/>
      <c r="U18" s="715"/>
      <c r="V18" s="714"/>
      <c r="W18" s="715"/>
      <c r="X18" s="1509"/>
      <c r="Y18" s="3464"/>
      <c r="Z18" s="1510"/>
      <c r="AA18" s="1507">
        <v>1</v>
      </c>
      <c r="AB18" s="1507">
        <v>1</v>
      </c>
      <c r="AC18" s="2118">
        <v>1</v>
      </c>
    </row>
    <row r="19" spans="1:29" ht="41.4">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71"/>
      <c r="Q20" s="1506"/>
      <c r="R20" s="714"/>
      <c r="S20" s="715"/>
      <c r="T20" s="714"/>
      <c r="U20" s="715"/>
      <c r="V20" s="714"/>
      <c r="W20" s="715"/>
      <c r="X20" s="1509"/>
      <c r="Y20" s="3464"/>
      <c r="Z20" s="1510"/>
      <c r="AA20" s="1507">
        <v>1</v>
      </c>
      <c r="AB20" s="1507">
        <v>1</v>
      </c>
      <c r="AC20" s="2118">
        <v>1</v>
      </c>
    </row>
    <row r="21" spans="1:29" ht="27.6">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71"/>
      <c r="Q22" s="1506"/>
      <c r="R22" s="714"/>
      <c r="S22" s="715"/>
      <c r="T22" s="714"/>
      <c r="U22" s="715"/>
      <c r="V22" s="714"/>
      <c r="W22" s="715"/>
      <c r="X22" s="1509"/>
      <c r="Y22" s="3464"/>
      <c r="Z22" s="1510"/>
      <c r="AA22" s="1507">
        <v>1</v>
      </c>
      <c r="AB22" s="1507">
        <v>1</v>
      </c>
      <c r="AC22" s="2118">
        <v>1</v>
      </c>
    </row>
    <row r="23" spans="1:29" ht="55.2">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71"/>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71"/>
      <c r="Q24" s="1506"/>
      <c r="R24" s="714"/>
      <c r="S24" s="715"/>
      <c r="T24" s="714"/>
      <c r="U24" s="715"/>
      <c r="V24" s="714"/>
      <c r="W24" s="715"/>
      <c r="X24" s="1509"/>
      <c r="Y24" s="3464"/>
      <c r="Z24" s="1510"/>
      <c r="AA24" s="1507">
        <v>1</v>
      </c>
      <c r="AB24" s="1507">
        <v>1</v>
      </c>
      <c r="AC24" s="2118">
        <v>1</v>
      </c>
    </row>
    <row r="25" spans="1:29" ht="28.8">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71"/>
      <c r="Q25" s="1506" t="str">
        <f>B25</f>
        <v>毗邻道路的类型与等级</v>
      </c>
      <c r="R25" s="714" t="s">
        <v>17</v>
      </c>
      <c r="S25" s="715">
        <f>F25</f>
        <v>100</v>
      </c>
      <c r="T25" s="714" t="s">
        <v>17</v>
      </c>
      <c r="U25" s="715">
        <f>H25</f>
        <v>100</v>
      </c>
      <c r="V25" s="714" t="s">
        <v>17</v>
      </c>
      <c r="W25" s="715">
        <f>J25</f>
        <v>100</v>
      </c>
      <c r="X25" s="1509"/>
      <c r="Y25" s="346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71"/>
      <c r="Q26" s="1506"/>
      <c r="R26" s="714"/>
      <c r="S26" s="715"/>
      <c r="T26" s="714"/>
      <c r="U26" s="715"/>
      <c r="V26" s="714"/>
      <c r="W26" s="715"/>
      <c r="X26" s="1509"/>
      <c r="Y26" s="3464"/>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71"/>
      <c r="Q27" s="1506" t="str">
        <f t="shared" ref="Q27:Q47" si="11">B27</f>
        <v>楼层</v>
      </c>
      <c r="R27" s="714" t="s">
        <v>17</v>
      </c>
      <c r="S27" s="715">
        <f>F27</f>
        <v>100</v>
      </c>
      <c r="T27" s="714" t="s">
        <v>17</v>
      </c>
      <c r="U27" s="715">
        <f>H27</f>
        <v>100</v>
      </c>
      <c r="V27" s="714" t="s">
        <v>17</v>
      </c>
      <c r="W27" s="715">
        <f>J27</f>
        <v>100</v>
      </c>
      <c r="X27" s="1509"/>
      <c r="Y27" s="3464"/>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71"/>
      <c r="Q28" s="1497" t="str">
        <f t="shared" si="11"/>
        <v>朝向</v>
      </c>
      <c r="R28" s="710" t="s">
        <v>17</v>
      </c>
      <c r="S28" s="711">
        <f>F28</f>
        <v>100</v>
      </c>
      <c r="T28" s="710" t="s">
        <v>17</v>
      </c>
      <c r="U28" s="711">
        <f>H28</f>
        <v>100</v>
      </c>
      <c r="V28" s="710" t="s">
        <v>17</v>
      </c>
      <c r="W28" s="711">
        <f>J28</f>
        <v>100</v>
      </c>
      <c r="X28" s="712"/>
      <c r="Y28" s="346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71"/>
      <c r="Q29" s="1506">
        <f t="shared" si="11"/>
        <v>111</v>
      </c>
      <c r="R29" s="714" t="s">
        <v>17</v>
      </c>
      <c r="S29" s="715">
        <f t="shared" ref="S29:S47" si="12">F29</f>
        <v>100</v>
      </c>
      <c r="T29" s="714" t="s">
        <v>17</v>
      </c>
      <c r="U29" s="715">
        <f t="shared" ref="U29:U47" si="13">H29</f>
        <v>100</v>
      </c>
      <c r="V29" s="714" t="s">
        <v>17</v>
      </c>
      <c r="W29" s="715">
        <f t="shared" ref="W29:W47" si="14">J29</f>
        <v>100</v>
      </c>
      <c r="X29" s="1509"/>
      <c r="Y29" s="346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71"/>
      <c r="Q32" s="1506">
        <f t="shared" si="11"/>
        <v>111</v>
      </c>
      <c r="R32" s="714" t="s">
        <v>17</v>
      </c>
      <c r="S32" s="715">
        <f t="shared" si="12"/>
        <v>100</v>
      </c>
      <c r="T32" s="714" t="s">
        <v>17</v>
      </c>
      <c r="U32" s="715">
        <f t="shared" si="13"/>
        <v>100</v>
      </c>
      <c r="V32" s="714" t="s">
        <v>17</v>
      </c>
      <c r="W32" s="715">
        <f t="shared" si="14"/>
        <v>100</v>
      </c>
      <c r="X32" s="1509"/>
      <c r="Y32" s="3464"/>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65" t="s">
        <v>2326</v>
      </c>
      <c r="Q33" s="1506" t="str">
        <f t="shared" si="11"/>
        <v>建筑类型</v>
      </c>
      <c r="R33" s="714" t="s">
        <v>17</v>
      </c>
      <c r="S33" s="715">
        <f t="shared" si="12"/>
        <v>100</v>
      </c>
      <c r="T33" s="714" t="s">
        <v>17</v>
      </c>
      <c r="U33" s="715">
        <f t="shared" si="13"/>
        <v>100</v>
      </c>
      <c r="V33" s="714" t="s">
        <v>17</v>
      </c>
      <c r="W33" s="715">
        <f t="shared" si="14"/>
        <v>100</v>
      </c>
      <c r="X33" s="1509"/>
      <c r="Y33" s="3468"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66"/>
      <c r="Q35" s="1506" t="str">
        <f t="shared" si="11"/>
        <v>建筑结构</v>
      </c>
      <c r="R35" s="714" t="s">
        <v>17</v>
      </c>
      <c r="S35" s="715">
        <f t="shared" si="12"/>
        <v>100</v>
      </c>
      <c r="T35" s="714" t="s">
        <v>17</v>
      </c>
      <c r="U35" s="715">
        <f t="shared" si="13"/>
        <v>100</v>
      </c>
      <c r="V35" s="714" t="s">
        <v>17</v>
      </c>
      <c r="W35" s="715">
        <f t="shared" si="14"/>
        <v>100</v>
      </c>
      <c r="X35" s="1509"/>
      <c r="Y35" s="3468"/>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66"/>
      <c r="Q36" s="1506" t="str">
        <f t="shared" si="11"/>
        <v>公共部分装修</v>
      </c>
      <c r="R36" s="714" t="s">
        <v>17</v>
      </c>
      <c r="S36" s="715">
        <f t="shared" si="12"/>
        <v>100</v>
      </c>
      <c r="T36" s="714" t="s">
        <v>17</v>
      </c>
      <c r="U36" s="715">
        <f t="shared" si="13"/>
        <v>100</v>
      </c>
      <c r="V36" s="714" t="s">
        <v>17</v>
      </c>
      <c r="W36" s="715">
        <f t="shared" si="14"/>
        <v>100</v>
      </c>
      <c r="X36" s="1509"/>
      <c r="Y36" s="3468"/>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66"/>
      <c r="Q37" s="1506" t="str">
        <f t="shared" si="11"/>
        <v>成新度</v>
      </c>
      <c r="R37" s="714" t="s">
        <v>17</v>
      </c>
      <c r="S37" s="715" t="e">
        <f t="shared" si="12"/>
        <v>#N/A</v>
      </c>
      <c r="T37" s="714" t="s">
        <v>17</v>
      </c>
      <c r="U37" s="715" t="e">
        <f t="shared" si="13"/>
        <v>#N/A</v>
      </c>
      <c r="V37" s="714" t="s">
        <v>17</v>
      </c>
      <c r="W37" s="715" t="e">
        <f t="shared" si="14"/>
        <v>#N/A</v>
      </c>
      <c r="X37" s="1509"/>
      <c r="Y37" s="3468"/>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66"/>
      <c r="Q38" s="149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66" t="s">
        <v>2326</v>
      </c>
      <c r="Q39" s="1506" t="str">
        <f t="shared" si="11"/>
        <v>物业管理</v>
      </c>
      <c r="R39" s="714" t="s">
        <v>17</v>
      </c>
      <c r="S39" s="715">
        <f t="shared" si="12"/>
        <v>100</v>
      </c>
      <c r="T39" s="714" t="s">
        <v>17</v>
      </c>
      <c r="U39" s="715">
        <f t="shared" si="13"/>
        <v>100</v>
      </c>
      <c r="V39" s="714" t="s">
        <v>17</v>
      </c>
      <c r="W39" s="715">
        <f t="shared" si="14"/>
        <v>100</v>
      </c>
      <c r="X39" s="1509"/>
      <c r="Y39" s="3468"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66"/>
      <c r="Q40" s="1506" t="str">
        <f t="shared" si="11"/>
        <v>市政基础设施</v>
      </c>
      <c r="R40" s="714" t="s">
        <v>17</v>
      </c>
      <c r="S40" s="715">
        <f t="shared" si="12"/>
        <v>100</v>
      </c>
      <c r="T40" s="714" t="s">
        <v>17</v>
      </c>
      <c r="U40" s="715">
        <f t="shared" si="13"/>
        <v>100</v>
      </c>
      <c r="V40" s="714" t="s">
        <v>17</v>
      </c>
      <c r="W40" s="715">
        <f t="shared" si="14"/>
        <v>100</v>
      </c>
      <c r="X40" s="1509"/>
      <c r="Y40" s="3468"/>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66"/>
      <c r="Q41" s="1506" t="str">
        <f t="shared" si="11"/>
        <v>层高</v>
      </c>
      <c r="R41" s="714" t="s">
        <v>17</v>
      </c>
      <c r="S41" s="715">
        <f t="shared" si="12"/>
        <v>100</v>
      </c>
      <c r="T41" s="714" t="s">
        <v>17</v>
      </c>
      <c r="U41" s="715">
        <f t="shared" si="13"/>
        <v>100</v>
      </c>
      <c r="V41" s="714" t="s">
        <v>17</v>
      </c>
      <c r="W41" s="715">
        <f t="shared" si="14"/>
        <v>100</v>
      </c>
      <c r="X41" s="1509"/>
      <c r="Y41" s="3468"/>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66"/>
      <c r="Q43" s="1506" t="str">
        <f t="shared" si="11"/>
        <v>内部装修</v>
      </c>
      <c r="R43" s="714" t="s">
        <v>17</v>
      </c>
      <c r="S43" s="715">
        <f t="shared" si="12"/>
        <v>100</v>
      </c>
      <c r="T43" s="714" t="s">
        <v>17</v>
      </c>
      <c r="U43" s="715">
        <f t="shared" si="13"/>
        <v>100</v>
      </c>
      <c r="V43" s="714" t="s">
        <v>17</v>
      </c>
      <c r="W43" s="715">
        <f t="shared" si="14"/>
        <v>100</v>
      </c>
      <c r="X43" s="1509"/>
      <c r="Y43" s="3468"/>
      <c r="Z43" s="1510" t="str">
        <f t="shared" si="15"/>
        <v>内部装修</v>
      </c>
      <c r="AA43" s="1507">
        <f t="shared" si="3"/>
        <v>1</v>
      </c>
      <c r="AB43" s="1507">
        <f t="shared" si="4"/>
        <v>1</v>
      </c>
      <c r="AC43" s="2118">
        <f t="shared" si="5"/>
        <v>1</v>
      </c>
    </row>
    <row r="44" spans="1:29" ht="28.8">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66"/>
      <c r="Q44" s="1506" t="str">
        <f t="shared" si="11"/>
        <v>内部装修维护情况</v>
      </c>
      <c r="R44" s="714" t="s">
        <v>17</v>
      </c>
      <c r="S44" s="715">
        <f t="shared" si="12"/>
        <v>100</v>
      </c>
      <c r="T44" s="714" t="s">
        <v>17</v>
      </c>
      <c r="U44" s="715">
        <f t="shared" si="13"/>
        <v>100</v>
      </c>
      <c r="V44" s="714" t="s">
        <v>17</v>
      </c>
      <c r="W44" s="715">
        <f t="shared" si="14"/>
        <v>100</v>
      </c>
      <c r="X44" s="1509"/>
      <c r="Y44" s="346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66"/>
      <c r="Q45" s="149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67"/>
      <c r="Q47" s="1506">
        <f t="shared" si="11"/>
        <v>111</v>
      </c>
      <c r="R47" s="714" t="s">
        <v>17</v>
      </c>
      <c r="S47" s="715">
        <f t="shared" si="12"/>
        <v>100</v>
      </c>
      <c r="T47" s="714" t="s">
        <v>17</v>
      </c>
      <c r="U47" s="715">
        <f t="shared" si="13"/>
        <v>100</v>
      </c>
      <c r="V47" s="714" t="s">
        <v>17</v>
      </c>
      <c r="W47" s="715">
        <f t="shared" si="14"/>
        <v>100</v>
      </c>
      <c r="X47" s="1509"/>
      <c r="Y47" s="3469"/>
      <c r="Z47" s="1510">
        <f t="shared" si="15"/>
        <v>111</v>
      </c>
      <c r="AA47" s="1507">
        <f t="shared" si="3"/>
        <v>1</v>
      </c>
      <c r="AB47" s="1507">
        <f t="shared" si="4"/>
        <v>1</v>
      </c>
      <c r="AC47" s="2118">
        <f t="shared" si="5"/>
        <v>1</v>
      </c>
    </row>
    <row r="48" spans="1:29" ht="14.4">
      <c r="A48" s="438" t="s">
        <v>2338</v>
      </c>
      <c r="B48" s="439"/>
      <c r="C48" s="1288" t="s">
        <v>1</v>
      </c>
      <c r="D48" s="1289"/>
      <c r="E48" s="1290"/>
      <c r="F48" s="1291"/>
      <c r="G48" s="1292"/>
      <c r="H48" s="1293"/>
      <c r="I48" s="1290"/>
      <c r="J48" s="444"/>
      <c r="K48" s="723"/>
      <c r="L48" s="2921"/>
      <c r="M48" s="2913"/>
      <c r="N48" s="2913"/>
      <c r="O48" s="2913"/>
      <c r="P48" s="3443" t="str">
        <f>A48</f>
        <v>成交单价（元/平方米）</v>
      </c>
      <c r="Q48" s="3461"/>
      <c r="R48" s="3462">
        <f>E48</f>
        <v>0</v>
      </c>
      <c r="S48" s="3462"/>
      <c r="T48" s="3462">
        <f>G48</f>
        <v>0</v>
      </c>
      <c r="U48" s="3462"/>
      <c r="V48" s="3462">
        <f>I48</f>
        <v>0</v>
      </c>
      <c r="W48" s="3462"/>
      <c r="X48" s="405"/>
      <c r="Y48" s="721"/>
      <c r="Z48" s="405"/>
      <c r="AA48" s="405"/>
      <c r="AB48" s="405"/>
      <c r="AC48" s="586"/>
    </row>
    <row r="49" spans="1:29" ht="1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3"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 thickBot="1">
      <c r="A50" s="449" t="s">
        <v>2431</v>
      </c>
      <c r="B50" s="450"/>
      <c r="C50" s="1297" t="e">
        <f>R50</f>
        <v>#DIV/0!</v>
      </c>
      <c r="D50" s="1297"/>
      <c r="E50" s="1297"/>
      <c r="F50" s="1297"/>
      <c r="G50" s="1297"/>
      <c r="H50" s="1297"/>
      <c r="I50" s="1297"/>
      <c r="J50" s="451"/>
      <c r="K50" s="724"/>
      <c r="L50" s="2921"/>
      <c r="M50" s="2913"/>
      <c r="N50" s="2913"/>
      <c r="O50" s="2913"/>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2.2"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4.4">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6"/>
      <c r="Q59" s="2938"/>
      <c r="R59" s="2938"/>
      <c r="S59" s="2938"/>
      <c r="T59" s="2938"/>
      <c r="U59" s="2938"/>
      <c r="V59" s="2938"/>
      <c r="W59" s="2938"/>
      <c r="X59" s="2938"/>
      <c r="Y59" s="2938"/>
      <c r="Z59" s="2938"/>
      <c r="AA59" s="2938"/>
      <c r="AB59" s="2938"/>
      <c r="AC59" s="2938"/>
    </row>
    <row r="60" spans="1:29" s="113" customFormat="1">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4.4">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4.4"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ht="14.4">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4.4"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4.4"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4.4"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4.4"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4.4"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4.4"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4.4"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ht="14.4">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9.4"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4.4"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4.4"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4.4"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4.4"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4.4"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4.4"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4.4"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4.4"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ht="14.4">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4.4"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4.4"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4.4"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4.4"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4.4"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4.4"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4.4"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4.4"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9321.1299999999992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444" t="s">
        <v>2407</v>
      </c>
      <c r="D4" s="3445"/>
      <c r="E4" s="3446" t="s">
        <v>2408</v>
      </c>
      <c r="F4" s="3447"/>
      <c r="G4" s="3444" t="s">
        <v>2409</v>
      </c>
      <c r="H4" s="3445"/>
      <c r="I4" s="3444" t="s">
        <v>2410</v>
      </c>
      <c r="J4" s="3445"/>
      <c r="K4" s="567" t="s">
        <v>2411</v>
      </c>
      <c r="L4" s="1044"/>
      <c r="M4" s="1045"/>
      <c r="N4" s="1045"/>
      <c r="O4" s="1045"/>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c r="A5" s="364"/>
      <c r="B5" s="365"/>
      <c r="C5" s="3437" t="s">
        <v>2303</v>
      </c>
      <c r="D5" s="3438"/>
      <c r="E5" s="3435" t="s">
        <v>2304</v>
      </c>
      <c r="F5" s="3436"/>
      <c r="G5" s="3437" t="s">
        <v>2305</v>
      </c>
      <c r="H5" s="3438"/>
      <c r="I5" s="3437" t="s">
        <v>2306</v>
      </c>
      <c r="J5" s="3438"/>
      <c r="K5" s="567"/>
      <c r="L5" s="1044"/>
      <c r="M5" s="1045"/>
      <c r="N5" s="1045"/>
      <c r="O5" s="1045"/>
      <c r="P5" s="3450"/>
      <c r="Q5" s="3451"/>
      <c r="R5" s="3433"/>
      <c r="S5" s="3434"/>
      <c r="T5" s="3433"/>
      <c r="U5" s="3434"/>
      <c r="V5" s="3456"/>
      <c r="W5" s="3456"/>
      <c r="X5" s="1509"/>
      <c r="Y5" s="3433"/>
      <c r="Z5" s="3434"/>
      <c r="AA5" s="3427"/>
      <c r="AB5" s="3427"/>
      <c r="AC5" s="3427"/>
    </row>
    <row r="6" spans="1:29" ht="15" thickBot="1">
      <c r="A6" s="366"/>
      <c r="B6" s="367"/>
      <c r="C6" s="3439" t="s">
        <v>2307</v>
      </c>
      <c r="D6" s="3440"/>
      <c r="E6" s="3441" t="s">
        <v>2307</v>
      </c>
      <c r="F6" s="3442"/>
      <c r="G6" s="3439" t="s">
        <v>2307</v>
      </c>
      <c r="H6" s="3440"/>
      <c r="I6" s="3439" t="s">
        <v>2307</v>
      </c>
      <c r="J6" s="3440"/>
      <c r="K6" s="567" t="s">
        <v>2308</v>
      </c>
      <c r="L6" s="1044"/>
      <c r="M6" s="1045"/>
      <c r="N6" s="1045"/>
      <c r="O6" s="1045"/>
      <c r="P6" s="3452"/>
      <c r="Q6" s="3453"/>
      <c r="R6" s="3433"/>
      <c r="S6" s="3434"/>
      <c r="T6" s="3454"/>
      <c r="U6" s="3455"/>
      <c r="V6" s="3456"/>
      <c r="W6" s="3456"/>
      <c r="X6" s="1509"/>
      <c r="Y6" s="3454"/>
      <c r="Z6" s="3455"/>
      <c r="AA6" s="3428"/>
      <c r="AB6" s="3428"/>
      <c r="AC6" s="3428"/>
    </row>
    <row r="7" spans="1:29" s="113" customFormat="1" ht="1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9" t="s">
        <v>2313</v>
      </c>
      <c r="Q8" s="3430"/>
      <c r="R8" s="710" t="s">
        <v>17</v>
      </c>
      <c r="S8" s="711">
        <f t="shared" si="0"/>
        <v>0</v>
      </c>
      <c r="T8" s="710" t="s">
        <v>17</v>
      </c>
      <c r="U8" s="711">
        <f t="shared" si="1"/>
        <v>0</v>
      </c>
      <c r="V8" s="710" t="s">
        <v>17</v>
      </c>
      <c r="W8" s="711">
        <f t="shared" si="2"/>
        <v>0</v>
      </c>
      <c r="X8" s="712"/>
      <c r="Y8" s="3429" t="s">
        <v>2313</v>
      </c>
      <c r="Z8" s="3430"/>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3" t="s">
        <v>2321</v>
      </c>
      <c r="Q15" s="1506" t="str">
        <f t="shared" si="6"/>
        <v>产业集聚程度</v>
      </c>
      <c r="R15" s="714" t="s">
        <v>17</v>
      </c>
      <c r="S15" s="715">
        <f t="shared" si="0"/>
        <v>100</v>
      </c>
      <c r="T15" s="714" t="s">
        <v>17</v>
      </c>
      <c r="U15" s="715">
        <f t="shared" si="1"/>
        <v>100</v>
      </c>
      <c r="V15" s="714" t="s">
        <v>17</v>
      </c>
      <c r="W15" s="715">
        <f t="shared" si="2"/>
        <v>100</v>
      </c>
      <c r="X15" s="1509"/>
      <c r="Y15" s="346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4"/>
      <c r="Q16" s="1506"/>
      <c r="R16" s="714"/>
      <c r="S16" s="715"/>
      <c r="T16" s="714"/>
      <c r="U16" s="715"/>
      <c r="V16" s="714"/>
      <c r="W16" s="715"/>
      <c r="X16" s="1509"/>
      <c r="Y16" s="3464"/>
      <c r="Z16" s="1510"/>
      <c r="AA16" s="1507">
        <v>1</v>
      </c>
      <c r="AB16" s="1507">
        <v>1</v>
      </c>
      <c r="AC16" s="1507">
        <v>1</v>
      </c>
    </row>
    <row r="17" spans="1:29" ht="96.6">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4"/>
      <c r="Q18" s="1506"/>
      <c r="R18" s="714"/>
      <c r="S18" s="715"/>
      <c r="T18" s="714"/>
      <c r="U18" s="715"/>
      <c r="V18" s="714"/>
      <c r="W18" s="715"/>
      <c r="X18" s="1509"/>
      <c r="Y18" s="3464"/>
      <c r="Z18" s="1510"/>
      <c r="AA18" s="1507">
        <v>1</v>
      </c>
      <c r="AB18" s="1507">
        <v>1</v>
      </c>
      <c r="AC18" s="1507">
        <v>1</v>
      </c>
    </row>
    <row r="19" spans="1:29" ht="41.4">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4"/>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4"/>
      <c r="Q20" s="1506"/>
      <c r="R20" s="714"/>
      <c r="S20" s="715"/>
      <c r="T20" s="714"/>
      <c r="U20" s="715"/>
      <c r="V20" s="714"/>
      <c r="W20" s="715"/>
      <c r="X20" s="1509"/>
      <c r="Y20" s="3464"/>
      <c r="Z20" s="1510"/>
      <c r="AA20" s="1507">
        <v>1</v>
      </c>
      <c r="AB20" s="1507">
        <v>1</v>
      </c>
      <c r="AC20" s="1507">
        <v>1</v>
      </c>
    </row>
    <row r="21" spans="1:29" ht="41.4">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4"/>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4"/>
      <c r="Q22" s="1506"/>
      <c r="R22" s="714"/>
      <c r="S22" s="715"/>
      <c r="T22" s="714"/>
      <c r="U22" s="715"/>
      <c r="V22" s="714"/>
      <c r="W22" s="715"/>
      <c r="X22" s="1509"/>
      <c r="Y22" s="3464"/>
      <c r="Z22" s="1510"/>
      <c r="AA22" s="1507">
        <v>1</v>
      </c>
      <c r="AB22" s="1507">
        <v>1</v>
      </c>
      <c r="AC22" s="1507">
        <v>1</v>
      </c>
    </row>
    <row r="23" spans="1:29" ht="82.8">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4"/>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4"/>
      <c r="Q24" s="1506"/>
      <c r="R24" s="714"/>
      <c r="S24" s="715"/>
      <c r="T24" s="714"/>
      <c r="U24" s="715"/>
      <c r="V24" s="714"/>
      <c r="W24" s="715"/>
      <c r="X24" s="1509"/>
      <c r="Y24" s="346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4"/>
      <c r="Q25" s="1506">
        <f>B25</f>
        <v>111</v>
      </c>
      <c r="R25" s="714" t="s">
        <v>17</v>
      </c>
      <c r="S25" s="715">
        <f>F25</f>
        <v>100</v>
      </c>
      <c r="T25" s="714" t="s">
        <v>17</v>
      </c>
      <c r="U25" s="715">
        <f>H25</f>
        <v>100</v>
      </c>
      <c r="V25" s="714" t="s">
        <v>17</v>
      </c>
      <c r="W25" s="715">
        <f>J25</f>
        <v>100</v>
      </c>
      <c r="X25" s="1509"/>
      <c r="Y25" s="346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4"/>
      <c r="Q26" s="1506">
        <f t="shared" ref="Q26:Q40" si="11">B26</f>
        <v>111</v>
      </c>
      <c r="R26" s="714" t="s">
        <v>17</v>
      </c>
      <c r="S26" s="715">
        <f>F26</f>
        <v>100</v>
      </c>
      <c r="T26" s="714" t="s">
        <v>17</v>
      </c>
      <c r="U26" s="715">
        <f>H26</f>
        <v>100</v>
      </c>
      <c r="V26" s="714" t="s">
        <v>17</v>
      </c>
      <c r="W26" s="715">
        <f>J26</f>
        <v>100</v>
      </c>
      <c r="X26" s="1509"/>
      <c r="Y26" s="346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4"/>
      <c r="Q27" s="1497">
        <f t="shared" si="11"/>
        <v>111</v>
      </c>
      <c r="R27" s="710" t="s">
        <v>17</v>
      </c>
      <c r="S27" s="711">
        <f>F27</f>
        <v>100</v>
      </c>
      <c r="T27" s="710" t="s">
        <v>17</v>
      </c>
      <c r="U27" s="711">
        <f>H27</f>
        <v>100</v>
      </c>
      <c r="V27" s="710" t="s">
        <v>17</v>
      </c>
      <c r="W27" s="711">
        <f>J27</f>
        <v>100</v>
      </c>
      <c r="X27" s="712"/>
      <c r="Y27" s="3464"/>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4"/>
      <c r="Q28" s="1506">
        <f t="shared" si="11"/>
        <v>111</v>
      </c>
      <c r="R28" s="714" t="s">
        <v>17</v>
      </c>
      <c r="S28" s="715">
        <f t="shared" ref="S28:S40" si="12">F28</f>
        <v>100</v>
      </c>
      <c r="T28" s="714" t="s">
        <v>17</v>
      </c>
      <c r="U28" s="715">
        <f t="shared" ref="U28:U40" si="13">H28</f>
        <v>100</v>
      </c>
      <c r="V28" s="714" t="s">
        <v>17</v>
      </c>
      <c r="W28" s="715">
        <f t="shared" ref="W28:W40" si="14">J28</f>
        <v>100</v>
      </c>
      <c r="X28" s="1509"/>
      <c r="Y28" s="3464"/>
      <c r="Z28" s="1510">
        <f t="shared" ref="Z28:Z40" si="15">Q28</f>
        <v>111</v>
      </c>
      <c r="AA28" s="1507">
        <f t="shared" si="3"/>
        <v>1</v>
      </c>
      <c r="AB28" s="1507">
        <f t="shared" si="4"/>
        <v>1</v>
      </c>
      <c r="AC28" s="1507">
        <f t="shared" si="5"/>
        <v>1</v>
      </c>
    </row>
    <row r="29" spans="1:29" ht="30">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7" t="s">
        <v>2326</v>
      </c>
      <c r="Q29" s="1506" t="str">
        <f t="shared" si="11"/>
        <v>建筑类型</v>
      </c>
      <c r="R29" s="714" t="s">
        <v>17</v>
      </c>
      <c r="S29" s="715">
        <f t="shared" si="12"/>
        <v>100</v>
      </c>
      <c r="T29" s="714" t="s">
        <v>17</v>
      </c>
      <c r="U29" s="715">
        <f t="shared" si="13"/>
        <v>100</v>
      </c>
      <c r="V29" s="714" t="s">
        <v>17</v>
      </c>
      <c r="W29" s="715">
        <f t="shared" si="14"/>
        <v>100</v>
      </c>
      <c r="X29" s="1509"/>
      <c r="Y29" s="3468"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8"/>
      <c r="Q31" s="1506" t="str">
        <f t="shared" si="11"/>
        <v>建筑结构</v>
      </c>
      <c r="R31" s="714" t="s">
        <v>17</v>
      </c>
      <c r="S31" s="715">
        <f t="shared" si="12"/>
        <v>100</v>
      </c>
      <c r="T31" s="714" t="s">
        <v>17</v>
      </c>
      <c r="U31" s="715">
        <f t="shared" si="13"/>
        <v>100</v>
      </c>
      <c r="V31" s="714" t="s">
        <v>17</v>
      </c>
      <c r="W31" s="715">
        <f t="shared" si="14"/>
        <v>100</v>
      </c>
      <c r="X31" s="1509"/>
      <c r="Y31" s="3468"/>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8"/>
      <c r="Q32" s="1506" t="str">
        <f t="shared" si="11"/>
        <v>公共部分装修</v>
      </c>
      <c r="R32" s="714" t="s">
        <v>17</v>
      </c>
      <c r="S32" s="715">
        <f t="shared" si="12"/>
        <v>100</v>
      </c>
      <c r="T32" s="714" t="s">
        <v>17</v>
      </c>
      <c r="U32" s="715">
        <f t="shared" si="13"/>
        <v>100</v>
      </c>
      <c r="V32" s="714" t="s">
        <v>17</v>
      </c>
      <c r="W32" s="715">
        <f t="shared" si="14"/>
        <v>100</v>
      </c>
      <c r="X32" s="1509"/>
      <c r="Y32" s="3468"/>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8"/>
      <c r="Q33" s="1506" t="str">
        <f t="shared" si="11"/>
        <v>成新度</v>
      </c>
      <c r="R33" s="714" t="s">
        <v>17</v>
      </c>
      <c r="S33" s="715" t="e">
        <f t="shared" si="12"/>
        <v>#N/A</v>
      </c>
      <c r="T33" s="714" t="s">
        <v>17</v>
      </c>
      <c r="U33" s="715" t="e">
        <f t="shared" si="13"/>
        <v>#N/A</v>
      </c>
      <c r="V33" s="714" t="s">
        <v>17</v>
      </c>
      <c r="W33" s="715" t="e">
        <f t="shared" si="14"/>
        <v>#N/A</v>
      </c>
      <c r="X33" s="1509"/>
      <c r="Y33" s="3468"/>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8"/>
      <c r="Q34" s="149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8" t="s">
        <v>2326</v>
      </c>
      <c r="Q35" s="1506" t="str">
        <f t="shared" si="11"/>
        <v>市政基础设施</v>
      </c>
      <c r="R35" s="714" t="s">
        <v>17</v>
      </c>
      <c r="S35" s="715">
        <f t="shared" si="12"/>
        <v>100</v>
      </c>
      <c r="T35" s="714" t="s">
        <v>17</v>
      </c>
      <c r="U35" s="715">
        <f t="shared" si="13"/>
        <v>100</v>
      </c>
      <c r="V35" s="714" t="s">
        <v>17</v>
      </c>
      <c r="W35" s="715">
        <f t="shared" si="14"/>
        <v>100</v>
      </c>
      <c r="X35" s="1509"/>
      <c r="Y35" s="3468"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8"/>
      <c r="Q36" s="1506" t="str">
        <f t="shared" si="11"/>
        <v>内部装修</v>
      </c>
      <c r="R36" s="714" t="s">
        <v>17</v>
      </c>
      <c r="S36" s="715">
        <f t="shared" si="12"/>
        <v>100</v>
      </c>
      <c r="T36" s="714" t="s">
        <v>17</v>
      </c>
      <c r="U36" s="715">
        <f t="shared" si="13"/>
        <v>100</v>
      </c>
      <c r="V36" s="714" t="s">
        <v>17</v>
      </c>
      <c r="W36" s="715">
        <f t="shared" si="14"/>
        <v>100</v>
      </c>
      <c r="X36" s="1509"/>
      <c r="Y36" s="3468"/>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8"/>
      <c r="Q37" s="1506" t="str">
        <f t="shared" si="11"/>
        <v>内部装修状况</v>
      </c>
      <c r="R37" s="714" t="s">
        <v>17</v>
      </c>
      <c r="S37" s="715">
        <f t="shared" si="12"/>
        <v>100</v>
      </c>
      <c r="T37" s="714" t="s">
        <v>17</v>
      </c>
      <c r="U37" s="715">
        <f t="shared" si="13"/>
        <v>100</v>
      </c>
      <c r="V37" s="714" t="s">
        <v>17</v>
      </c>
      <c r="W37" s="715">
        <f t="shared" si="14"/>
        <v>100</v>
      </c>
      <c r="X37" s="1509"/>
      <c r="Y37" s="346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8"/>
      <c r="Q39" s="1506">
        <f t="shared" si="11"/>
        <v>111</v>
      </c>
      <c r="R39" s="714" t="s">
        <v>17</v>
      </c>
      <c r="S39" s="715">
        <f t="shared" si="12"/>
        <v>100</v>
      </c>
      <c r="T39" s="714" t="s">
        <v>17</v>
      </c>
      <c r="U39" s="715">
        <f t="shared" si="13"/>
        <v>100</v>
      </c>
      <c r="V39" s="714" t="s">
        <v>17</v>
      </c>
      <c r="W39" s="715">
        <f t="shared" si="14"/>
        <v>100</v>
      </c>
      <c r="X39" s="1509"/>
      <c r="Y39" s="3468"/>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9"/>
      <c r="Q40" s="1506">
        <f t="shared" si="11"/>
        <v>111</v>
      </c>
      <c r="R40" s="714" t="s">
        <v>17</v>
      </c>
      <c r="S40" s="715">
        <f t="shared" si="12"/>
        <v>100</v>
      </c>
      <c r="T40" s="714" t="s">
        <v>17</v>
      </c>
      <c r="U40" s="715">
        <f t="shared" si="13"/>
        <v>100</v>
      </c>
      <c r="V40" s="714" t="s">
        <v>17</v>
      </c>
      <c r="W40" s="715">
        <f t="shared" si="14"/>
        <v>100</v>
      </c>
      <c r="X40" s="1509"/>
      <c r="Y40" s="3469"/>
      <c r="Z40" s="1510">
        <f t="shared" si="15"/>
        <v>111</v>
      </c>
      <c r="AA40" s="1507">
        <f t="shared" si="3"/>
        <v>1</v>
      </c>
      <c r="AB40" s="1507">
        <f t="shared" si="4"/>
        <v>1</v>
      </c>
      <c r="AC40" s="1507">
        <f t="shared" si="5"/>
        <v>1</v>
      </c>
    </row>
    <row r="41" spans="1:29" ht="14.4">
      <c r="A41" s="438" t="s">
        <v>2338</v>
      </c>
      <c r="B41" s="439"/>
      <c r="C41" s="1288" t="s">
        <v>1</v>
      </c>
      <c r="D41" s="1289"/>
      <c r="E41" s="1290"/>
      <c r="F41" s="1291"/>
      <c r="G41" s="1292"/>
      <c r="H41" s="1293"/>
      <c r="I41" s="1290"/>
      <c r="J41" s="1293"/>
      <c r="K41" s="723"/>
      <c r="L41" s="1057"/>
      <c r="M41" s="1058"/>
      <c r="N41" s="1045"/>
      <c r="O41" s="1058"/>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 thickBot="1">
      <c r="A43" s="449" t="s">
        <v>2431</v>
      </c>
      <c r="B43" s="450"/>
      <c r="C43" s="1297" t="e">
        <f>R43</f>
        <v>#DIV/0!</v>
      </c>
      <c r="D43" s="1297"/>
      <c r="E43" s="1297"/>
      <c r="F43" s="1297"/>
      <c r="G43" s="1297"/>
      <c r="H43" s="1297"/>
      <c r="I43" s="1297"/>
      <c r="J43" s="1297"/>
      <c r="K43" s="724"/>
      <c r="L43" s="1057"/>
      <c r="M43" s="1058"/>
      <c r="N43" s="1058"/>
      <c r="O43" s="1058"/>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7"/>
      <c r="O54" s="2968"/>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1516</v>
      </c>
    </row>
    <row r="2" spans="1:1">
      <c r="A2" s="1633"/>
    </row>
    <row r="3" spans="1:1" ht="17.399999999999999">
      <c r="A3" s="1634" t="str">
        <f>项目基本情况!B5&amp;"："</f>
        <v>北京科华微电子材料有限公司：</v>
      </c>
    </row>
    <row r="4" spans="1:1" ht="34.799999999999997">
      <c r="A4" s="1635" t="str">
        <f>"受贵公司委托，我公司对"&amp;项目基本情况!S1&amp;"进行了预评估。"</f>
        <v>受贵公司委托，我公司对北京市顺义区竺园路4号1幢1至2层101房地产抵押价值进行了预评估。</v>
      </c>
    </row>
    <row r="5" spans="1:1" ht="17.399999999999999">
      <c r="A5" s="1636" t="s">
        <v>1517</v>
      </c>
    </row>
    <row r="6" spans="1:1" ht="17.399999999999999">
      <c r="A6" s="1637" t="s">
        <v>1518</v>
      </c>
    </row>
    <row r="7" spans="1:1" ht="69.59999999999999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4号1幢1至2层101房地产，为北京科华微电子材料有限公司所有。根据《国有土地使用证》[]，估价对象（分摊）出让国有建设用地使用权面积为16308.9平方米，建筑面积为9321.13平方米。</v>
      </c>
    </row>
    <row r="8" spans="1:1" ht="54.6">
      <c r="A8" s="1638" t="s">
        <v>1519</v>
      </c>
    </row>
    <row r="9" spans="1:1" ht="17.399999999999999">
      <c r="A9" s="1637" t="s">
        <v>1520</v>
      </c>
    </row>
    <row r="10" spans="1:1" ht="69.59999999999999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1" spans="1:1" ht="72">
      <c r="A11" s="1638" t="s">
        <v>1521</v>
      </c>
    </row>
    <row r="12" spans="1:1" ht="17.399999999999999">
      <c r="A12" s="1636" t="s">
        <v>1522</v>
      </c>
    </row>
    <row r="13" spans="1:1" ht="38.25" customHeight="1">
      <c r="A13" s="1639" t="str">
        <f>IF(项目基本情况!B8="抵押",IF(项目基本情况!B5=项目基本情况!B6,定义!C51,定义!B51),定义!D51)</f>
        <v>为估价委托人在向招行办理贷款手续过程中，确定房地产抵押贷款额度提供参考依据而评估房地产抵押价值。</v>
      </c>
    </row>
    <row r="14" spans="1:1" ht="17.399999999999999">
      <c r="A14" s="1640" t="s">
        <v>1523</v>
      </c>
    </row>
    <row r="15" spans="1:1" ht="17.399999999999999">
      <c r="A15" s="1641" t="str">
        <f>TEXT(项目基本情况!D3,"yyyy年m月d日;;")&amp;IF(项目基本情况!D3=项目基本情况!B3,"（评估专业人员实地查勘之日）","")</f>
        <v>2022年4月12日</v>
      </c>
    </row>
    <row r="16" spans="1:1" ht="17.399999999999999">
      <c r="A16" s="1640" t="s">
        <v>1524</v>
      </c>
    </row>
    <row r="17" spans="1:1" ht="69.599999999999994">
      <c r="A17" s="1635" t="s">
        <v>1525</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40" t="s">
        <v>1514</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4.4">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29" t="s">
        <v>2310</v>
      </c>
      <c r="Q7" s="3457"/>
      <c r="R7" s="710" t="s">
        <v>17</v>
      </c>
      <c r="S7" s="711">
        <f t="shared" ref="S7:S14" si="0">F7</f>
        <v>0</v>
      </c>
      <c r="T7" s="710" t="s">
        <v>17</v>
      </c>
      <c r="U7" s="711">
        <f t="shared" ref="U7:U14" si="1">H7</f>
        <v>0</v>
      </c>
      <c r="V7" s="710" t="s">
        <v>17</v>
      </c>
      <c r="W7" s="711">
        <f t="shared" ref="W7:W14" si="2">J7</f>
        <v>0</v>
      </c>
      <c r="X7" s="712"/>
      <c r="Y7" s="3429" t="s">
        <v>2310</v>
      </c>
      <c r="Z7" s="3430"/>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61"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61"/>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96.6">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63" t="s">
        <v>2321</v>
      </c>
      <c r="Q14" s="1506" t="str">
        <f t="shared" si="6"/>
        <v>交通便捷度</v>
      </c>
      <c r="R14" s="714" t="s">
        <v>17</v>
      </c>
      <c r="S14" s="715">
        <f t="shared" si="0"/>
        <v>100</v>
      </c>
      <c r="T14" s="714" t="s">
        <v>17</v>
      </c>
      <c r="U14" s="715">
        <f t="shared" si="1"/>
        <v>100</v>
      </c>
      <c r="V14" s="714" t="s">
        <v>17</v>
      </c>
      <c r="W14" s="715">
        <f t="shared" si="2"/>
        <v>100</v>
      </c>
      <c r="X14" s="1509"/>
      <c r="Y14" s="346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64"/>
      <c r="Q15" s="1506"/>
      <c r="R15" s="714"/>
      <c r="S15" s="715"/>
      <c r="T15" s="714"/>
      <c r="U15" s="715"/>
      <c r="V15" s="714"/>
      <c r="W15" s="715"/>
      <c r="X15" s="1509"/>
      <c r="Y15" s="3464"/>
      <c r="Z15" s="1510"/>
      <c r="AA15" s="1507">
        <v>1</v>
      </c>
      <c r="AB15" s="1507">
        <v>1</v>
      </c>
      <c r="AC15" s="1507">
        <v>1</v>
      </c>
    </row>
    <row r="16" spans="1:29" ht="41.4">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64"/>
      <c r="Q17" s="1506"/>
      <c r="R17" s="714"/>
      <c r="S17" s="715"/>
      <c r="T17" s="714"/>
      <c r="U17" s="715"/>
      <c r="V17" s="714"/>
      <c r="W17" s="715"/>
      <c r="X17" s="1509"/>
      <c r="Y17" s="3464"/>
      <c r="Z17" s="1510"/>
      <c r="AA17" s="1507">
        <v>1</v>
      </c>
      <c r="AB17" s="1507">
        <v>1</v>
      </c>
      <c r="AC17" s="1507">
        <v>1</v>
      </c>
    </row>
    <row r="18" spans="1:29" ht="41.4">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64"/>
      <c r="Q19" s="1506"/>
      <c r="R19" s="714"/>
      <c r="S19" s="715"/>
      <c r="T19" s="714"/>
      <c r="U19" s="715"/>
      <c r="V19" s="714"/>
      <c r="W19" s="715"/>
      <c r="X19" s="1509"/>
      <c r="Y19" s="3464"/>
      <c r="Z19" s="1510"/>
      <c r="AA19" s="1507">
        <v>1</v>
      </c>
      <c r="AB19" s="1507">
        <v>1</v>
      </c>
      <c r="AC19" s="1507">
        <v>1</v>
      </c>
    </row>
    <row r="20" spans="1:29" ht="55.2">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64"/>
      <c r="Q21" s="1506"/>
      <c r="R21" s="714"/>
      <c r="S21" s="715"/>
      <c r="T21" s="714"/>
      <c r="U21" s="715"/>
      <c r="V21" s="714"/>
      <c r="W21" s="715"/>
      <c r="X21" s="1509"/>
      <c r="Y21" s="346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64"/>
      <c r="Q24" s="1506">
        <f t="shared" ref="Q24:Q36"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30">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8"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68"/>
      <c r="Q28" s="1506" t="str">
        <f t="shared" si="11"/>
        <v>公共部分装修</v>
      </c>
      <c r="R28" s="714" t="s">
        <v>17</v>
      </c>
      <c r="S28" s="715">
        <f t="shared" si="12"/>
        <v>100</v>
      </c>
      <c r="T28" s="714" t="s">
        <v>17</v>
      </c>
      <c r="U28" s="715">
        <f t="shared" si="13"/>
        <v>100</v>
      </c>
      <c r="V28" s="714" t="s">
        <v>17</v>
      </c>
      <c r="W28" s="715">
        <f t="shared" si="14"/>
        <v>100</v>
      </c>
      <c r="X28" s="1509"/>
      <c r="Y28" s="3468"/>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68"/>
      <c r="Q29" s="1506" t="str">
        <f t="shared" si="11"/>
        <v>成新率</v>
      </c>
      <c r="R29" s="714" t="s">
        <v>17</v>
      </c>
      <c r="S29" s="715" t="e">
        <f t="shared" si="12"/>
        <v>#N/A</v>
      </c>
      <c r="T29" s="714" t="s">
        <v>17</v>
      </c>
      <c r="U29" s="715" t="e">
        <f t="shared" si="13"/>
        <v>#N/A</v>
      </c>
      <c r="V29" s="714" t="s">
        <v>17</v>
      </c>
      <c r="W29" s="715" t="e">
        <f t="shared" si="14"/>
        <v>#N/A</v>
      </c>
      <c r="X29" s="1509"/>
      <c r="Y29" s="3468"/>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68"/>
      <c r="Q30" s="1506" t="str">
        <f t="shared" si="11"/>
        <v>物业等级</v>
      </c>
      <c r="R30" s="714" t="s">
        <v>17</v>
      </c>
      <c r="S30" s="715">
        <f t="shared" si="12"/>
        <v>100</v>
      </c>
      <c r="T30" s="714" t="s">
        <v>17</v>
      </c>
      <c r="U30" s="715">
        <f t="shared" si="13"/>
        <v>100</v>
      </c>
      <c r="V30" s="714" t="s">
        <v>17</v>
      </c>
      <c r="W30" s="715">
        <f t="shared" si="14"/>
        <v>100</v>
      </c>
      <c r="X30" s="1509"/>
      <c r="Y30" s="3468"/>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68"/>
      <c r="Q31" s="149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68" t="s">
        <v>2326</v>
      </c>
      <c r="Q32" s="1506" t="str">
        <f t="shared" si="11"/>
        <v>车位类型</v>
      </c>
      <c r="R32" s="714" t="s">
        <v>17</v>
      </c>
      <c r="S32" s="715">
        <f t="shared" si="12"/>
        <v>100</v>
      </c>
      <c r="T32" s="714" t="s">
        <v>17</v>
      </c>
      <c r="U32" s="715">
        <f t="shared" si="13"/>
        <v>100</v>
      </c>
      <c r="V32" s="714" t="s">
        <v>17</v>
      </c>
      <c r="W32" s="715">
        <f t="shared" si="14"/>
        <v>100</v>
      </c>
      <c r="X32" s="1509"/>
      <c r="Y32" s="3468"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68"/>
      <c r="Q33" s="1506" t="str">
        <f t="shared" si="11"/>
        <v>是否直接入户</v>
      </c>
      <c r="R33" s="714" t="s">
        <v>17</v>
      </c>
      <c r="S33" s="715">
        <f t="shared" si="12"/>
        <v>100</v>
      </c>
      <c r="T33" s="714" t="s">
        <v>17</v>
      </c>
      <c r="U33" s="715">
        <f t="shared" si="13"/>
        <v>100</v>
      </c>
      <c r="V33" s="714" t="s">
        <v>17</v>
      </c>
      <c r="W33" s="715">
        <f t="shared" si="14"/>
        <v>100</v>
      </c>
      <c r="X33" s="1509"/>
      <c r="Y33" s="346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68"/>
      <c r="Q36" s="1506">
        <f t="shared" si="11"/>
        <v>111</v>
      </c>
      <c r="R36" s="714" t="s">
        <v>17</v>
      </c>
      <c r="S36" s="715">
        <f t="shared" si="12"/>
        <v>100</v>
      </c>
      <c r="T36" s="714" t="s">
        <v>17</v>
      </c>
      <c r="U36" s="715">
        <f t="shared" si="13"/>
        <v>100</v>
      </c>
      <c r="V36" s="714" t="s">
        <v>17</v>
      </c>
      <c r="W36" s="715">
        <f t="shared" si="14"/>
        <v>100</v>
      </c>
      <c r="X36" s="1509"/>
      <c r="Y36" s="3468"/>
      <c r="Z36" s="1510">
        <f t="shared" si="15"/>
        <v>111</v>
      </c>
      <c r="AA36" s="1507">
        <f t="shared" si="3"/>
        <v>1</v>
      </c>
      <c r="AB36" s="1507">
        <f t="shared" si="4"/>
        <v>1</v>
      </c>
      <c r="AC36" s="1507">
        <f t="shared" si="5"/>
        <v>1</v>
      </c>
    </row>
    <row r="37" spans="1:29" ht="14.4">
      <c r="A37" s="438" t="s">
        <v>2481</v>
      </c>
      <c r="B37" s="2129" t="s">
        <v>2482</v>
      </c>
      <c r="C37" s="1288" t="s">
        <v>1</v>
      </c>
      <c r="D37" s="1289"/>
      <c r="E37" s="1290"/>
      <c r="F37" s="1291"/>
      <c r="G37" s="1292"/>
      <c r="H37" s="1293"/>
      <c r="I37" s="1290"/>
      <c r="J37" s="1293"/>
      <c r="K37" s="576"/>
      <c r="L37" s="2921"/>
      <c r="M37" s="2922"/>
      <c r="N37" s="2913"/>
      <c r="O37" s="2922"/>
      <c r="P37" s="3461" t="str">
        <f>A37</f>
        <v>成交单价</v>
      </c>
      <c r="Q37" s="3461"/>
      <c r="R37" s="3462">
        <f>E37</f>
        <v>0</v>
      </c>
      <c r="S37" s="3462"/>
      <c r="T37" s="3462">
        <f>G37</f>
        <v>0</v>
      </c>
      <c r="U37" s="3462"/>
      <c r="V37" s="3462">
        <f>I37</f>
        <v>0</v>
      </c>
      <c r="W37" s="3462"/>
      <c r="X37" s="699"/>
      <c r="Y37" s="721"/>
      <c r="Z37" s="699"/>
      <c r="AA37" s="699"/>
      <c r="AB37" s="699"/>
      <c r="AC37" s="699"/>
    </row>
    <row r="38" spans="1:29" ht="1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 thickBot="1">
      <c r="A39" s="449" t="s">
        <v>2484</v>
      </c>
      <c r="B39" s="450"/>
      <c r="C39" s="1297" t="e">
        <f>R39</f>
        <v>#DIV/0!</v>
      </c>
      <c r="D39" s="1297"/>
      <c r="E39" s="1297"/>
      <c r="F39" s="1297"/>
      <c r="G39" s="1297"/>
      <c r="H39" s="1297"/>
      <c r="I39" s="1297"/>
      <c r="J39" s="1297"/>
      <c r="K39" s="577"/>
      <c r="L39" s="2921"/>
      <c r="M39" s="2922"/>
      <c r="N39" s="2922"/>
      <c r="O39" s="2922"/>
      <c r="P39" s="3458" t="str">
        <f>A39</f>
        <v>估价对象XX用房的比较价值（楼面单价，元/平方米）</v>
      </c>
      <c r="Q39" s="3459"/>
      <c r="R39" s="3488" t="e">
        <f>IF(F1="售价",ROUND(IF(D38="简单平均",AVERAGE(R38:W38),R38*F38+T38*H38+V38*J38),0),ROUND(IF(D38="简单平均",AVERAGE(R38:V38),R38*F38+T38*H38+V38*J38),1))</f>
        <v>#DIV/0!</v>
      </c>
      <c r="S39" s="3488"/>
      <c r="T39" s="3488"/>
      <c r="U39" s="3488"/>
      <c r="V39" s="3488"/>
      <c r="W39" s="348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2.2"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4.4">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6"/>
      <c r="Q48" s="2938"/>
      <c r="R48" s="2938"/>
      <c r="S48" s="2938"/>
      <c r="T48" s="2938"/>
      <c r="U48" s="2938"/>
      <c r="V48" s="2938"/>
      <c r="W48" s="2938"/>
      <c r="X48" s="2938"/>
      <c r="Y48" s="2938"/>
      <c r="Z48" s="2938"/>
      <c r="AA48" s="2938"/>
      <c r="AB48" s="2938"/>
      <c r="AC48" s="2938"/>
    </row>
    <row r="49" spans="1:29" s="113" customFormat="1">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4.4">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4.4"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ht="14.4">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4.4"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4.4"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4.4"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4.4"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4.4"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4.4"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4.4"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4.4"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4.4"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4.4"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4.4"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4.4"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4.4"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9.4"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4.4"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4.4"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4.4"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4.4"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4.4"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4.4"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4.4"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4.4"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4.4"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 thickBot="1">
      <c r="A7" s="368" t="s">
        <v>2309</v>
      </c>
      <c r="B7" s="369"/>
      <c r="C7" s="370">
        <f>'数据-取费表'!B2</f>
        <v>44663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29" t="s">
        <v>2310</v>
      </c>
      <c r="Q7" s="3457"/>
      <c r="R7" s="710" t="s">
        <v>17</v>
      </c>
      <c r="S7" s="711">
        <f t="shared" ref="S7:S14" si="0">F7</f>
        <v>0</v>
      </c>
      <c r="T7" s="710" t="s">
        <v>17</v>
      </c>
      <c r="U7" s="711">
        <f t="shared" ref="U7:U14" si="1">H7</f>
        <v>0</v>
      </c>
      <c r="V7" s="710" t="s">
        <v>17</v>
      </c>
      <c r="W7" s="711">
        <f t="shared" ref="W7:W14" si="2">J7</f>
        <v>0</v>
      </c>
      <c r="X7" s="712"/>
      <c r="Y7" s="3429" t="s">
        <v>2310</v>
      </c>
      <c r="Z7" s="3430"/>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61"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61"/>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96.6">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63" t="s">
        <v>2321</v>
      </c>
      <c r="Q14" s="1506" t="str">
        <f t="shared" si="6"/>
        <v>交通便捷度</v>
      </c>
      <c r="R14" s="714" t="s">
        <v>17</v>
      </c>
      <c r="S14" s="715">
        <f t="shared" si="0"/>
        <v>100</v>
      </c>
      <c r="T14" s="714" t="s">
        <v>17</v>
      </c>
      <c r="U14" s="715">
        <f t="shared" si="1"/>
        <v>100</v>
      </c>
      <c r="V14" s="714" t="s">
        <v>17</v>
      </c>
      <c r="W14" s="715">
        <f t="shared" si="2"/>
        <v>100</v>
      </c>
      <c r="X14" s="1509"/>
      <c r="Y14" s="346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64"/>
      <c r="Q15" s="1506"/>
      <c r="R15" s="714"/>
      <c r="S15" s="715"/>
      <c r="T15" s="714"/>
      <c r="U15" s="715"/>
      <c r="V15" s="714"/>
      <c r="W15" s="715"/>
      <c r="X15" s="1509"/>
      <c r="Y15" s="3464"/>
      <c r="Z15" s="1510"/>
      <c r="AA15" s="1507">
        <v>1</v>
      </c>
      <c r="AB15" s="1507">
        <v>1</v>
      </c>
      <c r="AC15" s="1507">
        <v>1</v>
      </c>
    </row>
    <row r="16" spans="1:29" ht="41.4">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64"/>
      <c r="Q17" s="1506"/>
      <c r="R17" s="714"/>
      <c r="S17" s="715"/>
      <c r="T17" s="714"/>
      <c r="U17" s="715"/>
      <c r="V17" s="714"/>
      <c r="W17" s="715"/>
      <c r="X17" s="1509"/>
      <c r="Y17" s="3464"/>
      <c r="Z17" s="1510"/>
      <c r="AA17" s="1507">
        <v>1</v>
      </c>
      <c r="AB17" s="1507">
        <v>1</v>
      </c>
      <c r="AC17" s="1507">
        <v>1</v>
      </c>
    </row>
    <row r="18" spans="1:29" ht="41.4">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64"/>
      <c r="Q19" s="1506"/>
      <c r="R19" s="714"/>
      <c r="S19" s="715"/>
      <c r="T19" s="714"/>
      <c r="U19" s="715"/>
      <c r="V19" s="714"/>
      <c r="W19" s="715"/>
      <c r="X19" s="1509"/>
      <c r="Y19" s="3464"/>
      <c r="Z19" s="1510"/>
      <c r="AA19" s="1507">
        <v>1</v>
      </c>
      <c r="AB19" s="1507">
        <v>1</v>
      </c>
      <c r="AC19" s="1507">
        <v>1</v>
      </c>
    </row>
    <row r="20" spans="1:29" ht="55.2">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64"/>
      <c r="Q21" s="1506"/>
      <c r="R21" s="714"/>
      <c r="S21" s="715"/>
      <c r="T21" s="714"/>
      <c r="U21" s="715"/>
      <c r="V21" s="714"/>
      <c r="W21" s="715"/>
      <c r="X21" s="1509"/>
      <c r="Y21" s="346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64"/>
      <c r="Q24" s="1506">
        <f t="shared" ref="Q24:Q34"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30">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8"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68"/>
      <c r="Q28" s="1506" t="str">
        <f t="shared" si="11"/>
        <v>物业等级</v>
      </c>
      <c r="R28" s="714" t="s">
        <v>17</v>
      </c>
      <c r="S28" s="715">
        <f t="shared" si="12"/>
        <v>100</v>
      </c>
      <c r="T28" s="714" t="s">
        <v>17</v>
      </c>
      <c r="U28" s="715">
        <f t="shared" si="13"/>
        <v>100</v>
      </c>
      <c r="V28" s="714" t="s">
        <v>17</v>
      </c>
      <c r="W28" s="715">
        <f t="shared" si="14"/>
        <v>100</v>
      </c>
      <c r="X28" s="1509"/>
      <c r="Y28" s="3468"/>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68"/>
      <c r="Q29" s="1506" t="str">
        <f t="shared" si="11"/>
        <v>有无电梯</v>
      </c>
      <c r="R29" s="714" t="s">
        <v>17</v>
      </c>
      <c r="S29" s="715">
        <f t="shared" si="12"/>
        <v>100</v>
      </c>
      <c r="T29" s="714" t="s">
        <v>17</v>
      </c>
      <c r="U29" s="715">
        <f t="shared" si="13"/>
        <v>100</v>
      </c>
      <c r="V29" s="714" t="s">
        <v>17</v>
      </c>
      <c r="W29" s="715">
        <f t="shared" si="14"/>
        <v>100</v>
      </c>
      <c r="X29" s="1509"/>
      <c r="Y29" s="3468"/>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68"/>
      <c r="Q30" s="1506" t="str">
        <f t="shared" si="11"/>
        <v>建筑面积</v>
      </c>
      <c r="R30" s="714" t="s">
        <v>17</v>
      </c>
      <c r="S30" s="715" t="e">
        <f t="shared" si="12"/>
        <v>#N/A</v>
      </c>
      <c r="T30" s="714" t="s">
        <v>17</v>
      </c>
      <c r="U30" s="715" t="e">
        <f t="shared" si="13"/>
        <v>#N/A</v>
      </c>
      <c r="V30" s="714" t="s">
        <v>17</v>
      </c>
      <c r="W30" s="715" t="e">
        <f t="shared" si="14"/>
        <v>#N/A</v>
      </c>
      <c r="X30" s="1509"/>
      <c r="Y30" s="3468"/>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68"/>
      <c r="Q31" s="149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68" t="s">
        <v>2326</v>
      </c>
      <c r="Q32" s="1506">
        <f t="shared" si="11"/>
        <v>111</v>
      </c>
      <c r="R32" s="714" t="s">
        <v>17</v>
      </c>
      <c r="S32" s="715">
        <f t="shared" si="12"/>
        <v>100</v>
      </c>
      <c r="T32" s="714" t="s">
        <v>17</v>
      </c>
      <c r="U32" s="715">
        <f t="shared" si="13"/>
        <v>100</v>
      </c>
      <c r="V32" s="714" t="s">
        <v>17</v>
      </c>
      <c r="W32" s="715">
        <f t="shared" si="14"/>
        <v>100</v>
      </c>
      <c r="X32" s="1509"/>
      <c r="Y32" s="3468"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68"/>
      <c r="Q33" s="1506">
        <f t="shared" si="11"/>
        <v>111</v>
      </c>
      <c r="R33" s="714" t="s">
        <v>17</v>
      </c>
      <c r="S33" s="715">
        <f t="shared" si="12"/>
        <v>100</v>
      </c>
      <c r="T33" s="714" t="s">
        <v>17</v>
      </c>
      <c r="U33" s="715">
        <f t="shared" si="13"/>
        <v>100</v>
      </c>
      <c r="V33" s="714" t="s">
        <v>17</v>
      </c>
      <c r="W33" s="715">
        <f t="shared" si="14"/>
        <v>100</v>
      </c>
      <c r="X33" s="1509"/>
      <c r="Y33" s="3468"/>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30" ht="14.4">
      <c r="A35" s="438" t="s">
        <v>2338</v>
      </c>
      <c r="B35" s="439"/>
      <c r="C35" s="1288" t="s">
        <v>1</v>
      </c>
      <c r="D35" s="1289"/>
      <c r="E35" s="1290"/>
      <c r="F35" s="1291"/>
      <c r="G35" s="1292"/>
      <c r="H35" s="1293"/>
      <c r="I35" s="1290"/>
      <c r="J35" s="1293"/>
      <c r="K35" s="723"/>
      <c r="L35" s="2921"/>
      <c r="M35" s="2922"/>
      <c r="N35" s="2913"/>
      <c r="O35" s="2922"/>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 thickBot="1">
      <c r="A37" s="449" t="s">
        <v>2431</v>
      </c>
      <c r="B37" s="450"/>
      <c r="C37" s="1297" t="e">
        <f>R37</f>
        <v>#DIV/0!</v>
      </c>
      <c r="D37" s="1297"/>
      <c r="E37" s="1297"/>
      <c r="F37" s="1297"/>
      <c r="G37" s="1297"/>
      <c r="H37" s="1297"/>
      <c r="I37" s="1297"/>
      <c r="J37" s="1297"/>
      <c r="K37" s="724"/>
      <c r="L37" s="2921"/>
      <c r="M37" s="2922"/>
      <c r="N37" s="2922"/>
      <c r="O37" s="2922"/>
      <c r="P37" s="3458" t="str">
        <f>A37</f>
        <v>估价对象XX用房的比较价值（楼面单价，元/平方米）</v>
      </c>
      <c r="Q37" s="3459"/>
      <c r="R37" s="3488" t="e">
        <f>IF(F1="售价",ROUND(IF(D36="简单平均",AVERAGE(R36:W36),R36*F36+T36*H36+V36*J36),0),ROUND(IF(D36="简单平均",AVERAGE(R36:V36),R36*F36+T36*H36+V36*J36),1))</f>
        <v>#DIV/0!</v>
      </c>
      <c r="S37" s="3488"/>
      <c r="T37" s="3488"/>
      <c r="U37" s="3488"/>
      <c r="V37" s="3488"/>
      <c r="W37" s="348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2.2"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4.4">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3"/>
      <c r="Q46" s="2938"/>
      <c r="R46" s="2938"/>
      <c r="S46" s="2938"/>
      <c r="T46" s="2938"/>
      <c r="U46" s="2938"/>
      <c r="V46" s="2938"/>
      <c r="W46" s="2938"/>
      <c r="X46" s="2938"/>
      <c r="Y46" s="2938"/>
      <c r="Z46" s="2938"/>
      <c r="AA46" s="2938"/>
      <c r="AB46" s="2938"/>
      <c r="AC46" s="2938"/>
      <c r="AD46" s="2938"/>
    </row>
    <row r="47" spans="1:30" s="113" customFormat="1">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4.4">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4.4"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ht="14.4">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4.4"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4.4"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4.4"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4.4"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4.4"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4.4"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4.4"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9.4"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4.4"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4.4"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4.4"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4.4"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4.4"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4.4"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4.4"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4.4"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4.4"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4.4"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4.4"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4.4"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4.4"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4.4"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4.4"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4.4"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4.4">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30">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30" ht="1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30" s="113" customFormat="1" ht="15" thickBot="1">
      <c r="A7" s="368" t="s">
        <v>2309</v>
      </c>
      <c r="B7" s="369"/>
      <c r="C7" s="370">
        <f>'数据-取费表'!B2</f>
        <v>44663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30" s="113" customFormat="1" ht="1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5" si="3">D8/F8</f>
        <v>#DIV/0!</v>
      </c>
      <c r="AB8" s="713" t="e">
        <f t="shared" ref="AB8:AB45" si="4">D8/H8</f>
        <v>#DIV/0!</v>
      </c>
      <c r="AC8" s="713" t="e">
        <f t="shared" ref="AC8:AC45" si="5">D8/J8</f>
        <v>#DIV/0!</v>
      </c>
    </row>
    <row r="9" spans="1:30" s="113" customFormat="1" ht="14.4">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114</v>
      </c>
      <c r="G10" s="422"/>
      <c r="H10" s="132">
        <f>ROUND(100/'数据-取费表'!G16,0)</f>
        <v>114</v>
      </c>
      <c r="I10" s="422"/>
      <c r="J10" s="132">
        <f>ROUND(100/'数据-取费表'!G16,0)</f>
        <v>114</v>
      </c>
      <c r="K10" s="628"/>
      <c r="L10" s="2916"/>
      <c r="M10" s="2917"/>
      <c r="N10" s="2917"/>
      <c r="O10" s="2970"/>
      <c r="P10" s="3461"/>
      <c r="Q10" s="1497" t="str">
        <f t="shared" si="6"/>
        <v>土地使用年限（年）</v>
      </c>
      <c r="R10" s="710" t="s">
        <v>17</v>
      </c>
      <c r="S10" s="711">
        <f t="shared" si="0"/>
        <v>114</v>
      </c>
      <c r="T10" s="710" t="s">
        <v>17</v>
      </c>
      <c r="U10" s="711">
        <f t="shared" si="1"/>
        <v>114</v>
      </c>
      <c r="V10" s="710" t="s">
        <v>17</v>
      </c>
      <c r="W10" s="711">
        <f t="shared" si="2"/>
        <v>114</v>
      </c>
      <c r="X10" s="712"/>
      <c r="Y10" s="3373"/>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61"/>
      <c r="Q12" s="1497"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96.6">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63" t="s">
        <v>2321</v>
      </c>
      <c r="Q15" s="1506" t="str">
        <f t="shared" si="6"/>
        <v>居住社区成熟度</v>
      </c>
      <c r="R15" s="714" t="s">
        <v>17</v>
      </c>
      <c r="S15" s="715">
        <f t="shared" si="0"/>
        <v>100</v>
      </c>
      <c r="T15" s="714" t="s">
        <v>17</v>
      </c>
      <c r="U15" s="715">
        <f t="shared" si="1"/>
        <v>100</v>
      </c>
      <c r="V15" s="714" t="s">
        <v>17</v>
      </c>
      <c r="W15" s="715">
        <f t="shared" si="2"/>
        <v>100</v>
      </c>
      <c r="X15" s="1509"/>
      <c r="Y15" s="3463"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64"/>
      <c r="Q16" s="1506"/>
      <c r="R16" s="714"/>
      <c r="S16" s="715"/>
      <c r="T16" s="714"/>
      <c r="U16" s="715"/>
      <c r="V16" s="714"/>
      <c r="W16" s="715"/>
      <c r="X16" s="1509"/>
      <c r="Y16" s="3464"/>
      <c r="Z16" s="1510"/>
      <c r="AA16" s="1507">
        <v>1</v>
      </c>
      <c r="AB16" s="1507">
        <v>1</v>
      </c>
      <c r="AC16" s="1507">
        <v>1</v>
      </c>
    </row>
    <row r="17" spans="1:29" ht="82.8">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64"/>
      <c r="Q17" s="1506" t="str">
        <f>B17</f>
        <v>商业繁华度</v>
      </c>
      <c r="R17" s="714" t="s">
        <v>17</v>
      </c>
      <c r="S17" s="715">
        <f>F17</f>
        <v>100</v>
      </c>
      <c r="T17" s="714" t="s">
        <v>17</v>
      </c>
      <c r="U17" s="715">
        <f>H17</f>
        <v>100</v>
      </c>
      <c r="V17" s="714" t="s">
        <v>17</v>
      </c>
      <c r="W17" s="715">
        <f>J17</f>
        <v>100</v>
      </c>
      <c r="X17" s="1509"/>
      <c r="Y17" s="346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64"/>
      <c r="Q18" s="1506"/>
      <c r="R18" s="714"/>
      <c r="S18" s="715"/>
      <c r="T18" s="714"/>
      <c r="U18" s="715"/>
      <c r="V18" s="714"/>
      <c r="W18" s="715"/>
      <c r="X18" s="1509"/>
      <c r="Y18" s="3464"/>
      <c r="Z18" s="1510"/>
      <c r="AA18" s="1507">
        <v>1</v>
      </c>
      <c r="AB18" s="1507">
        <v>1</v>
      </c>
      <c r="AC18" s="1507">
        <v>1</v>
      </c>
    </row>
    <row r="19" spans="1:29" ht="82.8">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64"/>
      <c r="Q19" s="1506" t="str">
        <f>B19</f>
        <v>办公集聚程度</v>
      </c>
      <c r="R19" s="714" t="s">
        <v>17</v>
      </c>
      <c r="S19" s="715">
        <f>F19</f>
        <v>100</v>
      </c>
      <c r="T19" s="714" t="s">
        <v>17</v>
      </c>
      <c r="U19" s="715">
        <f>H19</f>
        <v>100</v>
      </c>
      <c r="V19" s="714" t="s">
        <v>17</v>
      </c>
      <c r="W19" s="715">
        <f>J19</f>
        <v>100</v>
      </c>
      <c r="X19" s="1509"/>
      <c r="Y19" s="346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64"/>
      <c r="Q20" s="1506"/>
      <c r="R20" s="714"/>
      <c r="S20" s="715"/>
      <c r="T20" s="714"/>
      <c r="U20" s="715"/>
      <c r="V20" s="714"/>
      <c r="W20" s="715"/>
      <c r="X20" s="1509"/>
      <c r="Y20" s="3464"/>
      <c r="Z20" s="1510"/>
      <c r="AA20" s="1507">
        <v>1</v>
      </c>
      <c r="AB20" s="1507">
        <v>1</v>
      </c>
      <c r="AC20" s="1507">
        <v>1</v>
      </c>
    </row>
    <row r="21" spans="1:29" ht="96.6">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64"/>
      <c r="Q21" s="1506" t="str">
        <f>B21</f>
        <v>交通便捷度</v>
      </c>
      <c r="R21" s="714" t="s">
        <v>17</v>
      </c>
      <c r="S21" s="715">
        <f>F21</f>
        <v>100</v>
      </c>
      <c r="T21" s="714" t="s">
        <v>17</v>
      </c>
      <c r="U21" s="715">
        <f>H21</f>
        <v>100</v>
      </c>
      <c r="V21" s="714" t="s">
        <v>17</v>
      </c>
      <c r="W21" s="715">
        <f>J21</f>
        <v>100</v>
      </c>
      <c r="X21" s="1509"/>
      <c r="Y21" s="346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64"/>
      <c r="Q22" s="1506"/>
      <c r="R22" s="714"/>
      <c r="S22" s="715"/>
      <c r="T22" s="714"/>
      <c r="U22" s="715"/>
      <c r="V22" s="714"/>
      <c r="W22" s="715"/>
      <c r="X22" s="1509"/>
      <c r="Y22" s="3464"/>
      <c r="Z22" s="1510"/>
      <c r="AA22" s="1507">
        <v>1</v>
      </c>
      <c r="AB22" s="1507">
        <v>1</v>
      </c>
      <c r="AC22" s="1507">
        <v>1</v>
      </c>
    </row>
    <row r="23" spans="1:29" ht="28.8">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64"/>
      <c r="Q23" s="1506" t="str">
        <f t="shared" ref="Q23:Q37" si="8">B23</f>
        <v>区域土地利用方向</v>
      </c>
      <c r="R23" s="714" t="s">
        <v>17</v>
      </c>
      <c r="S23" s="715">
        <f>F23</f>
        <v>100</v>
      </c>
      <c r="T23" s="714" t="s">
        <v>17</v>
      </c>
      <c r="U23" s="715">
        <f>H23</f>
        <v>100</v>
      </c>
      <c r="V23" s="714" t="s">
        <v>17</v>
      </c>
      <c r="W23" s="715">
        <f>J23</f>
        <v>100</v>
      </c>
      <c r="X23" s="1509"/>
      <c r="Y23" s="346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64"/>
      <c r="Q24" s="1506"/>
      <c r="R24" s="714"/>
      <c r="S24" s="715"/>
      <c r="T24" s="714"/>
      <c r="U24" s="715"/>
      <c r="V24" s="714"/>
      <c r="W24" s="715"/>
      <c r="X24" s="1509"/>
      <c r="Y24" s="3464"/>
      <c r="Z24" s="1510"/>
      <c r="AA24" s="1507"/>
      <c r="AB24" s="1507"/>
      <c r="AC24" s="1507"/>
    </row>
    <row r="25" spans="1:29" ht="55.2">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64"/>
      <c r="Q25" s="1506" t="str">
        <f t="shared" si="8"/>
        <v>自然及人文环境状况</v>
      </c>
      <c r="R25" s="714" t="s">
        <v>17</v>
      </c>
      <c r="S25" s="715">
        <f>F25</f>
        <v>100</v>
      </c>
      <c r="T25" s="714" t="s">
        <v>17</v>
      </c>
      <c r="U25" s="715">
        <f>H25</f>
        <v>100</v>
      </c>
      <c r="V25" s="714" t="s">
        <v>17</v>
      </c>
      <c r="W25" s="715">
        <f>J25</f>
        <v>100</v>
      </c>
      <c r="X25" s="1509"/>
      <c r="Y25" s="346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64"/>
      <c r="Q26" s="1506"/>
      <c r="R26" s="714"/>
      <c r="S26" s="715"/>
      <c r="T26" s="714"/>
      <c r="U26" s="715"/>
      <c r="V26" s="714"/>
      <c r="W26" s="715"/>
      <c r="X26" s="1509"/>
      <c r="Y26" s="3464"/>
      <c r="Z26" s="1510"/>
      <c r="AA26" s="1507">
        <v>1</v>
      </c>
      <c r="AB26" s="1507">
        <v>1</v>
      </c>
      <c r="AC26" s="1507">
        <v>1</v>
      </c>
    </row>
    <row r="27" spans="1:29" s="113" customFormat="1" ht="41.4">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64"/>
      <c r="Q27" s="1497" t="str">
        <f t="shared" si="8"/>
        <v>公共配套设施</v>
      </c>
      <c r="R27" s="710" t="s">
        <v>17</v>
      </c>
      <c r="S27" s="711">
        <f>F27</f>
        <v>100</v>
      </c>
      <c r="T27" s="710" t="s">
        <v>17</v>
      </c>
      <c r="U27" s="711">
        <f>H27</f>
        <v>100</v>
      </c>
      <c r="V27" s="710" t="s">
        <v>17</v>
      </c>
      <c r="W27" s="711">
        <f>J27</f>
        <v>100</v>
      </c>
      <c r="X27" s="712"/>
      <c r="Y27" s="346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64"/>
      <c r="Q28" s="1497"/>
      <c r="R28" s="710"/>
      <c r="S28" s="711"/>
      <c r="T28" s="710"/>
      <c r="U28" s="711"/>
      <c r="V28" s="710"/>
      <c r="W28" s="711"/>
      <c r="X28" s="712"/>
      <c r="Y28" s="3464"/>
      <c r="Z28" s="55"/>
      <c r="AA28" s="1507">
        <v>1</v>
      </c>
      <c r="AB28" s="1507">
        <v>1</v>
      </c>
      <c r="AC28" s="1507">
        <v>1</v>
      </c>
    </row>
    <row r="29" spans="1:29" s="113" customFormat="1" ht="41.4">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64"/>
      <c r="Q29" s="1497" t="str">
        <f t="shared" ref="Q29" si="9">B29</f>
        <v>基础设施水平</v>
      </c>
      <c r="R29" s="710" t="s">
        <v>17</v>
      </c>
      <c r="S29" s="711">
        <f>F29</f>
        <v>100</v>
      </c>
      <c r="T29" s="710" t="s">
        <v>17</v>
      </c>
      <c r="U29" s="711">
        <f>H29</f>
        <v>100</v>
      </c>
      <c r="V29" s="710" t="s">
        <v>17</v>
      </c>
      <c r="W29" s="711">
        <f>J29</f>
        <v>100</v>
      </c>
      <c r="X29" s="712"/>
      <c r="Y29" s="346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64"/>
      <c r="Q30" s="1497"/>
      <c r="R30" s="710"/>
      <c r="S30" s="711"/>
      <c r="T30" s="710"/>
      <c r="U30" s="711"/>
      <c r="V30" s="710"/>
      <c r="W30" s="711"/>
      <c r="X30" s="712"/>
      <c r="Y30" s="346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6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4"/>
      <c r="Z31" s="1510" t="str">
        <f t="shared" ref="Z31:Z45" si="13">Q31</f>
        <v>临街状况</v>
      </c>
      <c r="AA31" s="1507">
        <f t="shared" si="3"/>
        <v>1</v>
      </c>
      <c r="AB31" s="1507">
        <f t="shared" si="4"/>
        <v>1</v>
      </c>
      <c r="AC31" s="1507">
        <f t="shared" si="5"/>
        <v>1</v>
      </c>
    </row>
    <row r="32" spans="1:29" ht="28.8">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64"/>
      <c r="Q32" s="1506" t="str">
        <f t="shared" si="8"/>
        <v>毗邻道路的类型与等级</v>
      </c>
      <c r="R32" s="714" t="s">
        <v>17</v>
      </c>
      <c r="S32" s="715">
        <f t="shared" si="10"/>
        <v>100</v>
      </c>
      <c r="T32" s="714" t="s">
        <v>17</v>
      </c>
      <c r="U32" s="715">
        <f t="shared" si="11"/>
        <v>100</v>
      </c>
      <c r="V32" s="714" t="s">
        <v>17</v>
      </c>
      <c r="W32" s="715">
        <f t="shared" si="12"/>
        <v>100</v>
      </c>
      <c r="X32" s="1509"/>
      <c r="Y32" s="346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64"/>
      <c r="Q33" s="1506"/>
      <c r="R33" s="714"/>
      <c r="S33" s="715"/>
      <c r="T33" s="714"/>
      <c r="U33" s="715"/>
      <c r="V33" s="714"/>
      <c r="W33" s="715"/>
      <c r="X33" s="1509"/>
      <c r="Y33" s="346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64"/>
      <c r="Q34" s="1506" t="str">
        <f t="shared" si="8"/>
        <v>土地级别</v>
      </c>
      <c r="R34" s="714" t="s">
        <v>17</v>
      </c>
      <c r="S34" s="715">
        <f t="shared" si="10"/>
        <v>100</v>
      </c>
      <c r="T34" s="714" t="s">
        <v>17</v>
      </c>
      <c r="U34" s="715">
        <f t="shared" si="11"/>
        <v>100</v>
      </c>
      <c r="V34" s="714" t="s">
        <v>17</v>
      </c>
      <c r="W34" s="715">
        <f t="shared" si="12"/>
        <v>100</v>
      </c>
      <c r="X34" s="1509"/>
      <c r="Y34" s="346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64"/>
      <c r="Q35" s="1506">
        <f t="shared" si="8"/>
        <v>111</v>
      </c>
      <c r="R35" s="714" t="s">
        <v>17</v>
      </c>
      <c r="S35" s="715">
        <f t="shared" si="10"/>
        <v>100</v>
      </c>
      <c r="T35" s="714" t="s">
        <v>17</v>
      </c>
      <c r="U35" s="715">
        <f t="shared" si="11"/>
        <v>100</v>
      </c>
      <c r="V35" s="714" t="s">
        <v>17</v>
      </c>
      <c r="W35" s="715">
        <f t="shared" si="12"/>
        <v>100</v>
      </c>
      <c r="X35" s="1509"/>
      <c r="Y35" s="346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7" t="s">
        <v>2326</v>
      </c>
      <c r="Q36" s="1506">
        <f t="shared" si="8"/>
        <v>111</v>
      </c>
      <c r="R36" s="714" t="s">
        <v>17</v>
      </c>
      <c r="S36" s="715">
        <f t="shared" si="10"/>
        <v>100</v>
      </c>
      <c r="T36" s="714" t="s">
        <v>17</v>
      </c>
      <c r="U36" s="715">
        <f t="shared" si="11"/>
        <v>100</v>
      </c>
      <c r="V36" s="714" t="s">
        <v>17</v>
      </c>
      <c r="W36" s="715">
        <f t="shared" si="12"/>
        <v>100</v>
      </c>
      <c r="X36" s="1509"/>
      <c r="Y36" s="3468" t="s">
        <v>2326</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68"/>
      <c r="Q37" s="1506">
        <f t="shared" si="8"/>
        <v>111</v>
      </c>
      <c r="R37" s="717" t="s">
        <v>17</v>
      </c>
      <c r="S37" s="718">
        <f t="shared" si="10"/>
        <v>100</v>
      </c>
      <c r="T37" s="717" t="s">
        <v>17</v>
      </c>
      <c r="U37" s="718">
        <f t="shared" si="11"/>
        <v>100</v>
      </c>
      <c r="V37" s="717" t="s">
        <v>17</v>
      </c>
      <c r="W37" s="718">
        <f t="shared" si="12"/>
        <v>100</v>
      </c>
      <c r="X37" s="719"/>
      <c r="Y37" s="3468"/>
      <c r="Z37" s="720">
        <f t="shared" si="13"/>
        <v>111</v>
      </c>
      <c r="AA37" s="1507">
        <f t="shared" si="3"/>
        <v>1</v>
      </c>
      <c r="AB37" s="1507">
        <f t="shared" si="4"/>
        <v>1</v>
      </c>
      <c r="AC37" s="1507">
        <f t="shared" si="5"/>
        <v>1</v>
      </c>
    </row>
    <row r="38" spans="1:29" ht="15.6">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68"/>
      <c r="Q38" s="1506" t="str">
        <f>B38</f>
        <v>宗地面积</v>
      </c>
      <c r="R38" s="714" t="s">
        <v>17</v>
      </c>
      <c r="S38" s="715" t="e">
        <f t="shared" si="10"/>
        <v>#N/A</v>
      </c>
      <c r="T38" s="714" t="s">
        <v>17</v>
      </c>
      <c r="U38" s="715" t="e">
        <f t="shared" si="11"/>
        <v>#N/A</v>
      </c>
      <c r="V38" s="714" t="s">
        <v>17</v>
      </c>
      <c r="W38" s="715" t="e">
        <f t="shared" si="12"/>
        <v>#N/A</v>
      </c>
      <c r="X38" s="1509"/>
      <c r="Y38" s="3468"/>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68"/>
      <c r="Q39" s="1506" t="str">
        <f t="shared" ref="Q39:Q45" si="14">B39</f>
        <v>宗地形状</v>
      </c>
      <c r="R39" s="714" t="s">
        <v>17</v>
      </c>
      <c r="S39" s="715">
        <f t="shared" si="10"/>
        <v>100</v>
      </c>
      <c r="T39" s="714" t="s">
        <v>17</v>
      </c>
      <c r="U39" s="715">
        <f t="shared" si="11"/>
        <v>100</v>
      </c>
      <c r="V39" s="714" t="s">
        <v>17</v>
      </c>
      <c r="W39" s="715">
        <f t="shared" si="12"/>
        <v>100</v>
      </c>
      <c r="X39" s="1509"/>
      <c r="Y39" s="3468"/>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68"/>
      <c r="Q40" s="1506" t="str">
        <f t="shared" si="14"/>
        <v>临街宽度及深度</v>
      </c>
      <c r="R40" s="714" t="s">
        <v>17</v>
      </c>
      <c r="S40" s="715">
        <f t="shared" si="10"/>
        <v>100</v>
      </c>
      <c r="T40" s="714" t="s">
        <v>17</v>
      </c>
      <c r="U40" s="715">
        <f t="shared" si="11"/>
        <v>100</v>
      </c>
      <c r="V40" s="714" t="s">
        <v>17</v>
      </c>
      <c r="W40" s="715">
        <f t="shared" si="12"/>
        <v>100</v>
      </c>
      <c r="X40" s="1509"/>
      <c r="Y40" s="3468"/>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68"/>
      <c r="Q41" s="150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68" t="s">
        <v>2326</v>
      </c>
      <c r="Q42" s="1506" t="str">
        <f t="shared" si="14"/>
        <v>工程地质条件</v>
      </c>
      <c r="R42" s="714" t="s">
        <v>17</v>
      </c>
      <c r="S42" s="715">
        <f t="shared" si="10"/>
        <v>100</v>
      </c>
      <c r="T42" s="714" t="s">
        <v>17</v>
      </c>
      <c r="U42" s="715">
        <f t="shared" si="11"/>
        <v>100</v>
      </c>
      <c r="V42" s="714" t="s">
        <v>17</v>
      </c>
      <c r="W42" s="715">
        <f t="shared" si="12"/>
        <v>100</v>
      </c>
      <c r="X42" s="1509"/>
      <c r="Y42" s="3468"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68"/>
      <c r="Q43" s="1506">
        <f t="shared" si="14"/>
        <v>111</v>
      </c>
      <c r="R43" s="714" t="s">
        <v>17</v>
      </c>
      <c r="S43" s="715">
        <f t="shared" si="10"/>
        <v>100</v>
      </c>
      <c r="T43" s="714" t="s">
        <v>17</v>
      </c>
      <c r="U43" s="715">
        <f t="shared" si="11"/>
        <v>100</v>
      </c>
      <c r="V43" s="714" t="s">
        <v>17</v>
      </c>
      <c r="W43" s="715">
        <f t="shared" si="12"/>
        <v>100</v>
      </c>
      <c r="X43" s="1509"/>
      <c r="Y43" s="346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68"/>
      <c r="Q44" s="1506">
        <f t="shared" si="14"/>
        <v>111</v>
      </c>
      <c r="R44" s="714" t="s">
        <v>17</v>
      </c>
      <c r="S44" s="715">
        <f t="shared" si="10"/>
        <v>100</v>
      </c>
      <c r="T44" s="714" t="s">
        <v>17</v>
      </c>
      <c r="U44" s="715">
        <f t="shared" si="11"/>
        <v>100</v>
      </c>
      <c r="V44" s="714" t="s">
        <v>17</v>
      </c>
      <c r="W44" s="715">
        <f t="shared" si="12"/>
        <v>100</v>
      </c>
      <c r="X44" s="1509"/>
      <c r="Y44" s="3468"/>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68"/>
      <c r="Q45" s="1506">
        <f t="shared" si="14"/>
        <v>111</v>
      </c>
      <c r="R45" s="717" t="s">
        <v>17</v>
      </c>
      <c r="S45" s="718">
        <f t="shared" si="10"/>
        <v>100</v>
      </c>
      <c r="T45" s="717" t="s">
        <v>17</v>
      </c>
      <c r="U45" s="718">
        <f t="shared" si="11"/>
        <v>100</v>
      </c>
      <c r="V45" s="717" t="s">
        <v>17</v>
      </c>
      <c r="W45" s="718">
        <f t="shared" si="12"/>
        <v>100</v>
      </c>
      <c r="X45" s="719"/>
      <c r="Y45" s="3468"/>
      <c r="Z45" s="720">
        <f t="shared" si="13"/>
        <v>111</v>
      </c>
      <c r="AA45" s="1507">
        <f t="shared" si="3"/>
        <v>1</v>
      </c>
      <c r="AB45" s="1507">
        <f t="shared" si="4"/>
        <v>1</v>
      </c>
      <c r="AC45" s="1507">
        <f t="shared" si="5"/>
        <v>1</v>
      </c>
    </row>
    <row r="46" spans="1:29" ht="14.4">
      <c r="A46" s="438" t="s">
        <v>2481</v>
      </c>
      <c r="B46" s="2138" t="s">
        <v>2517</v>
      </c>
      <c r="C46" s="638" t="s">
        <v>1</v>
      </c>
      <c r="D46" s="440"/>
      <c r="E46" s="441"/>
      <c r="F46" s="442"/>
      <c r="G46" s="443"/>
      <c r="H46" s="444"/>
      <c r="I46" s="441"/>
      <c r="J46" s="444"/>
      <c r="K46" s="723"/>
      <c r="L46" s="2921"/>
      <c r="M46" s="2922"/>
      <c r="N46" s="2913"/>
      <c r="O46" s="2922"/>
      <c r="P46" s="3461" t="str">
        <f>A46</f>
        <v>成交单价</v>
      </c>
      <c r="Q46" s="3461"/>
      <c r="R46" s="3456">
        <f>E46</f>
        <v>0</v>
      </c>
      <c r="S46" s="3456"/>
      <c r="T46" s="3456">
        <f>G46</f>
        <v>0</v>
      </c>
      <c r="U46" s="3456"/>
      <c r="V46" s="3456">
        <f>I46</f>
        <v>0</v>
      </c>
      <c r="W46" s="3456"/>
      <c r="X46" s="699"/>
      <c r="Y46" s="721"/>
      <c r="Z46" s="699"/>
      <c r="AA46" s="699"/>
      <c r="AB46" s="699"/>
      <c r="AC46" s="699"/>
    </row>
    <row r="47" spans="1:29" ht="1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61" t="str">
        <f>A47</f>
        <v>比较价值（元/平方米）</v>
      </c>
      <c r="Q47" s="3461"/>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 thickBot="1">
      <c r="A48" s="449" t="s">
        <v>2518</v>
      </c>
      <c r="B48" s="450"/>
      <c r="C48" s="451" t="e">
        <f>R48</f>
        <v>#DIV/0!</v>
      </c>
      <c r="D48" s="451"/>
      <c r="E48" s="451"/>
      <c r="F48" s="451"/>
      <c r="G48" s="451"/>
      <c r="H48" s="451"/>
      <c r="I48" s="451"/>
      <c r="J48" s="451"/>
      <c r="K48" s="724"/>
      <c r="L48" s="2921"/>
      <c r="M48" s="2922"/>
      <c r="N48" s="2922"/>
      <c r="O48" s="2922"/>
      <c r="P48" s="3458" t="str">
        <f>A48</f>
        <v>估价对象XX用房的比较价值（楼面单价，元/平方米）</v>
      </c>
      <c r="Q48" s="3459"/>
      <c r="R48" s="3490" t="e">
        <f>ROUND(IF(D47="简单平均",AVERAGE(R47:W47),R47*F47+T47*H47+V47*J47),0)</f>
        <v>#DIV/0!</v>
      </c>
      <c r="S48" s="3490"/>
      <c r="T48" s="3490"/>
      <c r="U48" s="3490"/>
      <c r="V48" s="3490"/>
      <c r="W48" s="349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4.4"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4" t="s">
        <v>2525</v>
      </c>
      <c r="H55" s="3491"/>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9321.1299999999992</v>
      </c>
      <c r="F56" s="1017" t="e">
        <f t="shared" ref="F56:F65" si="15">ROUND(B56*E56/10000,0)</f>
        <v>#DIV/0!</v>
      </c>
      <c r="G56" s="3443"/>
      <c r="H56" s="3461"/>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2"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4.4"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thickBot="1">
      <c r="A66" s="651" t="s">
        <v>2542</v>
      </c>
      <c r="B66" s="652" t="s">
        <v>28</v>
      </c>
      <c r="C66" s="652" t="s">
        <v>29</v>
      </c>
      <c r="D66" s="652" t="s">
        <v>997</v>
      </c>
      <c r="E66" s="652">
        <f>IF(B46="楼面地价",SUM(E56:E65),'数据-汇总表'!D3)</f>
        <v>9321.1299999999992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2.2"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4.4">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4.4">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4.4"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ht="14.4">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4.4"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9.4"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4.4"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4.4"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4.4"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4.4"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4.4"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4.4"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4.4"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ht="14.4">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9.4"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4.4"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4.4"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4.4"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4.4"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4.4"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4.4"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ht="14.4">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4.4"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4.4"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4.4"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4.4"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4.4"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4.4"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4.4"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4.4">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 thickBot="1">
      <c r="A6" s="366"/>
      <c r="B6" s="367"/>
      <c r="C6" s="3493" t="s">
        <v>2558</v>
      </c>
      <c r="D6" s="3494"/>
      <c r="E6" s="3495" t="s">
        <v>2558</v>
      </c>
      <c r="F6" s="3496"/>
      <c r="G6" s="3493" t="s">
        <v>2558</v>
      </c>
      <c r="H6" s="3494"/>
      <c r="I6" s="3493" t="s">
        <v>2558</v>
      </c>
      <c r="J6" s="3494"/>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 thickBot="1">
      <c r="A7" s="368" t="s">
        <v>2309</v>
      </c>
      <c r="B7" s="369"/>
      <c r="C7" s="370">
        <f>'数据-取费表'!B2</f>
        <v>44663</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0" si="3">D8/F8</f>
        <v>#DIV/0!</v>
      </c>
      <c r="AB8" s="713" t="e">
        <f t="shared" ref="AB8:AB40" si="4">D8/H8</f>
        <v>#DIV/0!</v>
      </c>
      <c r="AC8" s="713" t="e">
        <f t="shared" ref="AC8:AC40" si="5">D8/J8</f>
        <v>#DIV/0!</v>
      </c>
    </row>
    <row r="9" spans="1:29" s="113" customFormat="1" ht="14.4">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8.8">
      <c r="A10" s="380"/>
      <c r="B10" s="381" t="s">
        <v>2318</v>
      </c>
      <c r="C10" s="391"/>
      <c r="D10" s="132">
        <v>100</v>
      </c>
      <c r="E10" s="391"/>
      <c r="F10" s="132">
        <f>ROUND(100/'数据-取费表'!G16,0)</f>
        <v>114</v>
      </c>
      <c r="G10" s="391"/>
      <c r="H10" s="132">
        <f>ROUND(100/'数据-取费表'!G16,0)</f>
        <v>114</v>
      </c>
      <c r="I10" s="391"/>
      <c r="J10" s="132">
        <f>ROUND(100/'数据-取费表'!G16,0)</f>
        <v>114</v>
      </c>
      <c r="K10" s="628"/>
      <c r="L10" s="2916"/>
      <c r="M10" s="2917"/>
      <c r="N10" s="2917"/>
      <c r="O10" s="2970"/>
      <c r="P10" s="3461"/>
      <c r="Q10" s="1497" t="str">
        <f t="shared" si="6"/>
        <v>土地使用年限（年）</v>
      </c>
      <c r="R10" s="710" t="s">
        <v>17</v>
      </c>
      <c r="S10" s="711">
        <f t="shared" si="0"/>
        <v>114</v>
      </c>
      <c r="T10" s="710" t="s">
        <v>17</v>
      </c>
      <c r="U10" s="711">
        <f t="shared" si="1"/>
        <v>114</v>
      </c>
      <c r="V10" s="710" t="s">
        <v>17</v>
      </c>
      <c r="W10" s="711">
        <f t="shared" si="2"/>
        <v>114</v>
      </c>
      <c r="X10" s="712"/>
      <c r="Y10" s="3373"/>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63" t="s">
        <v>2321</v>
      </c>
      <c r="Q15" s="1506" t="str">
        <f t="shared" si="6"/>
        <v>产业集聚程度</v>
      </c>
      <c r="R15" s="714" t="s">
        <v>17</v>
      </c>
      <c r="S15" s="715">
        <f t="shared" si="0"/>
        <v>100</v>
      </c>
      <c r="T15" s="714" t="s">
        <v>17</v>
      </c>
      <c r="U15" s="715">
        <f t="shared" si="1"/>
        <v>100</v>
      </c>
      <c r="V15" s="714" t="s">
        <v>17</v>
      </c>
      <c r="W15" s="715">
        <f t="shared" si="2"/>
        <v>100</v>
      </c>
      <c r="X15" s="1509"/>
      <c r="Y15" s="3463"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64"/>
      <c r="Q16" s="1506"/>
      <c r="R16" s="714"/>
      <c r="S16" s="715"/>
      <c r="T16" s="714"/>
      <c r="U16" s="715"/>
      <c r="V16" s="714"/>
      <c r="W16" s="715"/>
      <c r="X16" s="1509"/>
      <c r="Y16" s="3464"/>
      <c r="Z16" s="1510"/>
      <c r="AA16" s="1507">
        <v>1</v>
      </c>
      <c r="AB16" s="1507">
        <v>1</v>
      </c>
      <c r="AC16" s="1507">
        <v>1</v>
      </c>
    </row>
    <row r="17" spans="1:29" ht="96.6">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64"/>
      <c r="Q18" s="1506"/>
      <c r="R18" s="714"/>
      <c r="S18" s="715"/>
      <c r="T18" s="714"/>
      <c r="U18" s="715"/>
      <c r="V18" s="714"/>
      <c r="W18" s="715"/>
      <c r="X18" s="1509"/>
      <c r="Y18" s="3464"/>
      <c r="Z18" s="1510"/>
      <c r="AA18" s="1507">
        <v>1</v>
      </c>
      <c r="AB18" s="1507">
        <v>1</v>
      </c>
      <c r="AC18" s="1507">
        <v>1</v>
      </c>
    </row>
    <row r="19" spans="1:29" ht="28.8">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64"/>
      <c r="Q19" s="1506" t="str">
        <f t="shared" ref="Q19:Q33" si="8">B19</f>
        <v>区域土地利用方向</v>
      </c>
      <c r="R19" s="714" t="s">
        <v>17</v>
      </c>
      <c r="S19" s="715">
        <f>F19</f>
        <v>100</v>
      </c>
      <c r="T19" s="714" t="s">
        <v>17</v>
      </c>
      <c r="U19" s="715">
        <f>H19</f>
        <v>100</v>
      </c>
      <c r="V19" s="714" t="s">
        <v>17</v>
      </c>
      <c r="W19" s="715">
        <f>J19</f>
        <v>100</v>
      </c>
      <c r="X19" s="1509"/>
      <c r="Y19" s="346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64"/>
      <c r="Q20" s="1506"/>
      <c r="R20" s="714"/>
      <c r="S20" s="715"/>
      <c r="T20" s="714"/>
      <c r="U20" s="715"/>
      <c r="V20" s="714"/>
      <c r="W20" s="715"/>
      <c r="X20" s="1509"/>
      <c r="Y20" s="3464"/>
      <c r="Z20" s="1510"/>
      <c r="AA20" s="1507"/>
      <c r="AB20" s="1507"/>
      <c r="AC20" s="1507"/>
    </row>
    <row r="21" spans="1:29" ht="82.8">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64"/>
      <c r="Q21" s="1506" t="str">
        <f t="shared" si="8"/>
        <v>环境状况</v>
      </c>
      <c r="R21" s="714" t="s">
        <v>17</v>
      </c>
      <c r="S21" s="715">
        <f>F21</f>
        <v>100</v>
      </c>
      <c r="T21" s="714" t="s">
        <v>17</v>
      </c>
      <c r="U21" s="715">
        <f>H21</f>
        <v>100</v>
      </c>
      <c r="V21" s="714" t="s">
        <v>17</v>
      </c>
      <c r="W21" s="715">
        <f>J21</f>
        <v>100</v>
      </c>
      <c r="X21" s="1509"/>
      <c r="Y21" s="346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64"/>
      <c r="Q22" s="1506"/>
      <c r="R22" s="714"/>
      <c r="S22" s="715"/>
      <c r="T22" s="714"/>
      <c r="U22" s="715"/>
      <c r="V22" s="714"/>
      <c r="W22" s="715"/>
      <c r="X22" s="1509"/>
      <c r="Y22" s="3464"/>
      <c r="Z22" s="1510"/>
      <c r="AA22" s="1507">
        <v>1</v>
      </c>
      <c r="AB22" s="1507">
        <v>1</v>
      </c>
      <c r="AC22" s="1507">
        <v>1</v>
      </c>
    </row>
    <row r="23" spans="1:29" s="113" customFormat="1" ht="41.4">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64"/>
      <c r="Q23" s="1497" t="str">
        <f t="shared" si="8"/>
        <v>公共配套设施</v>
      </c>
      <c r="R23" s="710" t="s">
        <v>17</v>
      </c>
      <c r="S23" s="711">
        <f>F23</f>
        <v>100</v>
      </c>
      <c r="T23" s="710" t="s">
        <v>17</v>
      </c>
      <c r="U23" s="711">
        <f>H23</f>
        <v>100</v>
      </c>
      <c r="V23" s="710" t="s">
        <v>17</v>
      </c>
      <c r="W23" s="711">
        <f>J23</f>
        <v>100</v>
      </c>
      <c r="X23" s="712"/>
      <c r="Y23" s="346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64"/>
      <c r="Q24" s="1497"/>
      <c r="R24" s="710"/>
      <c r="S24" s="711"/>
      <c r="T24" s="710"/>
      <c r="U24" s="711"/>
      <c r="V24" s="710"/>
      <c r="W24" s="711"/>
      <c r="X24" s="712"/>
      <c r="Y24" s="3464"/>
      <c r="Z24" s="55"/>
      <c r="AA24" s="713">
        <v>1</v>
      </c>
      <c r="AB24" s="713">
        <v>1</v>
      </c>
      <c r="AC24" s="713">
        <v>1</v>
      </c>
    </row>
    <row r="25" spans="1:29" s="113" customFormat="1" ht="41.4">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64"/>
      <c r="Q25" s="1497" t="str">
        <f t="shared" ref="Q25" si="9">B25</f>
        <v>基础设施水平</v>
      </c>
      <c r="R25" s="710" t="s">
        <v>17</v>
      </c>
      <c r="S25" s="711">
        <f>F25</f>
        <v>100</v>
      </c>
      <c r="T25" s="710" t="s">
        <v>17</v>
      </c>
      <c r="U25" s="711">
        <f>H25</f>
        <v>100</v>
      </c>
      <c r="V25" s="710" t="s">
        <v>17</v>
      </c>
      <c r="W25" s="711">
        <f>J25</f>
        <v>100</v>
      </c>
      <c r="X25" s="712"/>
      <c r="Y25" s="346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64"/>
      <c r="Q26" s="1497"/>
      <c r="R26" s="710"/>
      <c r="S26" s="711"/>
      <c r="T26" s="710"/>
      <c r="U26" s="711"/>
      <c r="V26" s="710"/>
      <c r="W26" s="711"/>
      <c r="X26" s="712"/>
      <c r="Y26" s="346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6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4"/>
      <c r="Z27" s="1510" t="str">
        <f t="shared" ref="Z27:Z40" si="13">Q27</f>
        <v>临街状况</v>
      </c>
      <c r="AA27" s="1507">
        <f t="shared" si="3"/>
        <v>1</v>
      </c>
      <c r="AB27" s="1507">
        <f t="shared" si="4"/>
        <v>1</v>
      </c>
      <c r="AC27" s="1507">
        <f t="shared" si="5"/>
        <v>1</v>
      </c>
    </row>
    <row r="28" spans="1:29" ht="28.8">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64"/>
      <c r="Q28" s="1506" t="str">
        <f t="shared" si="8"/>
        <v>毗邻道路的类型与等级</v>
      </c>
      <c r="R28" s="714" t="s">
        <v>17</v>
      </c>
      <c r="S28" s="715">
        <f t="shared" si="10"/>
        <v>100</v>
      </c>
      <c r="T28" s="714" t="s">
        <v>17</v>
      </c>
      <c r="U28" s="715">
        <f t="shared" si="11"/>
        <v>100</v>
      </c>
      <c r="V28" s="714" t="s">
        <v>17</v>
      </c>
      <c r="W28" s="715">
        <f t="shared" si="12"/>
        <v>100</v>
      </c>
      <c r="X28" s="1509"/>
      <c r="Y28" s="346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64"/>
      <c r="Q29" s="1506"/>
      <c r="R29" s="714"/>
      <c r="S29" s="715"/>
      <c r="T29" s="714"/>
      <c r="U29" s="715"/>
      <c r="V29" s="714"/>
      <c r="W29" s="715"/>
      <c r="X29" s="1509"/>
      <c r="Y29" s="346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64"/>
      <c r="Q30" s="1506" t="str">
        <f t="shared" si="8"/>
        <v>土地级别</v>
      </c>
      <c r="R30" s="714" t="s">
        <v>17</v>
      </c>
      <c r="S30" s="715">
        <f t="shared" si="10"/>
        <v>100</v>
      </c>
      <c r="T30" s="714" t="s">
        <v>17</v>
      </c>
      <c r="U30" s="715">
        <f t="shared" si="11"/>
        <v>100</v>
      </c>
      <c r="V30" s="714" t="s">
        <v>17</v>
      </c>
      <c r="W30" s="715">
        <f t="shared" si="12"/>
        <v>100</v>
      </c>
      <c r="X30" s="1509"/>
      <c r="Y30" s="346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64"/>
      <c r="Q31" s="1506">
        <f t="shared" si="8"/>
        <v>111</v>
      </c>
      <c r="R31" s="714" t="s">
        <v>17</v>
      </c>
      <c r="S31" s="715">
        <f t="shared" si="10"/>
        <v>100</v>
      </c>
      <c r="T31" s="714" t="s">
        <v>17</v>
      </c>
      <c r="U31" s="715">
        <f t="shared" si="11"/>
        <v>100</v>
      </c>
      <c r="V31" s="714" t="s">
        <v>17</v>
      </c>
      <c r="W31" s="715">
        <f t="shared" si="12"/>
        <v>100</v>
      </c>
      <c r="X31" s="1509"/>
      <c r="Y31" s="346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7" t="s">
        <v>2326</v>
      </c>
      <c r="Q32" s="1506">
        <f t="shared" si="8"/>
        <v>111</v>
      </c>
      <c r="R32" s="714" t="s">
        <v>17</v>
      </c>
      <c r="S32" s="715">
        <f t="shared" si="10"/>
        <v>100</v>
      </c>
      <c r="T32" s="714" t="s">
        <v>17</v>
      </c>
      <c r="U32" s="715">
        <f t="shared" si="11"/>
        <v>100</v>
      </c>
      <c r="V32" s="714" t="s">
        <v>17</v>
      </c>
      <c r="W32" s="715">
        <f t="shared" si="12"/>
        <v>100</v>
      </c>
      <c r="X32" s="1509"/>
      <c r="Y32" s="3468" t="s">
        <v>2326</v>
      </c>
      <c r="Z32" s="1510">
        <f t="shared" si="13"/>
        <v>111</v>
      </c>
      <c r="AA32" s="1507">
        <f t="shared" si="3"/>
        <v>1</v>
      </c>
      <c r="AB32" s="1507">
        <f t="shared" si="4"/>
        <v>1</v>
      </c>
      <c r="AC32" s="1507">
        <f t="shared" si="5"/>
        <v>1</v>
      </c>
    </row>
    <row r="33" spans="1:31" s="430" customFormat="1" ht="15.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68"/>
      <c r="Q33" s="1506">
        <f t="shared" si="8"/>
        <v>111</v>
      </c>
      <c r="R33" s="717" t="s">
        <v>17</v>
      </c>
      <c r="S33" s="718">
        <f t="shared" si="10"/>
        <v>100</v>
      </c>
      <c r="T33" s="717" t="s">
        <v>17</v>
      </c>
      <c r="U33" s="718">
        <f t="shared" si="11"/>
        <v>100</v>
      </c>
      <c r="V33" s="717" t="s">
        <v>17</v>
      </c>
      <c r="W33" s="718">
        <f t="shared" si="12"/>
        <v>100</v>
      </c>
      <c r="X33" s="719"/>
      <c r="Y33" s="3468"/>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68"/>
      <c r="Q34" s="1506" t="str">
        <f>B34</f>
        <v>宗地面积</v>
      </c>
      <c r="R34" s="714" t="s">
        <v>17</v>
      </c>
      <c r="S34" s="715" t="e">
        <f t="shared" si="10"/>
        <v>#N/A</v>
      </c>
      <c r="T34" s="714" t="s">
        <v>17</v>
      </c>
      <c r="U34" s="715" t="e">
        <f t="shared" si="11"/>
        <v>#N/A</v>
      </c>
      <c r="V34" s="714" t="s">
        <v>17</v>
      </c>
      <c r="W34" s="715" t="e">
        <f t="shared" si="12"/>
        <v>#N/A</v>
      </c>
      <c r="X34" s="1509"/>
      <c r="Y34" s="3468"/>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68"/>
      <c r="Q35" s="1506" t="str">
        <f t="shared" ref="Q35:Q40" si="14">B35</f>
        <v>宗地形状</v>
      </c>
      <c r="R35" s="714" t="s">
        <v>17</v>
      </c>
      <c r="S35" s="715">
        <f t="shared" si="10"/>
        <v>100</v>
      </c>
      <c r="T35" s="714" t="s">
        <v>17</v>
      </c>
      <c r="U35" s="715">
        <f t="shared" si="11"/>
        <v>100</v>
      </c>
      <c r="V35" s="714" t="s">
        <v>17</v>
      </c>
      <c r="W35" s="715">
        <f t="shared" si="12"/>
        <v>100</v>
      </c>
      <c r="X35" s="1509"/>
      <c r="Y35" s="3468"/>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68"/>
      <c r="Q36" s="150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68" t="s">
        <v>2326</v>
      </c>
      <c r="Q37" s="1506" t="str">
        <f t="shared" si="14"/>
        <v>工程地质条件</v>
      </c>
      <c r="R37" s="714" t="s">
        <v>17</v>
      </c>
      <c r="S37" s="715">
        <f t="shared" si="10"/>
        <v>100</v>
      </c>
      <c r="T37" s="714" t="s">
        <v>17</v>
      </c>
      <c r="U37" s="715">
        <f t="shared" si="11"/>
        <v>100</v>
      </c>
      <c r="V37" s="714" t="s">
        <v>17</v>
      </c>
      <c r="W37" s="715">
        <f t="shared" si="12"/>
        <v>100</v>
      </c>
      <c r="X37" s="1509"/>
      <c r="Y37" s="3468"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68"/>
      <c r="Q38" s="1506">
        <f t="shared" si="14"/>
        <v>111</v>
      </c>
      <c r="R38" s="714" t="s">
        <v>17</v>
      </c>
      <c r="S38" s="715">
        <f t="shared" si="10"/>
        <v>100</v>
      </c>
      <c r="T38" s="714" t="s">
        <v>17</v>
      </c>
      <c r="U38" s="715">
        <f t="shared" si="11"/>
        <v>100</v>
      </c>
      <c r="V38" s="714" t="s">
        <v>17</v>
      </c>
      <c r="W38" s="715">
        <f t="shared" si="12"/>
        <v>100</v>
      </c>
      <c r="X38" s="1509"/>
      <c r="Y38" s="346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68"/>
      <c r="Q39" s="1506">
        <f t="shared" si="14"/>
        <v>111</v>
      </c>
      <c r="R39" s="714" t="s">
        <v>17</v>
      </c>
      <c r="S39" s="715">
        <f t="shared" si="10"/>
        <v>100</v>
      </c>
      <c r="T39" s="714" t="s">
        <v>17</v>
      </c>
      <c r="U39" s="715">
        <f t="shared" si="11"/>
        <v>100</v>
      </c>
      <c r="V39" s="714" t="s">
        <v>17</v>
      </c>
      <c r="W39" s="715">
        <f t="shared" si="12"/>
        <v>100</v>
      </c>
      <c r="X39" s="1509"/>
      <c r="Y39" s="3468"/>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68"/>
      <c r="Q40" s="1506">
        <f t="shared" si="14"/>
        <v>111</v>
      </c>
      <c r="R40" s="717" t="s">
        <v>17</v>
      </c>
      <c r="S40" s="718">
        <f t="shared" si="10"/>
        <v>100</v>
      </c>
      <c r="T40" s="717" t="s">
        <v>17</v>
      </c>
      <c r="U40" s="718">
        <f t="shared" si="11"/>
        <v>100</v>
      </c>
      <c r="V40" s="717" t="s">
        <v>17</v>
      </c>
      <c r="W40" s="718">
        <f t="shared" si="12"/>
        <v>100</v>
      </c>
      <c r="X40" s="719"/>
      <c r="Y40" s="3468"/>
      <c r="Z40" s="720">
        <f t="shared" si="13"/>
        <v>111</v>
      </c>
      <c r="AA40" s="1507">
        <f t="shared" si="3"/>
        <v>1</v>
      </c>
      <c r="AB40" s="1507">
        <f t="shared" si="4"/>
        <v>1</v>
      </c>
      <c r="AC40" s="1507">
        <f t="shared" si="5"/>
        <v>1</v>
      </c>
    </row>
    <row r="41" spans="1:31" ht="14.4">
      <c r="A41" s="438" t="s">
        <v>2481</v>
      </c>
      <c r="B41" s="2138" t="s">
        <v>2561</v>
      </c>
      <c r="C41" s="638" t="s">
        <v>1</v>
      </c>
      <c r="D41" s="440"/>
      <c r="E41" s="441"/>
      <c r="F41" s="442"/>
      <c r="G41" s="443"/>
      <c r="H41" s="444"/>
      <c r="I41" s="441"/>
      <c r="J41" s="444"/>
      <c r="K41" s="723"/>
      <c r="L41" s="2921"/>
      <c r="M41" s="2913"/>
      <c r="N41" s="2913"/>
      <c r="O41" s="2922"/>
      <c r="P41" s="3461" t="str">
        <f>A41</f>
        <v>成交单价</v>
      </c>
      <c r="Q41" s="3461"/>
      <c r="R41" s="3456">
        <f>E41</f>
        <v>0</v>
      </c>
      <c r="S41" s="3456"/>
      <c r="T41" s="3456">
        <f>G41</f>
        <v>0</v>
      </c>
      <c r="U41" s="3456"/>
      <c r="V41" s="3456">
        <f>I41</f>
        <v>0</v>
      </c>
      <c r="W41" s="3456"/>
      <c r="X41" s="699"/>
      <c r="Y41" s="721"/>
      <c r="Z41" s="699"/>
      <c r="AA41" s="699"/>
      <c r="AB41" s="699"/>
      <c r="AC41" s="699"/>
    </row>
    <row r="42" spans="1:31" ht="1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61" t="str">
        <f>A42</f>
        <v>比较价值（元/平方米）</v>
      </c>
      <c r="Q42" s="3461"/>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 thickBot="1">
      <c r="A43" s="449" t="s">
        <v>2431</v>
      </c>
      <c r="B43" s="450"/>
      <c r="C43" s="451" t="e">
        <f>R43</f>
        <v>#DIV/0!</v>
      </c>
      <c r="D43" s="451"/>
      <c r="E43" s="451"/>
      <c r="F43" s="451"/>
      <c r="G43" s="451"/>
      <c r="H43" s="451"/>
      <c r="I43" s="451"/>
      <c r="J43" s="451"/>
      <c r="K43" s="724"/>
      <c r="L43" s="2921"/>
      <c r="M43" s="2913"/>
      <c r="N43" s="2913"/>
      <c r="O43" s="2922"/>
      <c r="P43" s="3458" t="str">
        <f>A43</f>
        <v>估价对象XX用房的比较价值（楼面单价，元/平方米）</v>
      </c>
      <c r="Q43" s="3459"/>
      <c r="R43" s="3490" t="e">
        <f>ROUND(IF(D42="简单平均",AVERAGE(R42:W42),R42*F42+T42*H42+V42*J42),0)</f>
        <v>#DIV/0!</v>
      </c>
      <c r="S43" s="3490"/>
      <c r="T43" s="3490"/>
      <c r="U43" s="3490"/>
      <c r="V43" s="3490"/>
      <c r="W43" s="349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4.4"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8.8">
      <c r="A50" s="640" t="s">
        <v>2519</v>
      </c>
      <c r="B50" s="641" t="s">
        <v>2520</v>
      </c>
      <c r="C50" s="2139" t="s">
        <v>2521</v>
      </c>
      <c r="D50" s="2140" t="s">
        <v>2522</v>
      </c>
      <c r="E50" s="642" t="s">
        <v>2523</v>
      </c>
      <c r="F50" s="643" t="s">
        <v>2524</v>
      </c>
      <c r="G50" s="3444" t="s">
        <v>2525</v>
      </c>
      <c r="H50" s="3491"/>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9321.1299999999992</v>
      </c>
      <c r="F51" s="647" t="e">
        <f t="shared" ref="F51:F60" si="15">ROUND(B51*E51/10000,0)</f>
        <v>#DIV/0!</v>
      </c>
      <c r="G51" s="3443"/>
      <c r="H51" s="3461"/>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2"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4.4"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4.4" thickBot="1">
      <c r="A61" s="651" t="s">
        <v>2542</v>
      </c>
      <c r="B61" s="652" t="s">
        <v>28</v>
      </c>
      <c r="C61" s="652" t="s">
        <v>29</v>
      </c>
      <c r="D61" s="652" t="s">
        <v>997</v>
      </c>
      <c r="E61" s="652">
        <f>IF(B41="楼面地价",SUM(E51:E60),'数据-汇总表'!D3)</f>
        <v>16308.9</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2.2"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4.4">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4.4">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4.4"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ht="14.4">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4.4"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9.4"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4.4"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4.4"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4.4"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4.4"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4.4"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4.4"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4.4"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ht="14.4">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9.4"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4.4"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4.4"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4.4"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4.4"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4.4"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4.4"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14.4">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4.4"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4.4"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4.4"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4.4"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4.4"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4.4"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4.4"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 zoomScale="85" zoomScaleNormal="80" zoomScaleSheetLayoutView="85" workbookViewId="0">
      <selection activeCell="G20" sqref="G20"/>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6.4">
      <c r="A2" s="207" t="s">
        <v>2573</v>
      </c>
      <c r="B2" s="210">
        <f>C26</f>
        <v>0</v>
      </c>
      <c r="C2" s="2155" t="s">
        <v>2574</v>
      </c>
      <c r="D2" s="2156" t="s">
        <v>2575</v>
      </c>
      <c r="E2" s="2157" t="s">
        <v>6</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Ⅵ-天竺保税区南</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3.2682000000000002</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6">
      <c r="A3" s="209" t="s">
        <v>2579</v>
      </c>
      <c r="B3" s="210" t="e">
        <f>ROUND(B2*10000/D1,0)</f>
        <v>#DIV/0!</v>
      </c>
      <c r="C3" s="2155" t="s">
        <v>2580</v>
      </c>
      <c r="D3" s="2156" t="s">
        <v>2581</v>
      </c>
      <c r="E3" s="2161" t="s">
        <v>3150</v>
      </c>
      <c r="F3" s="2162" t="s">
        <v>2582</v>
      </c>
      <c r="G3" s="855">
        <f>IF(F3="宗地容积率",'数据-汇总表'!I4,IF(F3="估价对象容积率",'数据-汇总表'!I6,'数据-汇总表'!I7))</f>
        <v>0.56999999999999995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2.3460000000000001</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516"/>
      <c r="B4" s="3517"/>
      <c r="C4" s="3517"/>
      <c r="D4" s="3518"/>
      <c r="E4" s="3518"/>
      <c r="F4" s="3518"/>
      <c r="G4" s="3518"/>
      <c r="H4" s="3518"/>
      <c r="I4" s="3518"/>
      <c r="J4" s="3519"/>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1.8926000000000001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2587</v>
      </c>
      <c r="C5" s="856">
        <f>ROUND(IF(E2="商业",C6*C7+C16,(IF(E2="住宅",C6*C12+C16,C6+C16))),0)</f>
        <v>1535</v>
      </c>
      <c r="D5" s="1493">
        <f>ROUND(C6+C16,0)</f>
        <v>1535</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1.5185999999999999</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2589</v>
      </c>
      <c r="B6" s="2174" t="s">
        <v>2590</v>
      </c>
      <c r="C6" s="857">
        <f>SUMIF(L1:L12,G2,M1:M12)</f>
        <v>1610</v>
      </c>
      <c r="D6" s="2175" t="s">
        <v>2591</v>
      </c>
      <c r="E6" s="2176"/>
      <c r="F6" s="2176"/>
      <c r="G6" s="2177"/>
      <c r="H6" s="2177"/>
      <c r="I6" s="2177"/>
      <c r="J6" s="2178"/>
      <c r="K6" s="1538"/>
      <c r="L6" s="2160" t="s">
        <v>2592</v>
      </c>
      <c r="M6" s="995">
        <f>SUMPRODUCT((区片价!B110:B157=I2)*(区片价!C3:F3=E2)*(区片价!C110:F157))</f>
        <v>1610</v>
      </c>
      <c r="N6" s="997">
        <f>SUMPRODUCT((因素修正幅度!B110:B157=I2)*(因素修正幅度!C3:F3=E2)*(因素修正幅度!C110:F157))</f>
        <v>0.05</v>
      </c>
      <c r="O6" s="1252"/>
      <c r="P6" s="1252"/>
      <c r="Q6" s="1252"/>
      <c r="R6" s="1346">
        <v>5</v>
      </c>
      <c r="S6" s="1346">
        <f>ROUND(IF(G3&gt;1,IF(R6&lt;7,SUMPRODUCT((B93:B98=R6)*(C92:N92=G2)*(C93:N98)),SUMIF(C92:N92,G2,C100:N100)),IF(R6&lt;7,SUMPRODUCT((B102:B107=R6)*(C92:N92=G2)*(C102:N107)),SUMIF(C92:N92,G2,C109:N109))),4)</f>
        <v>1.2931999999999999</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97"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1.1372</v>
      </c>
      <c r="T7" s="1346">
        <f t="shared" si="0"/>
        <v>0</v>
      </c>
      <c r="U7" s="1347"/>
      <c r="V7" s="1346">
        <f t="shared" si="1"/>
        <v>0</v>
      </c>
      <c r="W7" s="1512" t="s">
        <v>2596</v>
      </c>
      <c r="X7" s="1348" t="str">
        <f>G2</f>
        <v>六级</v>
      </c>
      <c r="Y7" s="1348" t="s">
        <v>2597</v>
      </c>
      <c r="Z7" s="1349">
        <f>G3</f>
        <v>0.56999999999999995</v>
      </c>
      <c r="AA7" s="1350"/>
      <c r="AB7" s="1350"/>
      <c r="AC7" s="1351"/>
      <c r="AD7" s="1352"/>
      <c r="AE7" s="1352"/>
      <c r="AF7" s="1352"/>
      <c r="AG7" s="1352"/>
      <c r="AH7" s="1352"/>
      <c r="AI7" s="1352"/>
      <c r="AJ7" s="1353"/>
    </row>
    <row r="8" spans="1:36" ht="15">
      <c r="A8" s="3520"/>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3" t="s">
        <v>2601</v>
      </c>
      <c r="X8" s="3514"/>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5"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2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5" t="s">
        <v>2625</v>
      </c>
      <c r="X11" s="1358" t="s">
        <v>2626</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8" thickBot="1">
      <c r="A12" s="3497"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5"/>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5"/>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21"/>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6" thickBot="1">
      <c r="A15" s="352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97" t="s">
        <v>2644</v>
      </c>
      <c r="B16" s="2179" t="s">
        <v>2645</v>
      </c>
      <c r="C16" s="2341">
        <f>ROUND(IF(F17="与级别开发程度一致",0,(G17-E17)/C17),0)</f>
        <v>-75</v>
      </c>
      <c r="D16" s="3510" t="s">
        <v>2649</v>
      </c>
      <c r="E16" s="3511"/>
      <c r="F16" s="3510" t="s">
        <v>2646</v>
      </c>
      <c r="G16" s="3511"/>
      <c r="H16" s="2211" t="s">
        <v>3134</v>
      </c>
      <c r="I16" s="2211" t="s">
        <v>3135</v>
      </c>
      <c r="J16" s="2345" t="s">
        <v>3136</v>
      </c>
      <c r="K16" s="2211" t="s">
        <v>3137</v>
      </c>
      <c r="L16" s="2211" t="s">
        <v>3138</v>
      </c>
      <c r="M16" s="2211" t="s">
        <v>3152</v>
      </c>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7" thickBot="1">
      <c r="A17" s="3498"/>
      <c r="B17" s="2352" t="s">
        <v>2648</v>
      </c>
      <c r="C17" s="2353">
        <f>SUMPRODUCT((修正!A2:A5=E2)*(修正!B1:M1=G2)*(修正!B2:M5))</f>
        <v>1.2</v>
      </c>
      <c r="D17" s="193" t="str">
        <f>IF(OR(G2="八级",G2="九级",G2="十级",G2="十一级",G2="十二级"),"五通一平","七通一平")</f>
        <v>七通一平</v>
      </c>
      <c r="E17" s="2342">
        <f>SUMPRODUCT((修正!B1:M1=G2)*(修正!B15:M15))</f>
        <v>300</v>
      </c>
      <c r="F17" s="2343" t="s">
        <v>3151</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4" thickBot="1">
      <c r="A19" s="2216" t="s">
        <v>809</v>
      </c>
      <c r="B19" s="2217" t="s">
        <v>2652</v>
      </c>
      <c r="C19" s="863">
        <f>ROUND(IF(H19="按公示增长率计算",SUMPRODUCT((地价!A3:A37=YEAR(G19)&amp;"-"&amp;ROUNDUP(MONTH(G19)/3,0))*(地价!X2:AB2=E2)*(地价!X3:AB37)),IF(H19="地价指数",M20/M19,(1+I19)^O19)),4)</f>
        <v>0</v>
      </c>
      <c r="D19" s="2221" t="s">
        <v>2653</v>
      </c>
      <c r="E19" s="864">
        <v>41640</v>
      </c>
      <c r="F19" s="2221" t="s">
        <v>2654</v>
      </c>
      <c r="G19" s="865">
        <f>'数据-取费表'!B2</f>
        <v>44663</v>
      </c>
      <c r="H19" s="2222" t="s">
        <v>3153</v>
      </c>
      <c r="I19" s="866" t="str">
        <f>IF(H19="季度增幅（自定义）",SUMIF(N21:N24,E2,O21:O24),"")</f>
        <v/>
      </c>
      <c r="J19" s="2219"/>
      <c r="K19" s="1259"/>
      <c r="L19" s="2223" t="s">
        <v>2655</v>
      </c>
      <c r="M19" s="1468">
        <f>ROUND(SUMIF(地价!B2:F2,E2,地价!B37:F37),0)</f>
        <v>230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9.4" thickBot="1">
      <c r="A20" s="2226" t="s">
        <v>810</v>
      </c>
      <c r="B20" s="2227" t="s">
        <v>2657</v>
      </c>
      <c r="C20" s="868">
        <f>ROUND(POWER(1+G20,J20-I20)*(POWER(1+G20,I20)-1)/(POWER(1+G20,J20)-1),4)</f>
        <v>0.88519999999999999</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34.36</v>
      </c>
      <c r="J20" s="875">
        <f>IF(E2="住宅",70,IF(E2="商业",40,50))</f>
        <v>50</v>
      </c>
      <c r="K20" s="1259"/>
      <c r="L20" s="2229" t="s">
        <v>2660</v>
      </c>
      <c r="M20" s="1469">
        <f>ROUND(SUMPRODUCT((地价!A4:A37=YEAR(G19)&amp;"-"&amp;ROUNDUP(MONTH(G19)/3,0))*(地价!B2:F2=E2)*(地价!B4:F37)),0)</f>
        <v>0</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4.4">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4">
      <c r="A22" s="2111" t="s">
        <v>2666</v>
      </c>
      <c r="B22" s="2238" t="s">
        <v>2667</v>
      </c>
      <c r="C22" s="1506" t="s">
        <v>2668</v>
      </c>
      <c r="D22" s="1506">
        <f>IF(E22=G22,F22,IF(G3&lt;=10,ROUND(F22+(H22-F22)*(G3-E22)/(G22-E22),4),"——"))</f>
        <v>1.9641999999999999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7"/>
      <c r="M22" s="2987"/>
      <c r="N22" s="2237" t="s">
        <v>2669</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9.4"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7"/>
      <c r="B33" s="2282" t="s">
        <v>2691</v>
      </c>
      <c r="C33" s="180">
        <f>ROUND(D5*C19*C20*C24*F33,0)</f>
        <v>0</v>
      </c>
      <c r="D33" s="2266"/>
      <c r="E33" s="176">
        <f>ROUND(C33*D33/10000,0)</f>
        <v>0</v>
      </c>
      <c r="F33" s="176">
        <f>SUMIF(修正!A45:A56,G2,修正!B45:B56)</f>
        <v>0.7</v>
      </c>
      <c r="G33" s="176">
        <f t="shared" ref="G33" si="6">ROUND(IF(E2="工业",C33*$M$39,C33*$M$38),0)</f>
        <v>0</v>
      </c>
      <c r="H33" s="176">
        <f>D33</f>
        <v>0</v>
      </c>
      <c r="I33" s="176">
        <f>ROUND(G33*H33/10000,0)</f>
        <v>0</v>
      </c>
      <c r="J33" s="351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508"/>
      <c r="B34" s="2199" t="s">
        <v>2692</v>
      </c>
      <c r="C34" s="180">
        <f>ROUND(D5*C19*C20*C24*F34,0)</f>
        <v>0</v>
      </c>
      <c r="D34" s="2266"/>
      <c r="E34" s="176">
        <f t="shared" ref="E34:E39" si="7">ROUND(C34*D34/10000,0)</f>
        <v>0</v>
      </c>
      <c r="F34" s="176">
        <f>SUMIF(修正!A45:A56,G2,修正!C45:C56)</f>
        <v>0.4</v>
      </c>
      <c r="G34" s="176">
        <f>ROUND(IF(E2="工业",C34*$M$39,C34*$M$38),0)</f>
        <v>0</v>
      </c>
      <c r="H34" s="176">
        <f t="shared" ref="H34:H39" si="8">D34</f>
        <v>0</v>
      </c>
      <c r="I34" s="176">
        <f t="shared" ref="I34:I39" si="9">ROUND(G34*H34/10000,0)</f>
        <v>0</v>
      </c>
      <c r="J34" s="350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8"/>
      <c r="B35" s="2199" t="s">
        <v>2693</v>
      </c>
      <c r="C35" s="180">
        <f>ROUND(D5*C19*C20*C24*F35,0)</f>
        <v>0</v>
      </c>
      <c r="D35" s="2266"/>
      <c r="E35" s="176">
        <f t="shared" si="7"/>
        <v>0</v>
      </c>
      <c r="F35" s="176">
        <f>SUMIF(修正!A45:A56,G2,修正!D45:D56)</f>
        <v>0.28000000000000003</v>
      </c>
      <c r="G35" s="176">
        <f>ROUND(IF(E2="工业",C35*$M$39,C35*$M$38),0)</f>
        <v>0</v>
      </c>
      <c r="H35" s="176">
        <f t="shared" si="8"/>
        <v>0</v>
      </c>
      <c r="I35" s="176">
        <f t="shared" si="9"/>
        <v>0</v>
      </c>
      <c r="J35" s="350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509"/>
      <c r="B36" s="2199" t="s">
        <v>2694</v>
      </c>
      <c r="C36" s="180">
        <f>ROUND(D5*C19*C20*C24*F36,0)</f>
        <v>0</v>
      </c>
      <c r="D36" s="2266"/>
      <c r="E36" s="176">
        <f t="shared" si="7"/>
        <v>0</v>
      </c>
      <c r="F36" s="176">
        <f>SUMIF(修正!A45:A56,G2,修正!E45:E56)</f>
        <v>0.25</v>
      </c>
      <c r="G36" s="176">
        <f>ROUND(IF(E2="工业",C36*$M$39,C36*$M$38),0)</f>
        <v>0</v>
      </c>
      <c r="H36" s="176">
        <f t="shared" si="8"/>
        <v>0</v>
      </c>
      <c r="I36" s="176">
        <f t="shared" si="9"/>
        <v>0</v>
      </c>
      <c r="J36" s="350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0</v>
      </c>
      <c r="D37" s="2266"/>
      <c r="E37" s="176">
        <f t="shared" si="7"/>
        <v>0</v>
      </c>
      <c r="F37" s="180">
        <f>SUMIF(修正!A45:A56,G2,修正!F45:F56)</f>
        <v>0.25</v>
      </c>
      <c r="G37" s="176">
        <f>ROUND(IF(E2="工业",C37*$M$39,C37*$M$38),0)</f>
        <v>0</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2699</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2804</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52.8">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52.8">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66">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9.6">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2728</v>
      </c>
      <c r="B79" s="2296">
        <f>1+E81</f>
        <v>1</v>
      </c>
      <c r="C79" s="753"/>
      <c r="D79" s="753"/>
      <c r="E79" s="754"/>
      <c r="F79" s="2298"/>
      <c r="G79" s="6"/>
      <c r="H79" s="6"/>
      <c r="I79" s="6"/>
      <c r="J79" s="7"/>
      <c r="K79" s="7"/>
      <c r="L79" s="7"/>
      <c r="M79" s="7"/>
      <c r="N79" s="7"/>
      <c r="Z79" s="2154"/>
      <c r="AA79" s="2220"/>
      <c r="AG79" s="1254"/>
      <c r="AK79" s="2220"/>
    </row>
    <row r="80" spans="1:37" ht="25.2">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9.6">
      <c r="A81" s="2299" t="s">
        <v>2729</v>
      </c>
      <c r="B81" s="2303" t="str">
        <f>估价对象房地状况!G15</f>
        <v>估价对象位于XX开发区，园区建设成熟度XX，产业集聚程度XX</v>
      </c>
      <c r="C81" s="2204"/>
      <c r="D81" s="1196">
        <f t="shared" ref="D81:D88" si="25">SUMIF($J$80:$N$80,C81,J81:N81)</f>
        <v>0</v>
      </c>
      <c r="E81" s="760">
        <f>ROUND(SUM(D81:D88),4)</f>
        <v>0</v>
      </c>
      <c r="F81" s="1970">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6">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f t="shared" si="26"/>
        <v>8.2000000000000007E-3</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f t="shared" si="26"/>
        <v>1.1999999999999999E-3</v>
      </c>
      <c r="I83" s="759">
        <v>0.05</v>
      </c>
      <c r="J83" s="1195">
        <f t="shared" si="27"/>
        <v>0</v>
      </c>
      <c r="K83" s="1195">
        <f t="shared" si="28"/>
        <v>0</v>
      </c>
      <c r="L83" s="1195">
        <v>0</v>
      </c>
      <c r="M83" s="1195">
        <f t="shared" si="29"/>
        <v>0</v>
      </c>
      <c r="N83" s="1195">
        <f t="shared" si="29"/>
        <v>0</v>
      </c>
      <c r="Z83" s="2154"/>
      <c r="AA83" s="2220"/>
      <c r="AG83" s="1254"/>
      <c r="AK83" s="2220"/>
    </row>
    <row r="84" spans="1:37" ht="13.8">
      <c r="A84" s="2299" t="s">
        <v>2726</v>
      </c>
      <c r="B84" s="2303">
        <f>估价对象房地状况!G22</f>
        <v>0</v>
      </c>
      <c r="C84" s="2204"/>
      <c r="D84" s="1196">
        <f t="shared" si="25"/>
        <v>0</v>
      </c>
      <c r="E84" s="765"/>
      <c r="F84" s="1970"/>
      <c r="G84" s="1194"/>
      <c r="H84" s="1198">
        <f t="shared" si="26"/>
        <v>1E-3</v>
      </c>
      <c r="I84" s="759">
        <v>0.04</v>
      </c>
      <c r="J84" s="1195">
        <f t="shared" si="27"/>
        <v>0</v>
      </c>
      <c r="K84" s="1195">
        <f t="shared" si="28"/>
        <v>0</v>
      </c>
      <c r="L84" s="1195">
        <v>0</v>
      </c>
      <c r="M84" s="1195">
        <f t="shared" si="29"/>
        <v>0</v>
      </c>
      <c r="N84" s="1195">
        <f t="shared" si="29"/>
        <v>0</v>
      </c>
      <c r="Z84" s="2154"/>
      <c r="AA84" s="2220"/>
      <c r="AG84" s="1254"/>
      <c r="AK84" s="2220"/>
    </row>
    <row r="85" spans="1:37" ht="26.4">
      <c r="A85" s="2299" t="s">
        <v>2718</v>
      </c>
      <c r="B85" s="1466" t="str">
        <f>估价对象房地状况!G19</f>
        <v>估价对象所在区域公共配套设施齐备情况</v>
      </c>
      <c r="C85" s="2204"/>
      <c r="D85" s="1196">
        <f t="shared" si="25"/>
        <v>0</v>
      </c>
      <c r="E85" s="765"/>
      <c r="F85" s="1970"/>
      <c r="G85" s="1194"/>
      <c r="H85" s="1198">
        <f t="shared" si="26"/>
        <v>1.5E-3</v>
      </c>
      <c r="I85" s="759">
        <v>0.06</v>
      </c>
      <c r="J85" s="1195">
        <f t="shared" si="27"/>
        <v>0</v>
      </c>
      <c r="K85" s="1195">
        <f t="shared" si="28"/>
        <v>0</v>
      </c>
      <c r="L85" s="1195">
        <v>0</v>
      </c>
      <c r="M85" s="1195">
        <f t="shared" si="29"/>
        <v>0</v>
      </c>
      <c r="N85" s="1195">
        <f t="shared" si="29"/>
        <v>0</v>
      </c>
      <c r="Z85" s="2154"/>
      <c r="AA85" s="2220"/>
      <c r="AG85" s="1254"/>
      <c r="AK85" s="2220"/>
    </row>
    <row r="86" spans="1:37" ht="26.4">
      <c r="A86" s="2299" t="s">
        <v>2719</v>
      </c>
      <c r="B86" s="1466" t="str">
        <f>估价对象房地状况!G20</f>
        <v>估价对象所在区域基础设施水平</v>
      </c>
      <c r="C86" s="2204"/>
      <c r="D86" s="1196">
        <f t="shared" si="25"/>
        <v>0</v>
      </c>
      <c r="E86" s="765"/>
      <c r="F86" s="1970"/>
      <c r="G86" s="1194"/>
      <c r="H86" s="1198">
        <f t="shared" si="26"/>
        <v>3.7000000000000002E-3</v>
      </c>
      <c r="I86" s="759">
        <v>0.15</v>
      </c>
      <c r="J86" s="1195">
        <f t="shared" si="27"/>
        <v>0</v>
      </c>
      <c r="K86" s="1195">
        <f t="shared" si="28"/>
        <v>0</v>
      </c>
      <c r="L86" s="1195">
        <v>0</v>
      </c>
      <c r="M86" s="1195">
        <f t="shared" si="29"/>
        <v>0</v>
      </c>
      <c r="N86" s="1195">
        <f t="shared" si="29"/>
        <v>0</v>
      </c>
      <c r="Z86" s="2154"/>
      <c r="AA86" s="2220"/>
      <c r="AG86" s="1254"/>
      <c r="AK86" s="2220"/>
    </row>
    <row r="87" spans="1:37" ht="36">
      <c r="A87" s="2299" t="s">
        <v>2716</v>
      </c>
      <c r="B87" s="2305" t="s">
        <v>2730</v>
      </c>
      <c r="C87" s="2204"/>
      <c r="D87" s="1196">
        <f t="shared" si="25"/>
        <v>0</v>
      </c>
      <c r="E87" s="765"/>
      <c r="F87" s="1970"/>
      <c r="G87" s="1194"/>
      <c r="H87" s="1198">
        <f t="shared" si="26"/>
        <v>1.1999999999999999E-3</v>
      </c>
      <c r="I87" s="759">
        <v>0.05</v>
      </c>
      <c r="J87" s="1195">
        <f t="shared" si="27"/>
        <v>0</v>
      </c>
      <c r="K87" s="1195">
        <f t="shared" si="28"/>
        <v>0</v>
      </c>
      <c r="L87" s="1195">
        <v>0</v>
      </c>
      <c r="M87" s="1195">
        <f t="shared" si="29"/>
        <v>0</v>
      </c>
      <c r="N87" s="1195">
        <f t="shared" si="29"/>
        <v>0</v>
      </c>
      <c r="Z87" s="2154"/>
      <c r="AA87" s="2220"/>
      <c r="AG87" s="1254"/>
      <c r="AK87" s="2220"/>
    </row>
    <row r="88" spans="1:37" ht="53.4" thickBot="1">
      <c r="A88" s="2307" t="s">
        <v>2731</v>
      </c>
      <c r="B88" s="2312" t="str">
        <f>估价对象房地状况!G18</f>
        <v>该园区内是否有污染型企业，绿化情况，卫生条件，整体环境状况判断</v>
      </c>
      <c r="C88" s="2204"/>
      <c r="D88" s="1196">
        <f t="shared" si="25"/>
        <v>0</v>
      </c>
      <c r="E88" s="766"/>
      <c r="F88" s="1970"/>
      <c r="G88" s="1194"/>
      <c r="H88" s="1198">
        <f t="shared" si="26"/>
        <v>1.5E-3</v>
      </c>
      <c r="I88" s="763">
        <v>0.06</v>
      </c>
      <c r="J88" s="1195">
        <f t="shared" si="27"/>
        <v>0</v>
      </c>
      <c r="K88" s="1195">
        <f t="shared" si="28"/>
        <v>0</v>
      </c>
      <c r="L88" s="1195">
        <v>0</v>
      </c>
      <c r="M88" s="1195">
        <f t="shared" si="29"/>
        <v>0</v>
      </c>
      <c r="N88" s="1195">
        <f t="shared" si="29"/>
        <v>0</v>
      </c>
      <c r="Z88" s="2154"/>
      <c r="AA88" s="2220"/>
      <c r="AG88" s="1254"/>
      <c r="AK88" s="2220"/>
    </row>
    <row r="90" spans="1:37">
      <c r="A90" s="3499" t="s">
        <v>2732</v>
      </c>
      <c r="B90" s="3499"/>
      <c r="C90" s="3499"/>
      <c r="D90" s="3499"/>
      <c r="E90" s="3499"/>
      <c r="F90" s="3499"/>
      <c r="G90" s="3499"/>
      <c r="H90" s="3499"/>
      <c r="I90" s="3499"/>
      <c r="J90" s="3499"/>
      <c r="K90" s="2313"/>
      <c r="L90" s="2313"/>
      <c r="M90" s="2313"/>
      <c r="N90" s="2313"/>
    </row>
    <row r="91" spans="1:37">
      <c r="A91" s="3501" t="s">
        <v>2733</v>
      </c>
      <c r="B91" s="3501" t="s">
        <v>2734</v>
      </c>
      <c r="C91" s="2267" t="s">
        <v>2735</v>
      </c>
      <c r="D91" s="2268"/>
      <c r="E91" s="2268"/>
      <c r="F91" s="2268"/>
      <c r="G91" s="2268"/>
      <c r="H91" s="2268"/>
      <c r="I91" s="2268"/>
      <c r="J91" s="2314"/>
      <c r="K91" s="2315"/>
      <c r="L91" s="2315"/>
      <c r="M91" s="2315"/>
      <c r="N91" s="2315"/>
    </row>
    <row r="92" spans="1:37">
      <c r="A92" s="3501"/>
      <c r="B92" s="350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2" t="s">
        <v>2737</v>
      </c>
      <c r="B101" s="2320" t="s">
        <v>2738</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03"/>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03"/>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03"/>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03"/>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03"/>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03"/>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03"/>
      <c r="B108" s="350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4"/>
      <c r="B109" s="3506"/>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00" t="s">
        <v>2740</v>
      </c>
      <c r="B110" s="3500"/>
      <c r="C110" s="3500"/>
      <c r="D110" s="3500"/>
      <c r="E110" s="3500"/>
      <c r="F110" s="3500"/>
      <c r="G110" s="3500"/>
      <c r="H110" s="3500"/>
      <c r="I110" s="3500"/>
      <c r="J110" s="3500"/>
      <c r="K110" s="2322"/>
      <c r="L110" s="2322"/>
      <c r="M110" s="2322"/>
      <c r="N110" s="2322"/>
    </row>
    <row r="112" spans="1:14" ht="13.8" thickBot="1"/>
    <row r="113" spans="1:13" ht="25.8" thickBot="1">
      <c r="A113" s="842" t="s">
        <v>2741</v>
      </c>
      <c r="B113" s="1197">
        <f>G3</f>
        <v>0.56999999999999995</v>
      </c>
      <c r="C113" s="843" t="s">
        <v>2742</v>
      </c>
      <c r="D113" s="844">
        <f>SUMPRODUCT((A115:A118=F113)*(B114:M114=H113)*B115:M118)</f>
        <v>0.62290000000000001</v>
      </c>
      <c r="E113" s="2158" t="s">
        <v>2575</v>
      </c>
      <c r="F113" s="2324" t="str">
        <f>E2</f>
        <v>工业</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2641</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2642</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8" thickBot="1">
      <c r="A118" s="670" t="s">
        <v>2643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23" t="s">
        <v>614</v>
      </c>
      <c r="C61" s="757" t="s">
        <v>615</v>
      </c>
      <c r="D61" s="757" t="s">
        <v>616</v>
      </c>
      <c r="E61" s="834">
        <v>0.5</v>
      </c>
      <c r="F61" s="821">
        <v>80</v>
      </c>
    </row>
    <row r="62" spans="1:8" s="817" customFormat="1" ht="36">
      <c r="A62" s="821">
        <v>2</v>
      </c>
      <c r="B62" s="3523"/>
      <c r="C62" s="757" t="s">
        <v>617</v>
      </c>
      <c r="D62" s="757" t="s">
        <v>618</v>
      </c>
      <c r="E62" s="834">
        <v>0.5</v>
      </c>
      <c r="F62" s="821">
        <v>80</v>
      </c>
    </row>
    <row r="63" spans="1:8" s="817" customFormat="1" ht="48">
      <c r="A63" s="821">
        <v>3</v>
      </c>
      <c r="B63" s="3523"/>
      <c r="C63" s="757" t="s">
        <v>619</v>
      </c>
      <c r="D63" s="757" t="s">
        <v>620</v>
      </c>
      <c r="E63" s="834">
        <v>0.5</v>
      </c>
      <c r="F63" s="821">
        <v>80</v>
      </c>
    </row>
    <row r="64" spans="1:8" s="817" customFormat="1" ht="48">
      <c r="A64" s="821">
        <v>4</v>
      </c>
      <c r="B64" s="3523"/>
      <c r="C64" s="757" t="s">
        <v>621</v>
      </c>
      <c r="D64" s="757" t="s">
        <v>622</v>
      </c>
      <c r="E64" s="834">
        <v>0.4</v>
      </c>
      <c r="F64" s="821">
        <v>60</v>
      </c>
    </row>
    <row r="65" spans="1:6" s="817" customFormat="1" ht="48">
      <c r="A65" s="821">
        <v>5</v>
      </c>
      <c r="B65" s="3523"/>
      <c r="C65" s="757" t="s">
        <v>623</v>
      </c>
      <c r="D65" s="757" t="s">
        <v>624</v>
      </c>
      <c r="E65" s="834">
        <v>0.2</v>
      </c>
      <c r="F65" s="821">
        <v>30</v>
      </c>
    </row>
    <row r="66" spans="1:6" s="817" customFormat="1" ht="48">
      <c r="A66" s="821">
        <v>6</v>
      </c>
      <c r="B66" s="3523"/>
      <c r="C66" s="757" t="s">
        <v>625</v>
      </c>
      <c r="D66" s="757" t="s">
        <v>626</v>
      </c>
      <c r="E66" s="834">
        <v>0.3</v>
      </c>
      <c r="F66" s="821">
        <v>50</v>
      </c>
    </row>
    <row r="67" spans="1:6" s="817" customFormat="1" ht="48">
      <c r="A67" s="821">
        <v>7</v>
      </c>
      <c r="B67" s="3523"/>
      <c r="C67" s="757" t="s">
        <v>627</v>
      </c>
      <c r="D67" s="757" t="s">
        <v>628</v>
      </c>
      <c r="E67" s="834">
        <v>0.2</v>
      </c>
      <c r="F67" s="821">
        <v>30</v>
      </c>
    </row>
    <row r="68" spans="1:6" s="817" customFormat="1" ht="48">
      <c r="A68" s="821">
        <v>8</v>
      </c>
      <c r="B68" s="3523"/>
      <c r="C68" s="757" t="s">
        <v>629</v>
      </c>
      <c r="D68" s="757" t="s">
        <v>630</v>
      </c>
      <c r="E68" s="834">
        <v>0.2</v>
      </c>
      <c r="F68" s="821">
        <v>30</v>
      </c>
    </row>
    <row r="69" spans="1:6" s="817" customFormat="1" ht="48">
      <c r="A69" s="821">
        <v>9</v>
      </c>
      <c r="B69" s="3523"/>
      <c r="C69" s="757" t="s">
        <v>631</v>
      </c>
      <c r="D69" s="757" t="s">
        <v>632</v>
      </c>
      <c r="E69" s="834">
        <v>0.2</v>
      </c>
      <c r="F69" s="821">
        <v>30</v>
      </c>
    </row>
    <row r="70" spans="1:6" s="817" customFormat="1" ht="60">
      <c r="A70" s="821">
        <v>10</v>
      </c>
      <c r="B70" s="3523"/>
      <c r="C70" s="757" t="s">
        <v>633</v>
      </c>
      <c r="D70" s="757" t="s">
        <v>634</v>
      </c>
      <c r="E70" s="834">
        <v>0.2</v>
      </c>
      <c r="F70" s="821">
        <v>30</v>
      </c>
    </row>
    <row r="71" spans="1:6" s="817" customFormat="1" ht="60">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36">
      <c r="A73" s="821">
        <v>13</v>
      </c>
      <c r="B73" s="3523"/>
      <c r="C73" s="757" t="s">
        <v>639</v>
      </c>
      <c r="D73" s="757" t="s">
        <v>640</v>
      </c>
      <c r="E73" s="834">
        <v>0.4</v>
      </c>
      <c r="F73" s="821">
        <v>60</v>
      </c>
    </row>
    <row r="74" spans="1:6" s="817" customFormat="1" ht="36">
      <c r="A74" s="821">
        <v>14</v>
      </c>
      <c r="B74" s="3523"/>
      <c r="C74" s="757" t="s">
        <v>641</v>
      </c>
      <c r="D74" s="757" t="s">
        <v>642</v>
      </c>
      <c r="E74" s="834">
        <v>0.2</v>
      </c>
      <c r="F74" s="821">
        <v>30</v>
      </c>
    </row>
    <row r="75" spans="1:6" s="817" customFormat="1" ht="36">
      <c r="A75" s="821">
        <v>15</v>
      </c>
      <c r="B75" s="3523"/>
      <c r="C75" s="757" t="s">
        <v>643</v>
      </c>
      <c r="D75" s="757" t="s">
        <v>644</v>
      </c>
      <c r="E75" s="834">
        <v>0.2</v>
      </c>
      <c r="F75" s="821">
        <v>30</v>
      </c>
    </row>
    <row r="76" spans="1:6" s="817" customFormat="1" ht="36">
      <c r="A76" s="821">
        <v>16</v>
      </c>
      <c r="B76" s="3523" t="s">
        <v>645</v>
      </c>
      <c r="C76" s="757" t="s">
        <v>646</v>
      </c>
      <c r="D76" s="757" t="s">
        <v>647</v>
      </c>
      <c r="E76" s="834">
        <v>0.5</v>
      </c>
      <c r="F76" s="821">
        <v>80</v>
      </c>
    </row>
    <row r="77" spans="1:6" s="817" customFormat="1" ht="36">
      <c r="A77" s="821">
        <v>17</v>
      </c>
      <c r="B77" s="3523"/>
      <c r="C77" s="757" t="s">
        <v>648</v>
      </c>
      <c r="D77" s="757" t="s">
        <v>649</v>
      </c>
      <c r="E77" s="834">
        <v>0.5</v>
      </c>
      <c r="F77" s="821">
        <v>80</v>
      </c>
    </row>
    <row r="78" spans="1:6" s="817" customFormat="1" ht="36">
      <c r="A78" s="821">
        <v>18</v>
      </c>
      <c r="B78" s="3523"/>
      <c r="C78" s="757" t="s">
        <v>650</v>
      </c>
      <c r="D78" s="757" t="s">
        <v>651</v>
      </c>
      <c r="E78" s="834">
        <v>0.2</v>
      </c>
      <c r="F78" s="821">
        <v>30</v>
      </c>
    </row>
    <row r="79" spans="1:6" s="817" customFormat="1" ht="36">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60">
      <c r="A82" s="821">
        <v>22</v>
      </c>
      <c r="B82" s="3523"/>
      <c r="C82" s="757" t="s">
        <v>658</v>
      </c>
      <c r="D82" s="757" t="s">
        <v>659</v>
      </c>
      <c r="E82" s="834">
        <v>0.2</v>
      </c>
      <c r="F82" s="821">
        <v>30</v>
      </c>
    </row>
    <row r="83" spans="1:6" s="817" customFormat="1" ht="60">
      <c r="A83" s="821">
        <v>23</v>
      </c>
      <c r="B83" s="3523"/>
      <c r="C83" s="757" t="s">
        <v>660</v>
      </c>
      <c r="D83" s="757" t="s">
        <v>661</v>
      </c>
      <c r="E83" s="834">
        <v>0.2</v>
      </c>
      <c r="F83" s="821">
        <v>30</v>
      </c>
    </row>
    <row r="84" spans="1:6" s="817" customFormat="1" ht="48">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36">
      <c r="A89" s="821">
        <v>29</v>
      </c>
      <c r="B89" s="3523"/>
      <c r="C89" s="757" t="s">
        <v>672</v>
      </c>
      <c r="D89" s="757" t="s">
        <v>673</v>
      </c>
      <c r="E89" s="834">
        <v>0.2</v>
      </c>
      <c r="F89" s="821">
        <v>30</v>
      </c>
    </row>
    <row r="90" spans="1:6" s="817" customFormat="1" ht="36">
      <c r="A90" s="821">
        <v>30</v>
      </c>
      <c r="B90" s="3523"/>
      <c r="C90" s="757" t="s">
        <v>674</v>
      </c>
      <c r="D90" s="757" t="s">
        <v>675</v>
      </c>
      <c r="E90" s="834">
        <v>0.2</v>
      </c>
      <c r="F90" s="821">
        <v>30</v>
      </c>
    </row>
    <row r="91" spans="1:6" s="817" customFormat="1" ht="48">
      <c r="A91" s="821">
        <v>31</v>
      </c>
      <c r="B91" s="3523"/>
      <c r="C91" s="757" t="s">
        <v>676</v>
      </c>
      <c r="D91" s="757" t="s">
        <v>677</v>
      </c>
      <c r="E91" s="834">
        <v>0.2</v>
      </c>
      <c r="F91" s="821">
        <v>30</v>
      </c>
    </row>
    <row r="92" spans="1:6" s="817" customFormat="1" ht="36">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60">
      <c r="A94" s="821">
        <v>34</v>
      </c>
      <c r="B94" s="3523"/>
      <c r="C94" s="821" t="s">
        <v>683</v>
      </c>
      <c r="D94" s="757" t="s">
        <v>684</v>
      </c>
      <c r="E94" s="834">
        <v>0.2</v>
      </c>
      <c r="F94" s="821">
        <v>30</v>
      </c>
    </row>
    <row r="95" spans="1:6" s="817" customFormat="1" ht="48">
      <c r="A95" s="821">
        <v>35</v>
      </c>
      <c r="B95" s="3523"/>
      <c r="C95" s="821" t="s">
        <v>685</v>
      </c>
      <c r="D95" s="757" t="s">
        <v>686</v>
      </c>
      <c r="E95" s="834">
        <v>0.2</v>
      </c>
      <c r="F95" s="821">
        <v>30</v>
      </c>
    </row>
    <row r="96" spans="1:6" s="817" customFormat="1" ht="72">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36">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23" t="s">
        <v>708</v>
      </c>
      <c r="C105" s="821" t="s">
        <v>709</v>
      </c>
      <c r="D105" s="757" t="s">
        <v>710</v>
      </c>
      <c r="E105" s="834">
        <v>0.2</v>
      </c>
      <c r="F105" s="821">
        <v>30</v>
      </c>
    </row>
    <row r="106" spans="1:6" s="817" customFormat="1" ht="48">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48">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23" t="s">
        <v>724</v>
      </c>
      <c r="C111" s="821" t="s">
        <v>725</v>
      </c>
      <c r="D111" s="757" t="s">
        <v>726</v>
      </c>
      <c r="E111" s="834">
        <v>0.2</v>
      </c>
      <c r="F111" s="821">
        <v>30</v>
      </c>
    </row>
    <row r="112" spans="1:6" s="817" customFormat="1" ht="36">
      <c r="A112" s="821">
        <v>52</v>
      </c>
      <c r="B112" s="3523"/>
      <c r="C112" s="821" t="s">
        <v>727</v>
      </c>
      <c r="D112" s="757" t="s">
        <v>728</v>
      </c>
      <c r="E112" s="834">
        <v>0.2</v>
      </c>
      <c r="F112" s="821">
        <v>30</v>
      </c>
    </row>
    <row r="113" spans="1:6" s="817" customFormat="1" ht="36">
      <c r="A113" s="821">
        <v>53</v>
      </c>
      <c r="B113" s="3523"/>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2763</v>
      </c>
      <c r="B1" s="2333"/>
      <c r="C1" s="2333"/>
      <c r="D1" s="2333"/>
      <c r="E1" s="2333"/>
      <c r="F1" s="2992"/>
      <c r="G1" s="2992"/>
      <c r="H1" s="2992"/>
      <c r="I1" s="2992"/>
      <c r="J1" s="2992"/>
      <c r="K1" s="2992"/>
      <c r="L1" s="2992"/>
      <c r="M1" s="2992"/>
      <c r="N1" s="2992"/>
      <c r="O1" s="2992"/>
      <c r="P1" s="2992"/>
    </row>
    <row r="2" spans="1:16" ht="15.6">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6">
      <c r="A3" s="2331" t="s">
        <v>2758</v>
      </c>
      <c r="B3" s="2796" t="e">
        <f ca="1">ROUND(B2*10000/E2,0)</f>
        <v>#DIV/0!</v>
      </c>
      <c r="C3" s="2331" t="s">
        <v>2764</v>
      </c>
      <c r="D3" s="2992"/>
      <c r="E3" s="2992"/>
      <c r="F3" s="2992"/>
      <c r="G3" s="2992"/>
      <c r="H3" s="2992"/>
      <c r="I3" s="2992"/>
      <c r="J3" s="2992"/>
      <c r="K3" s="2992"/>
      <c r="L3" s="2992"/>
      <c r="M3" s="2992"/>
      <c r="N3" s="2992"/>
      <c r="O3" s="2992"/>
      <c r="P3" s="2992"/>
    </row>
    <row r="4" spans="1:16" ht="15.6">
      <c r="A4" s="2993"/>
      <c r="B4" s="2992"/>
      <c r="C4" s="2992"/>
      <c r="D4" s="2992"/>
      <c r="E4" s="2992"/>
      <c r="F4" s="2992"/>
      <c r="G4" s="2992"/>
      <c r="H4" s="2992"/>
      <c r="I4" s="2992"/>
      <c r="J4" s="2992"/>
      <c r="K4" s="2992"/>
      <c r="L4" s="2992"/>
      <c r="M4" s="2992"/>
      <c r="N4" s="2992"/>
      <c r="O4" s="2992"/>
      <c r="P4" s="2992"/>
    </row>
    <row r="5" spans="1:16" ht="31.2">
      <c r="A5" s="2802" t="s">
        <v>2759</v>
      </c>
      <c r="B5" s="2804" t="s">
        <v>2760</v>
      </c>
      <c r="C5" s="2332"/>
      <c r="D5" s="2992"/>
      <c r="E5" s="2805" t="s">
        <v>2761</v>
      </c>
      <c r="F5" s="2992"/>
      <c r="G5" s="2992"/>
      <c r="H5" s="2992"/>
      <c r="I5" s="2992"/>
      <c r="J5" s="2992"/>
      <c r="K5" s="2992"/>
      <c r="L5" s="2992"/>
      <c r="M5" s="2992"/>
      <c r="N5" s="2992"/>
      <c r="O5" s="2992"/>
      <c r="P5" s="2992"/>
    </row>
    <row r="6" spans="1:16" ht="15.6">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6">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6">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6">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6">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6">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6">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6">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29" t="s">
        <v>1058</v>
      </c>
      <c r="C1" s="3529"/>
      <c r="D1" s="3529"/>
      <c r="E1" s="3529"/>
      <c r="F1" s="3529"/>
      <c r="G1" s="3525" t="s">
        <v>1059</v>
      </c>
      <c r="H1" s="3525"/>
      <c r="I1" s="3525"/>
      <c r="J1" s="3525"/>
      <c r="K1" s="3525"/>
      <c r="L1" s="3525"/>
      <c r="N1" s="3525" t="s">
        <v>1060</v>
      </c>
      <c r="O1" s="3525"/>
      <c r="P1" s="3525"/>
      <c r="Q1" s="3525"/>
      <c r="S1" s="3525" t="s">
        <v>1061</v>
      </c>
      <c r="T1" s="3525"/>
      <c r="U1" s="3525"/>
      <c r="V1" s="3525"/>
      <c r="X1" s="3524" t="s">
        <v>1062</v>
      </c>
      <c r="Y1" s="3525"/>
      <c r="Z1" s="3525"/>
      <c r="AA1" s="3525"/>
      <c r="AB1" s="3525"/>
      <c r="AD1" s="3524" t="s">
        <v>1063</v>
      </c>
      <c r="AE1" s="3525"/>
      <c r="AF1" s="3525"/>
      <c r="AG1" s="3525"/>
      <c r="AH1" s="3525"/>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8" t="s">
        <v>2766</v>
      </c>
      <c r="D1" s="3539"/>
      <c r="E1" s="3539"/>
      <c r="F1" s="3539"/>
      <c r="G1" s="3539"/>
      <c r="H1" s="3539"/>
      <c r="I1" s="3539"/>
      <c r="J1" s="3539"/>
      <c r="K1" s="3539"/>
      <c r="L1" s="3539"/>
      <c r="M1" s="3539"/>
      <c r="N1" s="3539"/>
      <c r="O1" s="3539"/>
      <c r="P1" s="3539"/>
      <c r="Q1" s="3539"/>
      <c r="R1" s="3539"/>
      <c r="S1" s="354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2"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6">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7.399999999999999">
      <c r="A3" s="3214" t="str">
        <f>IF(项目基本情况!B9="房地产市场价值","估价结果一览表（市场价值不需“结果表-1”）","估价结果一览表")</f>
        <v>估价结果一览表</v>
      </c>
      <c r="B3" s="3214"/>
      <c r="C3" s="3214"/>
      <c r="D3" s="3214"/>
      <c r="E3" s="3214"/>
    </row>
    <row r="4" spans="1:5" ht="18" thickBot="1">
      <c r="A4" s="1648"/>
      <c r="B4" s="3212" t="s">
        <v>1535</v>
      </c>
      <c r="C4" s="3212"/>
      <c r="D4" s="3212"/>
      <c r="E4" s="1648"/>
    </row>
    <row r="5" spans="1:5" ht="16.2" thickTop="1">
      <c r="A5" s="1646"/>
      <c r="B5" s="3210" t="s">
        <v>1527</v>
      </c>
      <c r="C5" s="1649" t="s">
        <v>1528</v>
      </c>
      <c r="D5" s="959">
        <f ca="1">结果表!H101</f>
        <v>9200</v>
      </c>
      <c r="E5" s="1646"/>
    </row>
    <row r="6" spans="1:5" ht="15.6">
      <c r="A6" s="1646"/>
      <c r="B6" s="3210"/>
      <c r="C6" s="1649" t="s">
        <v>1529</v>
      </c>
      <c r="D6" s="959" t="str">
        <f ca="1">NUMBERSTRING(INT(D5*10000),2)&amp;"元整"</f>
        <v>玖仟贰佰万元整</v>
      </c>
      <c r="E6" s="1646"/>
    </row>
    <row r="7" spans="1:5" ht="15.6">
      <c r="A7" s="1646"/>
      <c r="B7" s="3215"/>
      <c r="C7" s="1650" t="s">
        <v>1530</v>
      </c>
      <c r="D7" s="960">
        <f ca="1">结果表!H102</f>
        <v>9870</v>
      </c>
      <c r="E7" s="1646"/>
    </row>
    <row r="8" spans="1:5" ht="15.6">
      <c r="A8" s="1646"/>
      <c r="B8" s="3216" t="str">
        <f>结果表!E103</f>
        <v>2.估价师知悉的法定优先受偿款</v>
      </c>
      <c r="C8" s="1651" t="s">
        <v>1531</v>
      </c>
      <c r="D8" s="960">
        <f>结果表!H103</f>
        <v>0</v>
      </c>
      <c r="E8" s="1646"/>
    </row>
    <row r="9" spans="1:5" ht="15.6">
      <c r="A9" s="1646"/>
      <c r="B9" s="3218"/>
      <c r="C9" s="1649" t="s">
        <v>1529</v>
      </c>
      <c r="D9" s="959" t="str">
        <f>NUMBERSTRING(INT(D8*10000),2)&amp;"元整"</f>
        <v>零元整</v>
      </c>
      <c r="E9" s="1646"/>
    </row>
    <row r="10" spans="1:5" ht="15.6">
      <c r="A10" s="1646"/>
      <c r="B10" s="1652" t="s">
        <v>1534</v>
      </c>
      <c r="C10" s="1653" t="s">
        <v>1532</v>
      </c>
      <c r="D10" s="961">
        <f>结果表!H104</f>
        <v>0</v>
      </c>
      <c r="E10" s="1646"/>
    </row>
    <row r="11" spans="1:5" ht="15.6">
      <c r="A11" s="1646"/>
      <c r="B11" s="1652" t="s">
        <v>1536</v>
      </c>
      <c r="C11" s="1653" t="s">
        <v>1537</v>
      </c>
      <c r="D11" s="961">
        <f>结果表!H105</f>
        <v>0</v>
      </c>
      <c r="E11" s="1646"/>
    </row>
    <row r="12" spans="1:5" ht="15.6">
      <c r="A12" s="1646"/>
      <c r="B12" s="1652" t="s">
        <v>1538</v>
      </c>
      <c r="C12" s="1653" t="s">
        <v>1537</v>
      </c>
      <c r="D12" s="961">
        <f>结果表!H106</f>
        <v>0</v>
      </c>
      <c r="E12" s="1646"/>
    </row>
    <row r="13" spans="1:5" ht="15.6">
      <c r="A13" s="1646"/>
      <c r="B13" s="3209" t="str">
        <f>结果表!E107</f>
        <v>3.房地产抵押价值</v>
      </c>
      <c r="C13" s="1654" t="s">
        <v>1528</v>
      </c>
      <c r="D13" s="962">
        <f ca="1">结果表!H107</f>
        <v>9200</v>
      </c>
      <c r="E13" s="1646"/>
    </row>
    <row r="14" spans="1:5" ht="15.6">
      <c r="A14" s="1646"/>
      <c r="B14" s="3210"/>
      <c r="C14" s="1649" t="s">
        <v>1529</v>
      </c>
      <c r="D14" s="959" t="str">
        <f ca="1">NUMBERSTRING(INT(D13*10000),2)&amp;"元整"</f>
        <v>玖仟贰佰万元整</v>
      </c>
      <c r="E14" s="1646"/>
    </row>
    <row r="15" spans="1:5" ht="15.6">
      <c r="A15" s="1646"/>
      <c r="B15" s="3215"/>
      <c r="C15" s="1650" t="s">
        <v>1539</v>
      </c>
      <c r="D15" s="968">
        <f ca="1">结果表!H108</f>
        <v>9870</v>
      </c>
      <c r="E15" s="1646"/>
    </row>
    <row r="16" spans="1:5" ht="15.6">
      <c r="A16" s="1646"/>
      <c r="B16" s="3216" t="str">
        <f>结果表!E109</f>
        <v>——</v>
      </c>
      <c r="C16" s="1654" t="s">
        <v>1540</v>
      </c>
      <c r="D16" s="1655" t="str">
        <f>结果表!H109</f>
        <v>——</v>
      </c>
      <c r="E16" s="1646"/>
    </row>
    <row r="17" spans="1:5" ht="15.6">
      <c r="A17" s="1646"/>
      <c r="B17" s="3217"/>
      <c r="C17" s="1649" t="s">
        <v>1541</v>
      </c>
      <c r="D17" s="959" t="e">
        <f>NUMBERSTRING(INT(D16*10000),2)&amp;"元整"</f>
        <v>#VALUE!</v>
      </c>
      <c r="E17" s="1646"/>
    </row>
    <row r="18" spans="1:5" ht="15.6">
      <c r="A18" s="1646"/>
      <c r="B18" s="3218"/>
      <c r="C18" s="1650" t="s">
        <v>1530</v>
      </c>
      <c r="D18" s="968" t="str">
        <f>结果表!H110</f>
        <v>——</v>
      </c>
      <c r="E18" s="1646"/>
    </row>
    <row r="19" spans="1:5" ht="15.6">
      <c r="A19" s="1646"/>
      <c r="B19" s="3209" t="str">
        <f>结果表!E111</f>
        <v>4.抵押净值</v>
      </c>
      <c r="C19" s="1654" t="s">
        <v>1528</v>
      </c>
      <c r="D19" s="960">
        <f ca="1">结果表!H111</f>
        <v>8509</v>
      </c>
      <c r="E19" s="1646"/>
    </row>
    <row r="20" spans="1:5" ht="15.6">
      <c r="A20" s="1646"/>
      <c r="B20" s="3210"/>
      <c r="C20" s="1649" t="s">
        <v>1541</v>
      </c>
      <c r="D20" s="959" t="str">
        <f ca="1">NUMBERSTRING(INT(D19*10000),2)&amp;"元整"</f>
        <v>捌仟伍佰零玖万元整</v>
      </c>
      <c r="E20" s="1646"/>
    </row>
    <row r="21" spans="1:5" ht="16.2" thickBot="1">
      <c r="A21" s="1646"/>
      <c r="B21" s="3211"/>
      <c r="C21" s="1656" t="s">
        <v>1539</v>
      </c>
      <c r="D21" s="969">
        <f ca="1">结果表!H112</f>
        <v>9129</v>
      </c>
      <c r="E21" s="1646"/>
    </row>
    <row r="22" spans="1:5" ht="14.4" thickTop="1">
      <c r="A22" s="1646"/>
      <c r="B22" s="1657" t="s">
        <v>1542</v>
      </c>
      <c r="C22" s="1646"/>
      <c r="D22" s="1646"/>
      <c r="E22" s="1646"/>
    </row>
    <row r="23" spans="1:5">
      <c r="A23" s="1646"/>
      <c r="B23" s="1646"/>
      <c r="C23" s="1646"/>
      <c r="D23" s="1646"/>
      <c r="E23" s="1646"/>
    </row>
    <row r="24" spans="1:5" ht="17.399999999999999">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29360</v>
      </c>
      <c r="C2" s="2" t="s">
        <v>133</v>
      </c>
      <c r="D2" s="205"/>
      <c r="E2" s="205"/>
      <c r="F2" s="205"/>
      <c r="G2" s="205"/>
    </row>
    <row r="3" spans="1:7" s="206" customFormat="1" ht="18" customHeight="1" thickBot="1">
      <c r="A3" s="209" t="s">
        <v>85</v>
      </c>
      <c r="B3" s="210">
        <f ca="1">ROUND(B2*10000/'数据-汇总表'!E3,0)</f>
        <v>31498</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9321.1299999999992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186</v>
      </c>
      <c r="D19" s="958">
        <f>'数据-汇总表'!E3</f>
        <v>9321.1299999999992</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1337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1697</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1697</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26200</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3108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2796</v>
      </c>
      <c r="D34" s="223"/>
      <c r="E34" s="226"/>
      <c r="F34" s="263">
        <f>IF('数据-取费表'!B24=0,1,'数据-取费表'!N16)</f>
        <v>1</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186</v>
      </c>
      <c r="D37" s="223">
        <f>'数据-汇总表'!E3</f>
        <v>9321.1299999999992</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397" t="s">
        <v>121</v>
      </c>
    </row>
    <row r="43" spans="1:7" ht="13.5" customHeight="1">
      <c r="A43" s="888" t="s">
        <v>792</v>
      </c>
      <c r="B43" s="221" t="s">
        <v>1032</v>
      </c>
      <c r="C43" s="244">
        <f ca="1">ROUND(IF('数据-取费表'!B22&lt;=1,C39*F22*'数据-取费表'!B21/2,C39*(POWER((1+F22),'数据-取费表'!B21/2)-1)),0)</f>
        <v>2</v>
      </c>
      <c r="D43" s="244"/>
      <c r="E43" s="244"/>
      <c r="F43" s="245"/>
      <c r="G43" s="3398"/>
    </row>
    <row r="44" spans="1:7" ht="13.5" customHeight="1">
      <c r="A44" s="888" t="s">
        <v>793</v>
      </c>
      <c r="B44" s="221" t="s">
        <v>1034</v>
      </c>
      <c r="C44" s="244">
        <f ca="1">ROUND(IF('数据-取费表'!B22&lt;=1,C40*F22*'数据-取费表'!B21/2,C40*(POWER((1+F22),'数据-取费表'!B21/2)-1)),4)</f>
        <v>5.9999999999999995E-4</v>
      </c>
      <c r="D44" s="244"/>
      <c r="E44" s="244"/>
      <c r="F44" s="245"/>
      <c r="G44" s="3399"/>
    </row>
    <row r="45" spans="1:7" s="220" customFormat="1" ht="13.5" customHeight="1">
      <c r="A45" s="885" t="s">
        <v>786</v>
      </c>
      <c r="B45" s="250" t="s">
        <v>112</v>
      </c>
      <c r="C45" s="251">
        <f>C46</f>
        <v>254</v>
      </c>
      <c r="D45" s="241">
        <f>C47</f>
        <v>1.6000000000000001E-3</v>
      </c>
      <c r="E45" s="242" t="s">
        <v>129</v>
      </c>
      <c r="F45" s="252"/>
      <c r="G45" s="253" t="s">
        <v>1040</v>
      </c>
    </row>
    <row r="46" spans="1:7" s="220" customFormat="1" ht="13.5" customHeight="1">
      <c r="A46" s="888" t="s">
        <v>794</v>
      </c>
      <c r="B46" s="254" t="s">
        <v>1033</v>
      </c>
      <c r="C46" s="255">
        <f>ROUND((C33+C39)*F27,0)</f>
        <v>254</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3807</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3160</v>
      </c>
      <c r="D51" s="238"/>
      <c r="E51" s="238"/>
      <c r="F51" s="270"/>
      <c r="G51" s="240" t="s">
        <v>64</v>
      </c>
    </row>
    <row r="52" spans="1:7" s="214" customFormat="1" ht="16.8" thickBot="1">
      <c r="A52" s="271" t="s">
        <v>65</v>
      </c>
      <c r="B52" s="272"/>
      <c r="C52" s="273">
        <f ca="1">C31+C51</f>
        <v>29360</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41" t="s">
        <v>839</v>
      </c>
      <c r="B1" s="3541"/>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C7:Q40"/>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44663</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1546</v>
      </c>
      <c r="B2" s="3220" t="s">
        <v>1547</v>
      </c>
      <c r="C2" s="3220" t="s">
        <v>1548</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6">
      <c r="A3" s="3221"/>
      <c r="B3" s="3221"/>
      <c r="C3" s="3221"/>
      <c r="D3" s="963" t="s">
        <v>1543</v>
      </c>
      <c r="E3" s="963" t="s">
        <v>1549</v>
      </c>
      <c r="F3" s="963" t="s">
        <v>1543</v>
      </c>
      <c r="G3" s="963" t="s">
        <v>1544</v>
      </c>
      <c r="H3" s="963" t="s">
        <v>1543</v>
      </c>
      <c r="I3" s="963" t="s">
        <v>1544</v>
      </c>
    </row>
    <row r="4" spans="1:9" ht="30">
      <c r="A4" s="1660" t="str">
        <f>项目基本情况!S2</f>
        <v>北京市顺义区竺园路4号1幢1至2层101房地产</v>
      </c>
      <c r="B4" s="963">
        <f>项目基本情况!C17</f>
        <v>9321.1299999999992</v>
      </c>
      <c r="C4" s="963">
        <f>项目基本情况!C18</f>
        <v>16308.9</v>
      </c>
      <c r="D4" s="963">
        <f ca="1">结果表!D118</f>
        <v>5391</v>
      </c>
      <c r="E4" s="963">
        <f ca="1">结果表!E118</f>
        <v>5784</v>
      </c>
      <c r="F4" s="963">
        <f ca="1">结果表!F118</f>
        <v>3809</v>
      </c>
      <c r="G4" s="963">
        <f ca="1">结果表!G118</f>
        <v>4086</v>
      </c>
      <c r="H4" s="963">
        <f ca="1">结果表!H118</f>
        <v>9200</v>
      </c>
      <c r="I4" s="963">
        <f ca="1">结果表!I118</f>
        <v>9870</v>
      </c>
    </row>
    <row r="5" spans="1:9" ht="30" customHeight="1">
      <c r="A5" s="3221" t="s">
        <v>1545</v>
      </c>
      <c r="B5" s="3221"/>
      <c r="C5" s="3221"/>
      <c r="D5" s="3222" t="str">
        <f ca="1">结果表!D119</f>
        <v>伍仟叁佰玖拾壹万元整</v>
      </c>
      <c r="E5" s="3222"/>
      <c r="F5" s="3222" t="str">
        <f ca="1">结果表!F119</f>
        <v>叁仟捌佰零玖万元整</v>
      </c>
      <c r="G5" s="3222"/>
      <c r="H5" s="3222" t="str">
        <f ca="1">结果表!H119</f>
        <v>玖仟贰佰万元整</v>
      </c>
      <c r="I5" s="3222"/>
    </row>
    <row r="6" spans="1:9" ht="15.6">
      <c r="A6" s="3223" t="str">
        <f>结果表!A120</f>
        <v>估价师知悉的法定优先受偿款</v>
      </c>
      <c r="B6" s="3223"/>
      <c r="C6" s="3223"/>
      <c r="D6" s="3223">
        <f>结果表!D120</f>
        <v>0</v>
      </c>
      <c r="E6" s="3223"/>
      <c r="F6" s="3223"/>
      <c r="G6" s="3223"/>
      <c r="H6" s="3223"/>
      <c r="I6" s="3223"/>
    </row>
    <row r="7" spans="1:9" ht="15">
      <c r="A7" s="3221" t="s">
        <v>1545</v>
      </c>
      <c r="B7" s="3221"/>
      <c r="C7" s="3221"/>
      <c r="D7" s="3224" t="str">
        <f>结果表!D121</f>
        <v>零元整</v>
      </c>
      <c r="E7" s="3225"/>
      <c r="F7" s="3225"/>
      <c r="G7" s="3225"/>
      <c r="H7" s="3225"/>
      <c r="I7" s="3226"/>
    </row>
    <row r="8" spans="1:9" ht="15.6">
      <c r="A8" s="3223" t="str">
        <f>结果表!A122</f>
        <v>房地产抵押价值</v>
      </c>
      <c r="B8" s="3223"/>
      <c r="C8" s="3223"/>
      <c r="D8" s="3223">
        <f ca="1">结果表!D122</f>
        <v>9200</v>
      </c>
      <c r="E8" s="3223"/>
      <c r="F8" s="3223"/>
      <c r="G8" s="3223"/>
      <c r="H8" s="3223"/>
      <c r="I8" s="3223"/>
    </row>
    <row r="9" spans="1:9" ht="15">
      <c r="A9" s="3221" t="s">
        <v>1545</v>
      </c>
      <c r="B9" s="3221"/>
      <c r="C9" s="3221"/>
      <c r="D9" s="3222" t="str">
        <f ca="1">结果表!D123</f>
        <v>玖仟贰佰万元整</v>
      </c>
      <c r="E9" s="3222"/>
      <c r="F9" s="3222"/>
      <c r="G9" s="3222"/>
      <c r="H9" s="3222"/>
      <c r="I9" s="3222"/>
    </row>
    <row r="10" spans="1:9" ht="15.6">
      <c r="A10" s="3223" t="str">
        <f>结果表!A124</f>
        <v/>
      </c>
      <c r="B10" s="3223"/>
      <c r="C10" s="3223"/>
      <c r="D10" s="3223" t="str">
        <f>结果表!D124</f>
        <v>——</v>
      </c>
      <c r="E10" s="3223"/>
      <c r="F10" s="3223"/>
      <c r="G10" s="3223"/>
      <c r="H10" s="3223"/>
      <c r="I10" s="3223"/>
    </row>
    <row r="11" spans="1:9" ht="15">
      <c r="A11" s="3221" t="s">
        <v>1545</v>
      </c>
      <c r="B11" s="3221"/>
      <c r="C11" s="3221"/>
      <c r="D11" s="3222" t="e">
        <f>结果表!D125</f>
        <v>#VALUE!</v>
      </c>
      <c r="E11" s="3222"/>
      <c r="F11" s="3222"/>
      <c r="G11" s="3222"/>
      <c r="H11" s="3222"/>
      <c r="I11" s="3222"/>
    </row>
    <row r="12" spans="1:9" ht="15.6">
      <c r="A12" s="3223" t="str">
        <f>结果表!A126</f>
        <v>抵押净值</v>
      </c>
      <c r="B12" s="3223"/>
      <c r="C12" s="3223"/>
      <c r="D12" s="3223">
        <f ca="1">结果表!D126</f>
        <v>8509</v>
      </c>
      <c r="E12" s="3223"/>
      <c r="F12" s="3223"/>
      <c r="G12" s="3223"/>
      <c r="H12" s="3223"/>
      <c r="I12" s="3223"/>
    </row>
    <row r="13" spans="1:9" ht="15.6" thickBot="1">
      <c r="A13" s="3227" t="s">
        <v>1545</v>
      </c>
      <c r="B13" s="3227"/>
      <c r="C13" s="3227"/>
      <c r="D13" s="3228" t="str">
        <f ca="1">结果表!D127</f>
        <v>捌仟伍佰零玖万元整</v>
      </c>
      <c r="E13" s="3228"/>
      <c r="F13" s="3228"/>
      <c r="G13" s="3228"/>
      <c r="H13" s="3228"/>
      <c r="I13" s="3228"/>
    </row>
    <row r="14" spans="1:9" ht="14.4" thickTop="1">
      <c r="A14" s="3229" t="s">
        <v>1550</v>
      </c>
      <c r="B14" s="3229"/>
      <c r="C14" s="3229"/>
      <c r="D14" s="3229"/>
      <c r="E14" s="3229"/>
      <c r="F14" s="3229"/>
      <c r="G14" s="3229"/>
      <c r="H14" s="3229"/>
      <c r="I14" s="3229"/>
    </row>
    <row r="16" spans="1:9" ht="17.399999999999999">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30" t="s">
        <v>1567</v>
      </c>
      <c r="B1" s="3230"/>
      <c r="C1" s="3230"/>
      <c r="D1" s="3230"/>
    </row>
    <row r="2" spans="1:4" ht="17.399999999999999">
      <c r="A2" s="3231" t="s">
        <v>1551</v>
      </c>
      <c r="B2" s="3231"/>
      <c r="C2" s="3231"/>
      <c r="D2" s="3231"/>
    </row>
    <row r="3" spans="1:4" ht="17.399999999999999">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7.399999999999999">
      <c r="A6" s="3231" t="s">
        <v>1557</v>
      </c>
      <c r="B6" s="3231"/>
      <c r="C6" s="3231"/>
      <c r="D6" s="3231"/>
    </row>
    <row r="7" spans="1:4" ht="17.399999999999999">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7.399999999999999">
      <c r="A10" s="1671" t="s">
        <v>1559</v>
      </c>
      <c r="B10" s="684"/>
      <c r="C10" s="684"/>
      <c r="D10" s="684"/>
    </row>
    <row r="11" spans="1:4" ht="30" customHeight="1">
      <c r="A11" s="3232" t="s">
        <v>1560</v>
      </c>
      <c r="B11" s="3233"/>
      <c r="C11" s="3233"/>
      <c r="D11" s="3233"/>
    </row>
    <row r="12" spans="1:4" ht="15.6">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33" t="str">
        <f>IF(项目基本情况!B8="抵押","4.本次评估估价师所知悉的法定优先受偿款情况说明如下：","——")</f>
        <v>4.本次评估估价师所知悉的法定优先受偿款情况说明如下：</v>
      </c>
      <c r="B14" s="3234"/>
      <c r="C14" s="3234"/>
      <c r="D14" s="3234"/>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6" t="s">
        <v>1561</v>
      </c>
      <c r="B16" s="3236"/>
      <c r="C16" s="3236"/>
      <c r="D16" s="3236"/>
    </row>
    <row r="17" spans="1:4" ht="144" customHeight="1">
      <c r="A17" s="3236" t="s">
        <v>1562</v>
      </c>
      <c r="B17" s="3236"/>
      <c r="C17" s="3236"/>
      <c r="D17" s="3236"/>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7.399999999999999">
      <c r="A25" s="1673" t="s">
        <v>1564</v>
      </c>
    </row>
    <row r="26" spans="1:4" ht="17.399999999999999">
      <c r="A26" s="1642"/>
    </row>
    <row r="27" spans="1:4" ht="17.399999999999999">
      <c r="A27" s="1642" t="s">
        <v>1565</v>
      </c>
    </row>
    <row r="30" spans="1:4" ht="17.399999999999999">
      <c r="D30" s="1673" t="s">
        <v>1566</v>
      </c>
    </row>
    <row r="31" spans="1:4" ht="13.5" customHeight="1">
      <c r="C31" s="3235">
        <v>42551</v>
      </c>
      <c r="D31" s="32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4.4">
      <c r="A15" s="3244" t="s">
        <v>1574</v>
      </c>
      <c r="B15" s="3239" t="s">
        <v>136</v>
      </c>
      <c r="C15" s="3240"/>
    </row>
    <row r="16" spans="1:7" ht="14.4">
      <c r="A16" s="3245"/>
      <c r="B16" s="3239" t="s">
        <v>69</v>
      </c>
      <c r="C16" s="3240"/>
    </row>
    <row r="17" spans="1:3" ht="14.4">
      <c r="A17" s="3245"/>
      <c r="B17" s="3242" t="s">
        <v>1575</v>
      </c>
      <c r="C17" s="1687" t="s">
        <v>1574</v>
      </c>
    </row>
    <row r="18" spans="1:3" ht="14.4">
      <c r="A18" s="3245"/>
      <c r="B18" s="3242"/>
      <c r="C18" s="1687" t="s">
        <v>1576</v>
      </c>
    </row>
    <row r="19" spans="1:3" ht="14.4">
      <c r="A19" s="3245"/>
      <c r="B19" s="3242"/>
      <c r="C19" s="1687" t="s">
        <v>1577</v>
      </c>
    </row>
    <row r="20" spans="1:3" ht="14.4">
      <c r="A20" s="3246"/>
      <c r="B20" s="3241" t="s">
        <v>1578</v>
      </c>
      <c r="C20" s="3240"/>
    </row>
    <row r="21" spans="1:3" ht="14.4">
      <c r="A21" s="1688" t="s">
        <v>1579</v>
      </c>
      <c r="B21" s="1689"/>
      <c r="C21" s="1690"/>
    </row>
    <row r="22" spans="1:3" ht="14.4">
      <c r="A22" s="3243" t="s">
        <v>1580</v>
      </c>
      <c r="B22" s="3241" t="s">
        <v>1581</v>
      </c>
      <c r="C22" s="3240"/>
    </row>
    <row r="23" spans="1:3" ht="14.4">
      <c r="A23" s="3243"/>
      <c r="B23" s="3241" t="s">
        <v>1582</v>
      </c>
      <c r="C23" s="3240"/>
    </row>
    <row r="24" spans="1:3" ht="14.4">
      <c r="A24" s="3243"/>
      <c r="B24" s="3241" t="s">
        <v>1583</v>
      </c>
      <c r="C24" s="3240"/>
    </row>
    <row r="25" spans="1:3" ht="14.4">
      <c r="A25" s="3243"/>
      <c r="B25" s="3242" t="s">
        <v>1584</v>
      </c>
      <c r="C25" s="1687" t="s">
        <v>1585</v>
      </c>
    </row>
    <row r="26" spans="1:3" ht="14.4">
      <c r="A26" s="3243"/>
      <c r="B26" s="3242"/>
      <c r="C26" s="1687" t="s">
        <v>1586</v>
      </c>
    </row>
    <row r="27" spans="1:3" ht="14.4">
      <c r="A27" s="3243"/>
      <c r="B27" s="3242"/>
      <c r="C27" s="1687" t="s">
        <v>1587</v>
      </c>
    </row>
    <row r="28" spans="1:3" ht="14.4">
      <c r="A28" s="3243"/>
      <c r="B28" s="3242"/>
      <c r="C28" s="1687" t="s">
        <v>1588</v>
      </c>
    </row>
    <row r="29" spans="1:3" ht="14.4">
      <c r="A29" s="3243"/>
      <c r="B29" s="3242"/>
      <c r="C29" s="1687" t="s">
        <v>1589</v>
      </c>
    </row>
    <row r="30" spans="1:3" ht="14.4">
      <c r="A30" s="3243"/>
      <c r="B30" s="3242"/>
      <c r="C30" s="1687" t="s">
        <v>1590</v>
      </c>
    </row>
    <row r="31" spans="1:3" ht="14.4">
      <c r="A31" s="3243"/>
      <c r="B31" s="3242"/>
      <c r="C31" s="1687" t="s">
        <v>1591</v>
      </c>
    </row>
    <row r="32" spans="1:3" ht="14.4">
      <c r="A32" s="3243"/>
      <c r="B32" s="3242"/>
      <c r="C32" s="1687" t="s">
        <v>1592</v>
      </c>
    </row>
    <row r="33" spans="1:3" ht="14.4">
      <c r="A33" s="3243"/>
      <c r="B33" s="3242"/>
      <c r="C33" s="1687" t="s">
        <v>1593</v>
      </c>
    </row>
    <row r="34" spans="1:3">
      <c r="A34" s="1691" t="s">
        <v>76</v>
      </c>
    </row>
    <row r="37" spans="1:3">
      <c r="A37" s="1691" t="s">
        <v>1594</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2822</v>
      </c>
      <c r="B2" s="2532">
        <f ca="1">TODAY()</f>
        <v>44664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2843</v>
      </c>
      <c r="B17" s="3247"/>
      <c r="C17" s="3247"/>
      <c r="D17" s="3247"/>
      <c r="E17" s="3247"/>
      <c r="F17" s="3247"/>
      <c r="G17" s="3247"/>
      <c r="H17" s="3247"/>
    </row>
    <row r="18" spans="1:8" ht="24" customHeight="1">
      <c r="A18" s="3248" t="s">
        <v>2844</v>
      </c>
      <c r="B18" s="3248"/>
      <c r="C18" s="3248"/>
      <c r="D18" s="2536"/>
      <c r="E18" s="3249" t="s">
        <v>2845</v>
      </c>
      <c r="F18" s="3248"/>
      <c r="G18" s="3248"/>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2022-04-13T06:23:05Z</dcterms:modified>
</cp:coreProperties>
</file>