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state="hidden"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分析" sheetId="84" r:id="rId51"/>
    <sheet name="模拟测算" sheetId="86" state="hidden" r:id="rId52"/>
    <sheet name="现金流量" sheetId="87" state="hidden" r:id="rId53"/>
  </sheets>
  <externalReferences>
    <externalReference r:id="rId54"/>
    <externalReference r:id="rId55"/>
    <externalReference r:id="rId56"/>
    <externalReference r:id="rId57"/>
    <externalReference r:id="rId5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2">现金流量!$A$1:$AQ$82</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9" l="1"/>
  <c r="J21" i="9" l="1"/>
  <c r="V30" i="1"/>
  <c r="Z30" i="1"/>
  <c r="Y30" i="1" s="1"/>
  <c r="Z29" i="1"/>
  <c r="Z28" i="1"/>
  <c r="AH6" i="1"/>
  <c r="E70" i="39"/>
  <c r="F70" i="39" s="1"/>
  <c r="G70" i="39" s="1"/>
  <c r="H70" i="39" s="1"/>
  <c r="I70" i="39" s="1"/>
  <c r="J70" i="39" s="1"/>
  <c r="K70" i="39" s="1"/>
  <c r="L70" i="39" s="1"/>
  <c r="M70" i="39" s="1"/>
  <c r="N70" i="39" s="1"/>
  <c r="O70" i="39" s="1"/>
  <c r="D70" i="39"/>
  <c r="C5" i="39"/>
  <c r="AB40" i="79" l="1"/>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L3" i="79" l="1"/>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Y7" i="1" l="1"/>
  <c r="Y6" i="1"/>
  <c r="W7" i="1"/>
  <c r="V7" i="1"/>
  <c r="N6" i="1"/>
  <c r="N19" i="1"/>
  <c r="F13" i="4"/>
  <c r="E13" i="4"/>
  <c r="C75" i="9" l="1"/>
  <c r="N78" i="9"/>
  <c r="M78" i="9"/>
  <c r="O77" i="9"/>
  <c r="N77" i="9"/>
  <c r="AJ20" i="1" l="1"/>
  <c r="J12" i="15" s="1"/>
  <c r="C38" i="39" l="1"/>
  <c r="C66"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L92" i="87" l="1"/>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J49" i="15"/>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D3" i="4"/>
  <c r="A1" i="79" s="1"/>
  <c r="AO37" i="87" l="1"/>
  <c r="AO28" i="87" s="1"/>
  <c r="AP33" i="87"/>
  <c r="AP35" i="87" s="1"/>
  <c r="AP36" i="87" s="1"/>
  <c r="AP17" i="87"/>
  <c r="AO91" i="87"/>
  <c r="AO16" i="87"/>
  <c r="AS17" i="87"/>
  <c r="AS12" i="87"/>
  <c r="AQ33" i="87"/>
  <c r="AQ35" i="87" s="1"/>
  <c r="AQ36" i="87" s="1"/>
  <c r="AQ17" i="87"/>
  <c r="AQ16" i="87" s="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E21" i="6"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C7" i="39"/>
  <c r="C67" i="39" s="1"/>
  <c r="C7" i="40"/>
  <c r="C63" i="40"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8" i="76"/>
  <c r="F40" i="67"/>
  <c r="M6" i="15"/>
  <c r="M23" i="15"/>
  <c r="F20" i="31"/>
  <c r="F7" i="73"/>
  <c r="F37" i="15"/>
  <c r="D7" i="73"/>
  <c r="B12" i="76"/>
  <c r="F16" i="15"/>
  <c r="M22" i="67"/>
  <c r="B9" i="76"/>
  <c r="F3" i="73"/>
  <c r="F5" i="73"/>
  <c r="B7" i="76"/>
  <c r="D3" i="73"/>
  <c r="C76" i="67"/>
  <c r="E13" i="76"/>
  <c r="B13" i="76"/>
  <c r="E10" i="76"/>
  <c r="F36" i="67"/>
  <c r="M28" i="15"/>
  <c r="D5" i="73"/>
  <c r="F6" i="73"/>
  <c r="F13" i="67"/>
  <c r="F37" i="67"/>
  <c r="E8" i="76"/>
  <c r="E9" i="76"/>
  <c r="D4" i="73"/>
  <c r="B11" i="76"/>
  <c r="B10" i="76"/>
  <c r="F6" i="67"/>
  <c r="M24" i="67"/>
  <c r="AO13" i="1"/>
  <c r="J15" i="15"/>
  <c r="E2" i="68"/>
  <c r="F9" i="15"/>
  <c r="F16" i="67"/>
  <c r="F4" i="73"/>
  <c r="M28" i="67"/>
  <c r="D6" i="73"/>
  <c r="E11" i="76"/>
  <c r="F26" i="67"/>
  <c r="M23" i="67"/>
  <c r="F13" i="15"/>
  <c r="E2" i="69"/>
  <c r="E7" i="76"/>
  <c r="M9" i="15"/>
  <c r="F40" i="15"/>
  <c r="M8" i="15"/>
  <c r="E12" i="76"/>
  <c r="M24" i="15"/>
  <c r="E19" i="11" l="1"/>
  <c r="C7" i="21"/>
  <c r="C42" i="1"/>
  <c r="C24" i="12" s="1"/>
  <c r="C7" i="36"/>
  <c r="C46" i="36" s="1"/>
  <c r="D46" i="36" s="1"/>
  <c r="E46" i="36" s="1"/>
  <c r="F46" i="36" s="1"/>
  <c r="G46" i="36" s="1"/>
  <c r="H46" i="36" s="1"/>
  <c r="I46" i="36" s="1"/>
  <c r="G23" i="43"/>
  <c r="C7" i="33"/>
  <c r="J51" i="67"/>
  <c r="C7" i="34"/>
  <c r="M47" i="9"/>
  <c r="C7" i="35"/>
  <c r="C48" i="35" s="1"/>
  <c r="D48" i="35" s="1"/>
  <c r="D54" i="43"/>
  <c r="D52" i="43"/>
  <c r="F6" i="1"/>
  <c r="G6" i="1" s="1"/>
  <c r="BA16" i="3"/>
  <c r="K6" i="1"/>
  <c r="L47" i="77"/>
  <c r="M47" i="77" s="1"/>
  <c r="F28" i="6"/>
  <c r="K8" i="1"/>
  <c r="M8" i="1" s="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G30" i="6"/>
  <c r="G31" i="6" s="1"/>
  <c r="E28" i="6"/>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L47" i="15"/>
  <c r="M26" i="15"/>
  <c r="F42" i="67"/>
  <c r="M6" i="67"/>
  <c r="F43" i="67"/>
  <c r="F9" i="67"/>
  <c r="C76" i="15"/>
  <c r="F6" i="15"/>
  <c r="L47" i="67"/>
  <c r="J15" i="67"/>
  <c r="L48" i="15"/>
  <c r="M22" i="15"/>
  <c r="M26" i="67"/>
  <c r="F26" i="15"/>
  <c r="M29" i="67"/>
  <c r="M9" i="67"/>
  <c r="F38" i="15"/>
  <c r="M29" i="15"/>
  <c r="F42" i="15"/>
  <c r="F38" i="67"/>
  <c r="C16" i="15"/>
  <c r="F7" i="67"/>
  <c r="F8" i="15"/>
  <c r="L48" i="67"/>
  <c r="F43" i="15"/>
  <c r="F8" i="67"/>
  <c r="M8" i="67"/>
  <c r="F36" i="15"/>
  <c r="G1" i="73"/>
  <c r="F7" i="15"/>
  <c r="J53" i="15" l="1"/>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E288" i="3"/>
  <c r="AZ5" i="3"/>
  <c r="E3" i="6"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E16" i="6"/>
  <c r="E58" i="40"/>
  <c r="E62" i="39"/>
  <c r="M14" i="1"/>
  <c r="D5" i="43"/>
  <c r="C7" i="43"/>
  <c r="C5" i="43" s="1"/>
  <c r="D10" i="52"/>
  <c r="D125" i="9"/>
  <c r="D11" i="52" s="1"/>
  <c r="B7" i="74"/>
  <c r="C7" i="74" s="1"/>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AE11" i="1"/>
  <c r="AE9" i="1"/>
  <c r="AE12" i="1"/>
  <c r="AE10" i="1"/>
  <c r="M23" i="83"/>
  <c r="M26" i="82"/>
  <c r="F7" i="82"/>
  <c r="M23" i="82"/>
  <c r="F9" i="82"/>
  <c r="M9" i="83"/>
  <c r="F42" i="82"/>
  <c r="F7" i="83"/>
  <c r="M24" i="82"/>
  <c r="F8" i="82"/>
  <c r="AE6" i="1"/>
  <c r="F13" i="83"/>
  <c r="F13" i="82"/>
  <c r="M9" i="82"/>
  <c r="M29" i="83"/>
  <c r="F40" i="82"/>
  <c r="F40" i="83"/>
  <c r="M22" i="83"/>
  <c r="L48" i="82"/>
  <c r="C76" i="83"/>
  <c r="F42" i="83"/>
  <c r="M26" i="83"/>
  <c r="L48" i="83"/>
  <c r="J15" i="83"/>
  <c r="C16" i="67"/>
  <c r="F43" i="83"/>
  <c r="F37" i="82"/>
  <c r="F6" i="82"/>
  <c r="M28" i="83"/>
  <c r="F36" i="82"/>
  <c r="F8" i="83"/>
  <c r="M8" i="83"/>
  <c r="L47" i="83"/>
  <c r="F6" i="83"/>
  <c r="F43" i="82"/>
  <c r="L47" i="82"/>
  <c r="F26" i="82"/>
  <c r="F26" i="83"/>
  <c r="F38" i="82"/>
  <c r="F38" i="83"/>
  <c r="M6" i="82"/>
  <c r="M6" i="83"/>
  <c r="M24" i="83"/>
  <c r="C76" i="82"/>
  <c r="F37" i="83"/>
  <c r="F16" i="83"/>
  <c r="F36" i="83"/>
  <c r="F9" i="83"/>
  <c r="M22" i="82"/>
  <c r="M29" i="82"/>
  <c r="M8" i="82"/>
  <c r="F16" i="82"/>
  <c r="M28" i="82"/>
  <c r="J15" i="82"/>
  <c r="Q52" i="15" l="1"/>
  <c r="C49" i="15"/>
  <c r="J10" i="15"/>
  <c r="J5" i="15" s="1"/>
  <c r="J24" i="15" s="1"/>
  <c r="E210" i="3"/>
  <c r="E496" i="3"/>
  <c r="E257" i="3"/>
  <c r="E551" i="3"/>
  <c r="E477" i="3"/>
  <c r="E406" i="3"/>
  <c r="E169" i="3"/>
  <c r="E166" i="3"/>
  <c r="E306" i="3"/>
  <c r="E549" i="3"/>
  <c r="E153" i="3"/>
  <c r="G16" i="1"/>
  <c r="Q16" i="1"/>
  <c r="U20" i="1"/>
  <c r="U21" i="1" s="1"/>
  <c r="E63" i="39"/>
  <c r="E59" i="40"/>
  <c r="K16" i="1"/>
  <c r="M7" i="1"/>
  <c r="O7" i="1" s="1"/>
  <c r="P7" i="1" s="1"/>
  <c r="E122" i="3"/>
  <c r="E532" i="3"/>
  <c r="E475" i="3"/>
  <c r="E545" i="3"/>
  <c r="E171" i="3"/>
  <c r="E585" i="3"/>
  <c r="E447" i="3"/>
  <c r="E441" i="3"/>
  <c r="E390" i="3"/>
  <c r="E531" i="3"/>
  <c r="E415" i="3"/>
  <c r="E239" i="3"/>
  <c r="M48" i="77"/>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C16" i="83"/>
  <c r="M27" i="15"/>
  <c r="F41" i="15"/>
  <c r="C16" i="82"/>
  <c r="C17" i="83"/>
  <c r="C48" i="15" l="1"/>
  <c r="C66" i="15" s="1"/>
  <c r="F27" i="69"/>
  <c r="F27" i="11"/>
  <c r="F10" i="39"/>
  <c r="H10" i="39"/>
  <c r="H10" i="40"/>
  <c r="F10" i="40"/>
  <c r="J10" i="39"/>
  <c r="J10" i="40"/>
  <c r="C29" i="68"/>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AE8" i="1"/>
  <c r="C17" i="82"/>
  <c r="C17" i="15"/>
  <c r="C14" i="83"/>
  <c r="F41" i="67"/>
  <c r="C17" i="67"/>
  <c r="C14" i="67"/>
  <c r="AE7" i="1"/>
  <c r="F69" i="67" l="1"/>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7" i="67"/>
  <c r="F41" i="83"/>
  <c r="C14" i="15"/>
  <c r="M27" i="83"/>
  <c r="F35" i="83"/>
  <c r="C14" i="82"/>
  <c r="M27" i="82"/>
  <c r="M21" i="83"/>
  <c r="F41" i="82"/>
  <c r="E2" i="70" l="1"/>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7" i="21" l="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W7" i="21" l="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82"/>
  <c r="F35" i="15"/>
  <c r="F35" i="82"/>
  <c r="M21" i="67"/>
  <c r="F35" i="67"/>
  <c r="W7" i="35" l="1"/>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83"/>
  <c r="E2" i="76" l="1"/>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2"/>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2" i="1"/>
  <c r="AO11" i="1"/>
  <c r="AO10" i="1"/>
  <c r="AO9"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6" i="9" l="1"/>
  <c r="D21" i="9"/>
  <c r="D102" i="9"/>
  <c r="B3" i="70"/>
  <c r="C23" i="68"/>
  <c r="C20" i="68"/>
  <c r="D20" i="9"/>
  <c r="D103" i="9" l="1"/>
  <c r="C28" i="68"/>
  <c r="C27" i="68" s="1"/>
  <c r="C25" i="68"/>
  <c r="C22" i="68" s="1"/>
  <c r="C31" i="68" l="1"/>
  <c r="C52" i="68" s="1"/>
  <c r="B2" i="68" s="1"/>
  <c r="C19" i="9"/>
  <c r="C57" i="68" l="1"/>
  <c r="C56" i="68" s="1"/>
  <c r="C21" i="9"/>
  <c r="C102" i="9"/>
  <c r="G19" i="9"/>
  <c r="G26" i="9" s="1"/>
  <c r="D22" i="9"/>
  <c r="B3" i="68"/>
  <c r="D35" i="9"/>
  <c r="C20" i="9"/>
  <c r="D34" i="9"/>
  <c r="M28" i="39" l="1"/>
  <c r="M30" i="39" s="1"/>
  <c r="AK27" i="1"/>
  <c r="D14" i="74"/>
  <c r="H34" i="1"/>
  <c r="D45" i="9"/>
  <c r="H26" i="9"/>
  <c r="M23" i="9"/>
  <c r="N23" i="9" s="1"/>
  <c r="M25" i="9"/>
  <c r="N25" i="9" s="1"/>
  <c r="M24" i="9"/>
  <c r="N24" i="9" s="1"/>
  <c r="C103" i="9"/>
  <c r="G20" i="9"/>
  <c r="C32" i="9"/>
  <c r="G21" i="9"/>
  <c r="D59" i="9"/>
  <c r="M55" i="9" s="1"/>
  <c r="C35" i="9" l="1"/>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l="1"/>
  <c r="D126" i="9" s="1"/>
  <c r="I14" i="74"/>
  <c r="B8" i="74" s="1"/>
  <c r="D8" i="74" s="1"/>
  <c r="D19" i="53"/>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<sst xmlns="http://schemas.openxmlformats.org/spreadsheetml/2006/main" count="9821" uniqueCount="3957">
  <si>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</si>
  <si>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</si>
  <si>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</si>
  <si>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</si>
  <si>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</si>
  <si>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</si>
  <si>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</si>
  <si>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</si>
  <si>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</si>
  <si>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</si>
  <si>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</si>
  <si>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</si>
  <si>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</si>
  <si>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</si>
  <si>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</si>
  <si>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</si>
  <si>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</si>
  <si>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</si>
  <si>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</si>
  <si>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</si>
  <si>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</si>
  <si>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</si>
  <si>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</si>
  <si>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</si>
  <si>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</si>
  <si>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</si>
  <si>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</si>
  <si>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</si>
  <si>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</si>
  <si>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</si>
  <si>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</si>
  <si>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</si>
  <si>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</si>
  <si>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</si>
  <si>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</si>
  <si>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</si>
  <si>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</si>
  <si>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</si>
  <si>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</si>
  <si>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</si>
  <si>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</si>
  <si>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</si>
  <si>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</si>
  <si>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</si>
  <si>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</si>
  <si>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</si>
  <si>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</si>
  <si>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</si>
  <si>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</si>
  <si>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</si>
  <si>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</si>
  <si>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</si>
  <si>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</si>
  <si>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</si>
  <si>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</si>
  <si>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</si>
  <si>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</si>
  <si>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</si>
  <si>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</si>
  <si>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</si>
  <si>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</si>
  <si>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</si>
  <si>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</si>
  <si>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</si>
  <si>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</si>
  <si>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</si>
  <si>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</si>
  <si>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</si>
  <si>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</si>
  <si>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</si>
  <si>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</si>
  <si>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</si>
  <si>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</si>
  <si>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</si>
  <si>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</si>
  <si>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</si>
  <si>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</si>
  <si>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</si>
  <si>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</si>
  <si>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</si>
  <si>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</si>
  <si>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</si>
  <si>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</si>
  <si>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</si>
  <si>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</si>
  <si>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</si>
  <si>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</si>
  <si>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</si>
  <si>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</si>
  <si>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</si>
  <si>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</si>
  <si>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</si>
  <si>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</si>
  <si>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</si>
  <si>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</si>
  <si>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</si>
  <si>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</si>
  <si>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</si>
  <si>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</si>
  <si>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</si>
  <si>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</si>
  <si>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</si>
  <si>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</si>
  <si>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</si>
  <si>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</si>
  <si>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</si>
  <si>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</si>
  <si>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</si>
  <si>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</si>
  <si>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</si>
  <si>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</si>
  <si>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</si>
  <si>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</si>
  <si>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</si>
  <si>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</si>
  <si>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</si>
  <si>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</si>
  <si>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</si>
  <si>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</si>
  <si>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</si>
  <si>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</si>
  <si>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</si>
  <si>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</si>
  <si>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</si>
  <si>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</si>
  <si>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</si>
  <si>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</si>
  <si>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</si>
  <si>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</si>
  <si>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</si>
  <si>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</si>
  <si>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</si>
  <si>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</si>
  <si>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</si>
  <si>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</si>
  <si>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</si>
  <si>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</si>
  <si>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</si>
  <si>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</si>
  <si>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</si>
  <si>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</si>
  <si>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</si>
  <si>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</si>
  <si>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</si>
  <si>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</si>
  <si>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</si>
  <si>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</si>
  <si>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</si>
  <si>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</si>
  <si>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</si>
  <si>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</si>
  <si>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</si>
  <si>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</si>
  <si>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</si>
  <si>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</si>
  <si>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</si>
  <si>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</si>
  <si>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</si>
  <si>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</si>
  <si>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</si>
  <si>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</si>
  <si>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</si>
  <si>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</si>
  <si>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</si>
  <si>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</si>
  <si>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</si>
  <si>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</si>
  <si>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</si>
  <si>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</si>
  <si>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</si>
  <si>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</si>
  <si>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</si>
  <si>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</si>
  <si>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</si>
  <si>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</si>
  <si>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</si>
  <si>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</si>
  <si>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</si>
  <si>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</si>
  <si>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</si>
  <si>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</si>
  <si>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</si>
  <si>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</si>
  <si>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</si>
  <si>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</si>
  <si>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</si>
  <si>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</si>
  <si>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</si>
  <si>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</si>
  <si>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</si>
  <si>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</si>
  <si>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</si>
  <si>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</si>
  <si>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</si>
  <si>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</si>
  <si>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</si>
  <si>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</si>
  <si>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</si>
  <si>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</si>
  <si>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</si>
  <si>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</si>
  <si>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</si>
  <si>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</si>
  <si>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</si>
  <si>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</si>
  <si>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</si>
  <si>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</si>
  <si>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</si>
  <si>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</si>
  <si>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</si>
  <si>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</si>
  <si>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</si>
  <si>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</si>
  <si>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</si>
  <si>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</si>
  <si>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</si>
  <si>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</si>
  <si>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</si>
  <si>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</si>
  <si>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</si>
  <si>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</si>
  <si>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</si>
  <si>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</si>
  <si>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</si>
  <si>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</si>
  <si>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</si>
  <si>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</si>
  <si>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</si>
  <si>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</si>
  <si>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</si>
  <si>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</si>
  <si>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</si>
  <si>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</si>
  <si>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</si>
  <si>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</si>
  <si>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</si>
  <si>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</si>
  <si>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</si>
  <si>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</si>
  <si>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</si>
  <si>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</si>
  <si>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</si>
  <si>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</si>
  <si>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</si>
  <si>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</si>
  <si>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</si>
  <si>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</si>
  <si>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</si>
  <si>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</si>
  <si>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</si>
  <si>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</si>
  <si>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</si>
  <si>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</si>
  <si>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</si>
  <si>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</si>
  <si>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</si>
  <si>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</si>
  <si>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</si>
  <si>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</si>
  <si>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</si>
  <si>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</si>
  <si>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</si>
  <si>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</si>
  <si>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</si>
  <si>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</si>
  <si>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</si>
  <si>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</si>
  <si>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</si>
  <si>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</si>
  <si>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</si>
  <si>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</si>
  <si>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</si>
  <si>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</si>
  <si>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</si>
  <si>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</si>
  <si>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</si>
  <si>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</si>
  <si>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</si>
  <si>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</si>
  <si>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</si>
  <si>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</si>
  <si>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</si>
  <si>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</si>
  <si>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</si>
  <si>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</si>
  <si>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</si>
  <si>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</si>
  <si>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</si>
  <si>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</si>
  <si>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</si>
  <si>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</si>
  <si>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</si>
  <si>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</si>
  <si>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</si>
  <si>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</si>
  <si>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</si>
  <si>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</si>
  <si>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</si>
  <si>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</si>
  <si>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</si>
  <si>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</si>
  <si>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</si>
  <si>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</si>
  <si>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</si>
  <si>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</si>
  <si>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</si>
  <si>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</si>
  <si>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</si>
  <si>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</si>
  <si>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</si>
  <si>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</si>
  <si>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</si>
  <si>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</si>
  <si>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</si>
  <si>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</si>
  <si>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</si>
  <si>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</si>
  <si>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</si>
  <si>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</si>
  <si>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</si>
  <si>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</si>
  <si>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</si>
  <si>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</si>
  <si>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</si>
  <si>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</si>
  <si>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</si>
  <si>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</si>
  <si>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</si>
  <si>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</si>
  <si>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</si>
  <si>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</si>
  <si>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</si>
  <si>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</si>
  <si>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</si>
  <si>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</si>
  <si>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</si>
  <si>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</si>
  <si>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</si>
  <si>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</si>
  <si>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</si>
  <si>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</si>
  <si>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</si>
  <si>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</si>
  <si>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</si>
  <si>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</si>
  <si>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</si>
  <si>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</si>
  <si>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</si>
  <si>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</si>
  <si>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</si>
  <si>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</si>
  <si>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</si>
  <si>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</si>
  <si>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</si>
  <si>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</si>
  <si>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</si>
  <si>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</si>
  <si>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</si>
  <si>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</si>
  <si>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</si>
  <si>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</si>
  <si>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</si>
  <si>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</si>
  <si>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</si>
  <si>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</si>
  <si>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</si>
  <si>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</si>
  <si>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</si>
  <si>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</si>
  <si>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</si>
  <si>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</si>
  <si>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</si>
  <si>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</si>
  <si>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</si>
  <si>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</si>
  <si>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</si>
  <si>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</si>
  <si>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</si>
  <si>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</si>
  <si>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</si>
  <si>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</si>
  <si>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</si>
  <si>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</si>
  <si>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</si>
  <si>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</si>
  <si>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</si>
  <si>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</si>
  <si>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</si>
  <si>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</si>
  <si>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</si>
  <si>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</si>
  <si>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</si>
  <si>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</si>
  <si>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</si>
  <si>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</si>
  <si>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</si>
  <si>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</si>
  <si>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</si>
  <si>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</si>
  <si>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</si>
  <si>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</si>
  <si>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</si>
  <si>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</si>
  <si>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</si>
  <si>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</si>
  <si>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</si>
  <si>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</si>
  <si>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</si>
  <si>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</si>
  <si>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</si>
  <si>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</si>
  <si>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</si>
  <si>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</si>
  <si>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</si>
  <si>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</si>
  <si>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</si>
  <si>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</si>
  <si>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</si>
  <si>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</si>
  <si>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</si>
  <si>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</si>
  <si>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</si>
  <si>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</si>
  <si>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</si>
  <si>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</si>
  <si>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</si>
  <si>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</si>
  <si>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</si>
  <si>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</si>
  <si>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</si>
  <si>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</si>
  <si>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</si>
  <si>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</si>
  <si>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</si>
  <si>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</si>
  <si>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</si>
  <si>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</si>
  <si>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</si>
  <si>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</si>
  <si>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</si>
  <si>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</si>
  <si>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</si>
  <si>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</si>
  <si>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</si>
  <si>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</si>
  <si>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</si>
  <si>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</si>
  <si>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</si>
  <si>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</si>
  <si>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</si>
  <si>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</si>
  <si>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</si>
  <si>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</si>
  <si>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</si>
  <si>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</si>
  <si>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</si>
  <si>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</si>
  <si>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</si>
  <si>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</si>
  <si>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</si>
  <si>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</si>
  <si>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</si>
  <si>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</si>
  <si>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</si>
  <si>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</si>
  <si>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</si>
  <si>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</si>
  <si>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</si>
  <si>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</si>
  <si>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</si>
  <si>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</si>
  <si>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</si>
  <si>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</si>
  <si>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</si>
  <si>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</si>
  <si>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</si>
  <si>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</si>
  <si>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</si>
  <si>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</si>
  <si>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</si>
  <si>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</si>
  <si>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</si>
  <si>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</si>
  <si>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</si>
  <si>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</si>
  <si>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</si>
  <si>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</si>
  <si>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</si>
  <si>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</si>
  <si>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</si>
  <si>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</si>
  <si>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</si>
  <si>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</si>
  <si>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</si>
  <si>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</si>
  <si>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</si>
  <si>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</si>
  <si>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</si>
  <si>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</si>
  <si>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</si>
  <si>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</si>
  <si>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</si>
  <si>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</si>
  <si>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</si>
  <si>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</si>
  <si>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</si>
  <si>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</si>
  <si>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</si>
  <si>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</si>
  <si>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</si>
  <si>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</si>
  <si>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</si>
  <si>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</si>
  <si>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</si>
  <si>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</si>
  <si>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</si>
  <si>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</si>
  <si>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</si>
  <si>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</si>
  <si>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</si>
  <si>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</si>
  <si>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</si>
  <si>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</si>
  <si>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</si>
  <si>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</si>
  <si>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</si>
  <si>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</si>
  <si>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</si>
  <si>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</si>
  <si>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</si>
  <si>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</si>
  <si>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</si>
  <si>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</si>
  <si>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</si>
  <si>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</si>
  <si>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</si>
  <si>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</si>
  <si>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</si>
  <si>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</si>
  <si>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</si>
  <si>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</si>
  <si>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</si>
  <si>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</si>
  <si>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</si>
  <si>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</si>
  <si>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</si>
  <si>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</si>
  <si>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</si>
  <si>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</si>
  <si>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</si>
  <si>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</si>
  <si>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</si>
  <si>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</si>
  <si>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</si>
  <si>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</si>
  <si>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</si>
  <si>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</si>
  <si>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</si>
  <si>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</si>
  <si>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</si>
  <si>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</si>
  <si>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</si>
  <si>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</si>
  <si>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</si>
  <si>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</si>
  <si>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</si>
  <si>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</si>
  <si>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</si>
  <si>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</si>
  <si>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</si>
  <si>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</si>
  <si>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</si>
  <si>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</si>
  <si>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</si>
  <si>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</si>
  <si>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</si>
  <si>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</si>
  <si>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</si>
  <si>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</si>
  <si>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</si>
  <si>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</si>
  <si>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</si>
  <si>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</si>
  <si>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</si>
  <si>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</si>
  <si>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</si>
  <si>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</si>
  <si>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</si>
  <si>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</si>
  <si>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</si>
  <si>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</si>
  <si>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</si>
  <si>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</si>
  <si>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</si>
  <si>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</si>
  <si>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</si>
  <si>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</si>
  <si>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</si>
  <si>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</si>
  <si>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</si>
  <si>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</si>
  <si>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</si>
  <si>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</si>
  <si>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</si>
  <si>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</si>
  <si>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</si>
  <si>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</si>
  <si>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</si>
  <si>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</si>
  <si>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</si>
  <si>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</si>
  <si>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</si>
  <si>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</si>
  <si>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</si>
  <si>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</si>
  <si>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</si>
  <si>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</si>
  <si>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</si>
  <si>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</si>
  <si>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</si>
  <si>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</si>
  <si>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</si>
  <si>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</si>
  <si>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</si>
  <si>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</si>
  <si>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</si>
  <si>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</si>
  <si>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</si>
  <si>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</si>
  <si>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</si>
  <si>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</si>
  <si>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</si>
  <si>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</si>
  <si>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</si>
  <si>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</si>
  <si>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</si>
  <si>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</si>
  <si>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</si>
  <si>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</si>
  <si>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</si>
  <si>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</si>
  <si>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</si>
  <si>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</si>
  <si>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</si>
  <si>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</si>
  <si>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</si>
  <si>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</si>
  <si>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</si>
  <si>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</si>
  <si>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</si>
  <si>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</si>
  <si>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</si>
  <si>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</si>
  <si>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</si>
  <si>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</si>
  <si>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</si>
  <si>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</si>
  <si>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</si>
  <si>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</si>
  <si>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</si>
  <si>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</si>
  <si>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</si>
  <si>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</si>
  <si>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</si>
  <si>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</si>
  <si>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</si>
  <si>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</si>
  <si>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</si>
  <si>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</si>
  <si>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</si>
  <si>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</si>
  <si>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</si>
  <si>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</si>
  <si>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</si>
  <si>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</si>
  <si>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</si>
  <si>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</si>
  <si>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</si>
  <si>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</si>
  <si>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</si>
  <si>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</si>
  <si>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</si>
  <si>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</si>
  <si>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</si>
  <si>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</si>
  <si>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</si>
  <si>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</si>
  <si>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</si>
  <si>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</si>
  <si>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</si>
  <si>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</si>
  <si>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</si>
  <si>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</si>
  <si>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</si>
  <si>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</si>
  <si>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</si>
  <si>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</si>
  <si>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</si>
  <si>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</si>
  <si>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</si>
  <si>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</si>
  <si>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</si>
  <si>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</si>
  <si>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</si>
  <si>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</si>
  <si>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</si>
  <si>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</si>
  <si>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</si>
  <si>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</si>
  <si>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</si>
  <si>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</si>
  <si>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</si>
  <si>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</si>
  <si>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</si>
  <si>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</si>
  <si>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</si>
  <si>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</si>
  <si>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</si>
  <si>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</si>
  <si>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</si>
  <si>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</si>
  <si>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</si>
  <si>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</si>
  <si>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</si>
  <si>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</si>
  <si>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</si>
  <si>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</si>
  <si>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</si>
  <si>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</si>
  <si>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</si>
  <si>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</si>
  <si>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</si>
  <si>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</si>
  <si>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</si>
  <si>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</si>
  <si>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</si>
  <si>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</si>
  <si>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</si>
  <si>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</si>
  <si>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</si>
  <si>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</si>
  <si>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</si>
  <si>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</si>
  <si>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</si>
  <si>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</si>
  <si>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</si>
  <si>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</si>
  <si>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</si>
  <si>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</si>
  <si>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</si>
  <si>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</si>
  <si>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</si>
  <si>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</si>
  <si>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</si>
  <si>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</si>
  <si>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</si>
  <si>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</si>
  <si>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</si>
  <si>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</si>
  <si>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</si>
  <si>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</si>
  <si>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</si>
  <si>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</si>
  <si>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</si>
  <si>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</si>
  <si>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</si>
  <si>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</si>
  <si>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</si>
  <si>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</si>
  <si>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</si>
  <si>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</si>
  <si>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</si>
  <si>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</si>
  <si>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</si>
  <si>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</si>
  <si>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</si>
  <si>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</si>
  <si>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</si>
  <si>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</si>
  <si>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</si>
  <si>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</si>
  <si>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</si>
  <si>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</si>
  <si>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</si>
  <si>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</si>
  <si>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</si>
  <si>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</si>
  <si>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</si>
  <si>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</si>
  <si>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</si>
  <si>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</si>
  <si>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</si>
  <si>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</si>
  <si>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</si>
  <si>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</si>
  <si>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</si>
  <si>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</si>
  <si>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</si>
  <si>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</si>
  <si>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</si>
  <si>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</si>
  <si>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</si>
  <si>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</si>
  <si>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</si>
  <si>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</si>
  <si>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</si>
  <si>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</si>
  <si>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</si>
  <si>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</si>
  <si>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</si>
  <si>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</si>
  <si>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</si>
  <si>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</si>
  <si>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</si>
  <si>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</si>
  <si>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</si>
  <si>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</si>
  <si>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</si>
  <si>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</si>
  <si>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</si>
  <si>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</si>
  <si>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</si>
  <si>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</si>
  <si>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</si>
  <si>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</si>
  <si>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</si>
  <si>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</si>
  <si>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</si>
  <si>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</si>
  <si>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</si>
  <si>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</si>
  <si>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</si>
  <si>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</si>
  <si>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</si>
  <si>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</si>
  <si>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</si>
  <si>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</si>
  <si>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</si>
  <si>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</si>
  <si>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</si>
  <si>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</si>
  <si>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</si>
  <si>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</si>
  <si>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</si>
  <si>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</si>
  <si>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</si>
  <si>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</si>
  <si>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</si>
  <si>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</si>
  <si>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</si>
  <si>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</si>
  <si>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</si>
  <si>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</si>
  <si>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</si>
  <si>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</si>
  <si>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</si>
  <si>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</si>
  <si>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</si>
  <si>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</si>
  <si>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</si>
  <si>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</si>
  <si>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</si>
  <si>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</si>
  <si>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</si>
  <si>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</si>
  <si>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</si>
  <si>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</si>
  <si>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</si>
  <si>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</si>
  <si>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</si>
  <si>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</si>
  <si>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</si>
  <si>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</si>
  <si>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</si>
  <si>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</si>
  <si>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</si>
  <si>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</si>
  <si>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</si>
  <si>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</si>
  <si>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</si>
  <si>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</si>
  <si>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</si>
  <si>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</si>
  <si>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</si>
  <si>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</si>
  <si>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</si>
  <si>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</si>
  <si>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</si>
  <si>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</si>
  <si>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</si>
  <si>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</si>
  <si>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</si>
  <si>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</si>
  <si>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</si>
  <si>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</si>
  <si>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</si>
  <si>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</si>
  <si>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</si>
  <si>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</si>
  <si>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</si>
  <si>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</si>
  <si>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</si>
  <si>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</si>
  <si>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</si>
  <si>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</si>
  <si>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</si>
  <si>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</si>
  <si>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</si>
  <si>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</si>
  <si>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</si>
  <si>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</si>
  <si>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</si>
  <si>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</si>
  <si>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</si>
  <si>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</si>
  <si>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</si>
  <si>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</si>
  <si>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</si>
  <si>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</si>
  <si>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</si>
  <si>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</si>
  <si>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</si>
  <si>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</si>
  <si>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</si>
  <si>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</si>
  <si>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</si>
  <si>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</si>
  <si>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</si>
  <si>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</si>
  <si>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</si>
  <si>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</si>
  <si>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</si>
  <si>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</si>
  <si>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</si>
  <si>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</si>
  <si>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</si>
  <si>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</si>
  <si>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</si>
  <si>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</si>
  <si>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</si>
  <si>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</si>
  <si>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</si>
  <si>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</si>
  <si>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</si>
  <si>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</si>
  <si>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</si>
  <si>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</si>
  <si>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</si>
  <si>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</si>
  <si>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</si>
  <si>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</si>
  <si>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</si>
  <si>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</si>
  <si>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</si>
  <si>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</si>
  <si>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</si>
  <si>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</si>
  <si>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</si>
  <si>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</si>
  <si>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</si>
  <si>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</si>
  <si>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</si>
  <si>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</si>
  <si>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</si>
  <si>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</si>
  <si>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</si>
  <si>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</si>
  <si>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</si>
  <si>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</si>
  <si>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</si>
  <si>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</si>
  <si>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</si>
  <si>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</si>
  <si>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</si>
  <si>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</si>
  <si>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</si>
  <si>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</si>
  <si>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</si>
  <si>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</si>
  <si>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</si>
  <si>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</si>
  <si>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</si>
  <si>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</si>
  <si>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</si>
  <si>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</si>
  <si>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</si>
  <si>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</si>
  <si>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</si>
  <si>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</si>
  <si>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</si>
  <si>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</si>
  <si>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</si>
  <si>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</si>
  <si>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</si>
  <si>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</si>
  <si>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</si>
  <si>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</si>
  <si>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</si>
  <si>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</si>
  <si>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</si>
  <si>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</si>
  <si>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</si>
  <si>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</si>
  <si>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</si>
  <si>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</si>
  <si>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</si>
  <si>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</si>
  <si>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</si>
  <si>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</si>
  <si>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</si>
  <si>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</si>
  <si>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</si>
  <si>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</si>
  <si>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</si>
  <si>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</si>
  <si>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</si>
  <si>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</si>
  <si>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</si>
  <si>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</si>
  <si>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</si>
  <si>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</si>
  <si>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</si>
  <si>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</si>
  <si>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</si>
  <si>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</si>
  <si>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</si>
  <si>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</si>
  <si>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</si>
  <si>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</si>
  <si>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</si>
  <si>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</si>
  <si>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</si>
  <si>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</si>
  <si>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</si>
  <si>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</si>
  <si>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</si>
  <si>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</si>
  <si>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</si>
  <si>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</si>
  <si>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</si>
  <si>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</si>
  <si>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</si>
  <si>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</si>
  <si>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</si>
  <si>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</si>
  <si>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</si>
  <si>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</si>
  <si>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</si>
  <si>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</si>
  <si>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</si>
  <si>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</si>
  <si>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</si>
  <si>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</si>
  <si>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</si>
  <si>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</si>
  <si>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</si>
  <si>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</si>
  <si>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</si>
  <si>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</si>
  <si>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</si>
  <si>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</si>
  <si>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</si>
  <si>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</si>
  <si>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</si>
  <si>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</si>
  <si>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</si>
  <si>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</si>
  <si>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</si>
  <si>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</si>
  <si>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</si>
  <si>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</si>
  <si>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</si>
  <si>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</si>
  <si>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</si>
  <si>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</si>
  <si>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</si>
  <si>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</si>
  <si>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</si>
  <si>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</si>
  <si>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</si>
  <si>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</si>
  <si>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</si>
  <si>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</si>
  <si>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</si>
  <si>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</si>
  <si>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</si>
  <si>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</si>
  <si>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</si>
  <si>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</si>
  <si>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</si>
  <si>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</si>
  <si>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</si>
  <si>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</si>
  <si>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</si>
  <si>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</si>
  <si>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</si>
  <si>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</si>
  <si>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</si>
  <si>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</si>
  <si>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</si>
  <si>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</si>
  <si>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</si>
  <si>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</si>
  <si>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</si>
  <si>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</si>
  <si>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</si>
  <si>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</si>
  <si>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</si>
  <si>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</si>
  <si>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</si>
  <si>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</si>
  <si>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</si>
  <si>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</si>
  <si>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</si>
  <si>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</si>
  <si>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</si>
  <si>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</si>
  <si>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</si>
  <si>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</si>
  <si>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</si>
  <si>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</si>
  <si>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</si>
  <si>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</si>
  <si>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</si>
  <si>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</si>
  <si>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</si>
  <si>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</si>
  <si>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</si>
  <si>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</si>
  <si>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</si>
  <si>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</si>
  <si>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</si>
  <si>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</si>
  <si>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</si>
  <si>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</si>
  <si>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</si>
  <si>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</si>
  <si>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</si>
  <si>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</si>
  <si>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</si>
  <si>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</si>
  <si>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</si>
  <si>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</si>
  <si>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</si>
  <si>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</si>
  <si>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</si>
  <si>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</si>
  <si>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</si>
  <si>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</si>
  <si>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</si>
  <si>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</si>
  <si>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</si>
  <si>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</si>
  <si>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</si>
  <si>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</si>
  <si>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</si>
  <si>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</si>
  <si>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</si>
  <si>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</si>
  <si>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</si>
  <si>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</si>
  <si>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</si>
  <si>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</si>
  <si>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</si>
  <si>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</si>
  <si>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</si>
  <si>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</si>
  <si>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</si>
  <si>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</si>
  <si>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</si>
  <si>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</si>
  <si>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</si>
  <si>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</si>
  <si>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</si>
  <si>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</si>
  <si>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</si>
  <si>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</si>
  <si>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</si>
  <si>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</si>
  <si>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</si>
  <si>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</si>
  <si>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</si>
  <si>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</si>
  <si>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</si>
  <si>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</si>
  <si>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</si>
  <si>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</si>
  <si>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</si>
  <si>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</si>
  <si>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</si>
  <si>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</si>
  <si>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</si>
  <si>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</si>
  <si>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</si>
  <si>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</si>
  <si>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</si>
  <si>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</si>
  <si>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</si>
  <si>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</si>
  <si>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</si>
  <si>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</si>
  <si>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</si>
  <si>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</si>
  <si>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</si>
  <si>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</si>
  <si>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</si>
  <si>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</si>
  <si>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</si>
  <si>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</si>
  <si>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</si>
  <si>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</si>
  <si>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</si>
  <si>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</si>
  <si>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</si>
  <si>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</si>
  <si>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</si>
  <si>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</si>
  <si>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</si>
  <si>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</si>
  <si>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</si>
  <si>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</si>
  <si>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</si>
  <si>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</si>
  <si>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</si>
  <si>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</si>
  <si>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</si>
  <si>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</si>
  <si>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</si>
  <si>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</si>
  <si>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</si>
  <si>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</si>
  <si>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</si>
  <si>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</si>
  <si>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</si>
  <si>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</si>
  <si>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</si>
  <si>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</si>
  <si>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</si>
  <si>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</si>
  <si>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</si>
  <si>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</si>
  <si>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</si>
  <si>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</si>
  <si>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</si>
  <si>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</si>
  <si>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</si>
  <si>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</si>
  <si>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</si>
  <si>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</si>
  <si>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</si>
  <si>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</si>
  <si>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</si>
  <si>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</si>
  <si>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</si>
  <si>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</si>
  <si>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</si>
  <si>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</si>
  <si>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</si>
  <si>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</si>
  <si>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</si>
  <si>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</si>
  <si>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</si>
  <si>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</si>
  <si>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</si>
  <si>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</si>
  <si>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</si>
  <si>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</si>
  <si>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</si>
  <si>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</si>
  <si>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</si>
  <si>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</si>
  <si>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</si>
  <si>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</si>
  <si>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</si>
  <si>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</si>
  <si>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</si>
  <si>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</si>
  <si>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</si>
  <si>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</si>
  <si>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</si>
  <si>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</si>
  <si>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</si>
  <si>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</si>
  <si>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</si>
  <si>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</si>
  <si>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</si>
  <si>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</si>
  <si>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</si>
  <si>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</si>
  <si>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</si>
  <si>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</si>
  <si>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</si>
  <si>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</si>
  <si>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</si>
  <si>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</si>
  <si>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</si>
  <si>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</si>
  <si>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</si>
  <si>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</si>
  <si>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</si>
  <si>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</si>
  <si>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</si>
  <si>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</si>
  <si>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</si>
  <si>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</si>
  <si>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</si>
  <si>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</si>
  <si>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</si>
  <si>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</si>
  <si>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</si>
  <si>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</si>
  <si>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</si>
  <si>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</si>
  <si>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</si>
  <si>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</si>
  <si>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</si>
  <si>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</si>
  <si>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</si>
  <si>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</si>
  <si>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</si>
  <si>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</si>
  <si>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</si>
  <si>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</si>
  <si>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</si>
  <si>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</si>
  <si>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</si>
  <si>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</si>
  <si>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</si>
  <si>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</si>
  <si>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</si>
  <si>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</si>
  <si>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</si>
  <si>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</si>
  <si>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</si>
  <si>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</si>
  <si>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</si>
  <si>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</si>
  <si>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</si>
  <si>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</si>
  <si>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</si>
  <si>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</si>
  <si>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</si>
  <si>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</si>
  <si>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</si>
  <si>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</si>
  <si>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</si>
  <si>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</si>
  <si>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</si>
  <si>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</si>
  <si>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</si>
  <si>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</si>
  <si>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</si>
  <si>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</si>
  <si>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</si>
  <si>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</si>
  <si>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</si>
  <si>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</si>
  <si>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</si>
  <si>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</si>
  <si>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</si>
  <si>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</si>
  <si>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</si>
  <si>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</si>
  <si>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</si>
  <si>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</si>
  <si>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</si>
  <si>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</si>
  <si>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</si>
  <si>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</si>
  <si>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</si>
  <si>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</si>
  <si>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</si>
  <si>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</si>
  <si>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</si>
  <si>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</si>
  <si>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</si>
  <si>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</si>
  <si>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</si>
  <si>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</si>
  <si>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</si>
  <si>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</si>
  <si>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</si>
  <si>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</si>
  <si>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</si>
  <si>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</si>
  <si>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</si>
  <si>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</si>
  <si>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</si>
  <si>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</si>
  <si>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</si>
  <si>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</si>
  <si>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</si>
  <si>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</si>
  <si>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</si>
  <si>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</si>
  <si>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</si>
  <si>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</si>
  <si>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</si>
  <si>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</si>
  <si>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</si>
  <si>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</si>
  <si>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</si>
  <si>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</si>
  <si>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</si>
  <si>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</si>
  <si>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</si>
  <si>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</si>
  <si>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</si>
  <si>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</si>
  <si>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</si>
  <si>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</si>
  <si>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</si>
  <si>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</si>
  <si>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</si>
  <si>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</si>
  <si>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</si>
  <si>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</si>
  <si>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</si>
  <si>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</si>
  <si>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</si>
  <si>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</si>
  <si>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</si>
  <si>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</si>
  <si>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</si>
  <si>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</si>
  <si>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</si>
  <si>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</si>
  <si>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</si>
  <si>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</si>
  <si>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</si>
  <si>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</si>
  <si>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</si>
  <si>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</si>
  <si>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</si>
  <si>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</si>
  <si>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</si>
  <si>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</si>
  <si>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</si>
  <si>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</si>
  <si>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</si>
  <si>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</si>
  <si>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</si>
  <si>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</si>
  <si>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</si>
  <si>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</si>
  <si>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</si>
  <si>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</si>
  <si>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</si>
  <si>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</si>
  <si>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</si>
  <si>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</si>
  <si>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</si>
  <si>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</si>
  <si>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</si>
  <si>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</si>
  <si>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</si>
  <si>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</si>
  <si>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</si>
  <si>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</si>
  <si>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</si>
  <si>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</si>
  <si>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</si>
  <si>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</si>
  <si>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</si>
  <si>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</si>
  <si>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</si>
  <si>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</si>
  <si>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</si>
  <si>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</si>
  <si>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</si>
  <si>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</si>
  <si>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</si>
  <si>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</si>
  <si>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</si>
  <si>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</si>
  <si>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</si>
  <si>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</si>
  <si>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</si>
  <si>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</si>
  <si>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</si>
  <si>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</si>
  <si>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</si>
  <si>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</si>
  <si>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</si>
  <si>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</si>
  <si>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</si>
  <si>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</si>
  <si>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</si>
  <si>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</si>
  <si>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</si>
  <si>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</si>
  <si>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</si>
  <si>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</si>
  <si>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</si>
  <si>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</si>
  <si>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</si>
  <si>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</si>
  <si>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</si>
  <si>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</si>
  <si>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</si>
  <si>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</si>
  <si>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</si>
  <si>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</si>
  <si>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</si>
  <si>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</si>
  <si>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</si>
  <si>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</si>
  <si>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</si>
  <si>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</si>
  <si>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</si>
  <si>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</si>
  <si>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</si>
  <si>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</si>
  <si>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</si>
  <si>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</si>
  <si>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</si>
  <si>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</si>
  <si>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</si>
  <si>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</si>
  <si>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</si>
  <si>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</si>
  <si>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</si>
  <si>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</si>
  <si>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</si>
  <si>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</si>
  <si>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</si>
  <si>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</si>
  <si>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</si>
  <si>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</si>
  <si>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</si>
  <si>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</si>
  <si>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</si>
  <si>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</si>
  <si>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</si>
  <si>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</si>
  <si>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</si>
  <si>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</si>
  <si>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</si>
  <si>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</si>
  <si>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</si>
  <si>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</si>
  <si>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</si>
  <si>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</si>
  <si>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</si>
  <si>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</si>
  <si>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</si>
  <si>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</si>
  <si>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</si>
  <si>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</si>
  <si>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</si>
  <si>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</si>
  <si>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</si>
  <si>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</si>
  <si>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</si>
  <si>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</si>
  <si>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</si>
  <si>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</si>
  <si>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</si>
  <si>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</si>
  <si>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</si>
  <si>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</si>
  <si>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</si>
  <si>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</si>
  <si>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</si>
  <si>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</si>
  <si>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</si>
  <si>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</si>
  <si>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</si>
  <si>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</si>
  <si>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</si>
  <si>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</si>
  <si>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</si>
  <si>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</si>
  <si>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</si>
  <si>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</si>
  <si>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</si>
  <si>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</si>
  <si>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</si>
  <si>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</si>
  <si>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</si>
  <si>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</si>
  <si>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</si>
  <si>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</si>
  <si>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</si>
  <si>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</si>
  <si>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</si>
  <si>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</si>
  <si>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</si>
  <si>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</si>
  <si>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</si>
  <si>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</si>
  <si>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</si>
  <si>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</si>
  <si>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</si>
  <si>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</si>
  <si>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</si>
  <si>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</si>
  <si>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</si>
  <si>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</si>
  <si>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</si>
  <si>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</si>
  <si>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</si>
  <si>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</si>
  <si>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</si>
  <si>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</si>
  <si>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</si>
  <si>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</si>
  <si>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</si>
  <si>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</si>
  <si>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</si>
  <si>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</si>
  <si>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</si>
  <si>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</si>
  <si>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</si>
  <si>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</si>
  <si>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</si>
  <si>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</si>
  <si>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</si>
  <si>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</si>
  <si>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</si>
  <si>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</si>
  <si>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</si>
  <si>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</si>
  <si>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</si>
  <si>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</si>
  <si>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</si>
  <si>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</si>
  <si>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</si>
  <si>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</si>
  <si>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</si>
  <si>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</si>
  <si>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</si>
  <si>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</si>
  <si>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</si>
  <si>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</si>
  <si>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</si>
  <si>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</si>
  <si>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</si>
  <si>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</si>
  <si>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</si>
  <si>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</si>
  <si>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</si>
  <si>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</si>
  <si>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</si>
  <si>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</si>
  <si>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</si>
  <si>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</si>
  <si>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</si>
  <si>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</si>
  <si>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</si>
  <si>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</si>
  <si>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</si>
  <si>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</si>
  <si>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</si>
  <si>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</si>
  <si>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</si>
  <si>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</si>
  <si>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</si>
  <si>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</si>
  <si>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</si>
  <si>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</si>
  <si>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</si>
  <si>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</si>
  <si>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</si>
  <si>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</si>
  <si>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</si>
  <si>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</si>
  <si>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</si>
  <si>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</si>
  <si>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</si>
  <si>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</si>
  <si>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</si>
  <si>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</si>
  <si>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</si>
  <si>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</si>
  <si>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</si>
  <si>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</si>
  <si>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</si>
  <si>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</si>
  <si>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</si>
  <si>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</si>
  <si>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</si>
  <si>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</si>
  <si>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</si>
  <si>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</si>
  <si>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</si>
  <si>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</si>
  <si>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</si>
  <si>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</si>
  <si>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</si>
  <si>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</si>
  <si>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</si>
  <si>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</si>
  <si>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</si>
  <si>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</si>
  <si>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</si>
  <si>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</si>
  <si>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</si>
  <si>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</si>
  <si>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</si>
  <si>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</si>
  <si>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</si>
  <si>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</si>
  <si>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</si>
  <si>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</si>
  <si>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</si>
  <si>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</si>
  <si>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</si>
  <si>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</si>
  <si>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</si>
  <si>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</si>
  <si>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</si>
  <si>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</si>
  <si>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</si>
  <si>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</si>
  <si>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</si>
  <si>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</si>
  <si>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</si>
  <si>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</si>
  <si>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</si>
  <si>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</si>
  <si>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</si>
  <si>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</si>
  <si>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</si>
  <si>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</si>
  <si>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</si>
  <si>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</si>
  <si>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</si>
  <si>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</si>
  <si>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</si>
  <si>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</si>
  <si>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</si>
  <si>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</si>
  <si>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</si>
  <si>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</si>
  <si>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</si>
  <si>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</si>
  <si>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</si>
  <si>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</si>
  <si>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</si>
  <si>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</si>
  <si>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</si>
  <si>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</si>
  <si>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</si>
  <si>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</si>
  <si>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</si>
  <si>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</si>
  <si>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</si>
  <si>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</si>
  <si>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</si>
  <si>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</si>
  <si>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</si>
  <si>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</si>
  <si>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</si>
  <si>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</si>
  <si>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</si>
  <si>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</si>
  <si>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</si>
  <si>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</si>
  <si>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</si>
  <si>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</si>
  <si>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</si>
  <si>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</si>
  <si>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</si>
  <si>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</si>
  <si>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</si>
  <si>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</si>
  <si>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</si>
  <si>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</si>
  <si>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</si>
  <si>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</si>
  <si>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</si>
  <si>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</si>
  <si>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</si>
  <si>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</si>
  <si>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</si>
  <si>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</si>
  <si>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</si>
  <si>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</si>
  <si>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</si>
  <si>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</si>
  <si>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</si>
  <si>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</si>
  <si>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</si>
  <si>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</si>
  <si>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</si>
  <si>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</si>
  <si>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</si>
  <si>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</si>
  <si>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</si>
  <si>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</si>
  <si>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</si>
  <si>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</si>
  <si>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</si>
  <si>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</si>
  <si>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</si>
  <si>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</si>
  <si>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</si>
  <si>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</si>
  <si>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</si>
  <si>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</si>
  <si>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</si>
  <si>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</si>
  <si>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</si>
  <si>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</si>
  <si>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</si>
  <si>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</si>
  <si>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</si>
  <si>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</si>
  <si>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</si>
  <si>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</si>
  <si>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</si>
  <si>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</si>
  <si>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</si>
  <si>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</si>
  <si>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</si>
  <si>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</si>
  <si>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</si>
  <si>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</si>
  <si>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</si>
  <si>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</si>
  <si>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</si>
  <si>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</si>
  <si>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</si>
  <si>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</si>
  <si>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</si>
  <si>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</si>
  <si>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</si>
  <si>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</si>
  <si>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</si>
  <si>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</si>
  <si>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</si>
  <si>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</si>
  <si>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</si>
  <si>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</si>
  <si>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</si>
  <si>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</si>
  <si>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</si>
  <si>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</si>
  <si>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</si>
  <si>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</si>
  <si>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</si>
  <si>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</si>
  <si>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</si>
  <si>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</si>
  <si>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</si>
  <si>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</si>
  <si>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</si>
  <si>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</si>
  <si>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</si>
  <si>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</si>
  <si>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</si>
  <si>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</si>
  <si>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</si>
  <si>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</si>
  <si>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</si>
  <si>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</si>
  <si>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</si>
  <si>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</si>
  <si>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</si>
  <si>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</si>
  <si>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</si>
  <si>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</si>
  <si>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</si>
  <si>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</si>
  <si>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</si>
  <si>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</si>
  <si>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</si>
  <si>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</si>
  <si>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</si>
  <si>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</si>
  <si>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</si>
  <si>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</si>
  <si>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</si>
  <si>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</si>
  <si>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</si>
  <si>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</si>
  <si>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</si>
  <si>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</si>
  <si>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</si>
  <si>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</si>
  <si>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</si>
  <si>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</si>
  <si>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</si>
  <si>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</si>
  <si>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</si>
  <si>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</si>
  <si>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</si>
  <si>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</si>
  <si>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</si>
  <si>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</si>
  <si>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</si>
  <si>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</si>
  <si>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</si>
  <si>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</si>
  <si>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</si>
  <si>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</si>
  <si>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</si>
  <si>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</si>
  <si>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</si>
  <si>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</si>
  <si>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</si>
  <si>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</si>
  <si>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</si>
  <si>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</si>
  <si>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</si>
  <si>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</si>
  <si>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</si>
  <si>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</si>
  <si>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</si>
  <si>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</si>
  <si>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</si>
  <si>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</si>
  <si>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</si>
  <si>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</si>
  <si>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</si>
  <si>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</si>
  <si>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</si>
  <si>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</si>
  <si>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</si>
  <si>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</si>
  <si>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</si>
  <si>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</si>
  <si>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</si>
  <si>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</si>
  <si>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</si>
  <si>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</si>
  <si>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</si>
  <si>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</si>
  <si>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</si>
  <si>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</si>
  <si>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</si>
  <si>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</si>
  <si>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</si>
  <si>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</si>
  <si>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</si>
  <si>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</si>
  <si>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</si>
  <si>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</si>
  <si>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</si>
  <si>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</si>
  <si>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</si>
  <si>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</si>
  <si>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</si>
  <si>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</si>
  <si>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</si>
  <si>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</si>
  <si>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</si>
  <si>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</si>
  <si>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</si>
  <si>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</si>
  <si>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</si>
  <si>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</si>
  <si>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</si>
  <si>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</si>
  <si>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</si>
  <si>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</si>
  <si>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</si>
  <si>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</si>
  <si>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</si>
  <si>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</si>
  <si>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</si>
  <si>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</si>
  <si>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</si>
  <si>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</si>
  <si>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</si>
  <si>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</si>
  <si>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</si>
  <si>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</si>
  <si>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</si>
  <si>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</si>
  <si>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</si>
  <si>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</si>
  <si>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</si>
  <si>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</si>
  <si>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</si>
  <si>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</si>
  <si>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</si>
  <si>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</si>
  <si>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</si>
  <si>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</si>
  <si>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</si>
  <si>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</si>
  <si>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</si>
  <si>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</si>
  <si>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</si>
  <si>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</si>
  <si>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</si>
  <si>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</si>
  <si>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</si>
  <si>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</si>
  <si>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</si>
  <si>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</si>
  <si>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</si>
  <si>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</si>
  <si>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</si>
  <si>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</si>
  <si>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</si>
  <si>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</si>
  <si>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</si>
  <si>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</si>
  <si>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</si>
  <si>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</si>
  <si>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</si>
  <si>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</si>
  <si>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</si>
  <si>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</si>
  <si>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</si>
  <si>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</si>
  <si>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</si>
  <si>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</si>
  <si>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</si>
  <si>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</si>
  <si>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</si>
  <si>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</si>
  <si>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</si>
  <si>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</si>
  <si>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</si>
  <si>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</si>
  <si>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</si>
  <si>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</si>
  <si>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</si>
  <si>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</si>
  <si>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</si>
  <si>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</si>
  <si>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</si>
  <si>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</si>
  <si>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</si>
  <si>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</si>
  <si>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</si>
  <si>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</si>
  <si>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</si>
  <si>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</si>
  <si>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</si>
  <si>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</si>
  <si>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</si>
  <si>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</si>
  <si>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</si>
  <si>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</si>
  <si>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</si>
  <si>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</si>
  <si>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</si>
  <si>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</si>
  <si>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</si>
  <si>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</si>
  <si>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</si>
  <si>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</si>
  <si>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</si>
  <si>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</si>
  <si>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</si>
  <si>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</si>
  <si>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</si>
  <si>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</si>
  <si>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</si>
  <si>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</si>
  <si>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</si>
  <si>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</si>
  <si>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</si>
  <si>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</si>
  <si>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</si>
  <si>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</si>
  <si>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</si>
  <si>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</si>
  <si>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</si>
  <si>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</si>
  <si>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</si>
  <si>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</si>
  <si>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</si>
  <si>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</si>
  <si>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</si>
  <si>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</si>
  <si>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</si>
  <si>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</si>
  <si>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</si>
  <si>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</si>
  <si>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</si>
  <si>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</si>
  <si>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</si>
  <si>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</si>
  <si>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</si>
  <si>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</si>
  <si>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</si>
  <si>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</si>
  <si>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</si>
  <si>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</si>
  <si>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</si>
  <si>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</si>
  <si>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</si>
  <si>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</si>
  <si>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</si>
  <si>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</si>
  <si>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</si>
  <si>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</si>
  <si>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</si>
  <si>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</si>
  <si>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</si>
  <si>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</si>
  <si>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</si>
  <si>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</si>
  <si>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</si>
  <si>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</si>
  <si>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</si>
  <si>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</si>
  <si>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</si>
  <si>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</si>
  <si>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</si>
  <si>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</si>
  <si>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</si>
  <si>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</si>
  <si>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</si>
  <si>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</si>
  <si>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</si>
  <si>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</si>
  <si>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</si>
  <si>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</si>
  <si>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</si>
  <si>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</si>
  <si>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</si>
  <si>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</si>
  <si>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</si>
  <si>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</si>
  <si>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</si>
  <si>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</si>
  <si>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</si>
  <si>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</si>
  <si>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</si>
  <si>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</si>
  <si>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</si>
  <si>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</si>
  <si>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</si>
  <si>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</si>
  <si>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</si>
  <si>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</si>
  <si>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</si>
  <si>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</si>
  <si>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</si>
  <si>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</si>
  <si>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</si>
  <si>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</si>
  <si>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</si>
  <si>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</si>
  <si>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</si>
  <si>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</si>
  <si>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</si>
  <si>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</si>
  <si>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</si>
  <si>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</si>
  <si>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</si>
  <si>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</si>
  <si>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</si>
  <si>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</si>
  <si>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</si>
  <si>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</si>
  <si>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</si>
  <si>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</si>
  <si>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</si>
  <si>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</si>
  <si>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</si>
  <si>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</si>
  <si>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</si>
  <si>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</si>
  <si>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</si>
  <si>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</si>
  <si>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</si>
  <si>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</si>
  <si>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</si>
  <si>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</si>
  <si>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</si>
  <si>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</si>
  <si>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</si>
  <si>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</si>
  <si>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</si>
  <si>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</si>
  <si>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</si>
  <si>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</si>
  <si>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</si>
  <si>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</si>
  <si>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</si>
  <si>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</si>
  <si>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</si>
  <si>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</si>
  <si>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</si>
  <si>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</si>
  <si>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</si>
  <si>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</si>
  <si>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</si>
  <si>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</si>
  <si>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</si>
  <si>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</si>
  <si>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</si>
  <si>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</si>
  <si>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</si>
  <si>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</si>
  <si>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</si>
  <si>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</si>
  <si>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</si>
  <si>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</si>
  <si>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</si>
  <si>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</si>
  <si>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</si>
  <si>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</si>
  <si>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</si>
  <si>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</si>
  <si>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</si>
  <si>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</si>
  <si>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</si>
  <si>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</si>
  <si>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</si>
  <si>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</si>
  <si>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</si>
  <si>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</si>
  <si>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</si>
  <si>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</si>
  <si>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</si>
  <si>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</si>
  <si>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</si>
  <si>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</si>
  <si>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</si>
  <si>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</si>
  <si>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</si>
  <si>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</si>
  <si>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</si>
  <si>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</si>
  <si>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</si>
  <si>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</si>
  <si>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</si>
  <si>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</si>
  <si>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</si>
  <si>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</si>
  <si>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</si>
  <si>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</si>
  <si>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</si>
  <si>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</si>
  <si>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</si>
  <si>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</si>
  <si>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</si>
  <si>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</si>
  <si>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</si>
  <si>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</si>
  <si>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</si>
  <si>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</si>
  <si>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</si>
  <si>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</si>
  <si>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</si>
  <si>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</si>
  <si>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</si>
  <si>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</si>
  <si>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</si>
  <si>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</si>
  <si>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</si>
  <si>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</si>
  <si>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</si>
  <si>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</si>
  <si>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</si>
  <si>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</si>
  <si>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</si>
  <si>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</si>
  <si>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</si>
  <si>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</si>
  <si>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</si>
  <si>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</si>
  <si>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</si>
  <si>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</si>
  <si>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</si>
  <si>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</si>
  <si>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</si>
  <si>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</si>
  <si>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</si>
  <si>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</si>
  <si>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</si>
  <si>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</si>
  <si>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</si>
  <si>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</si>
  <si>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</si>
  <si>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</si>
  <si>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</si>
  <si>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</si>
  <si>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</si>
  <si>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</si>
  <si>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</si>
  <si>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</si>
  <si>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</si>
  <si>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</si>
  <si>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</si>
  <si>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</si>
  <si>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</si>
  <si>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</si>
  <si>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</si>
  <si>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</si>
  <si>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</si>
  <si>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</si>
  <si>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</si>
  <si>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</si>
  <si>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</si>
  <si>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</si>
  <si>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</si>
  <si>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</si>
  <si>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</si>
  <si>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</si>
  <si>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</si>
  <si>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</si>
  <si>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</si>
  <si>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</si>
  <si>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</si>
  <si>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</si>
  <si>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</si>
  <si>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</si>
  <si>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</si>
  <si>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</si>
  <si>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</si>
  <si>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</si>
  <si>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</si>
  <si>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</si>
  <si>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</si>
  <si>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</si>
  <si>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</si>
  <si>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</si>
  <si>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</si>
  <si>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</si>
  <si>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</si>
  <si>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</si>
  <si>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</si>
  <si>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</si>
  <si>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</si>
  <si>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</si>
  <si>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</si>
  <si>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</si>
  <si>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</si>
  <si>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</si>
  <si>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</si>
  <si>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</si>
  <si>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</si>
  <si>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</si>
  <si>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</si>
  <si>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</si>
  <si>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</si>
  <si>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</si>
  <si>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</si>
  <si>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</si>
  <si>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</si>
  <si>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</si>
  <si>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</si>
  <si>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</si>
  <si>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</si>
  <si>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</si>
  <si>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</si>
  <si>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</si>
  <si>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</si>
  <si>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</si>
  <si>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</si>
  <si>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</si>
  <si>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</si>
  <si>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</si>
  <si>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</si>
  <si>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</si>
  <si>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</si>
  <si>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</si>
  <si>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</si>
  <si>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</si>
  <si>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</si>
  <si>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</si>
  <si>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</si>
  <si>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</si>
  <si>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</si>
  <si>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</si>
  <si>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</si>
  <si>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</si>
  <si>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</si>
  <si>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</si>
  <si>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</si>
  <si>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</si>
  <si>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</si>
  <si>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</si>
  <si>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</si>
  <si>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</si>
  <si>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</si>
  <si>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</si>
  <si>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</si>
  <si>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</si>
  <si>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</si>
  <si>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</si>
  <si>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</si>
  <si>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</si>
  <si>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</si>
  <si>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</si>
  <si>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</si>
  <si>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</si>
  <si>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</si>
  <si>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</si>
  <si>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</si>
  <si>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</si>
  <si>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</si>
  <si>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</si>
  <si>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</si>
  <si>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</si>
  <si>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</si>
  <si>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</si>
  <si>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</si>
  <si>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</si>
  <si>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</si>
  <si>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</si>
  <si>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</si>
  <si>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</si>
  <si>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</si>
  <si>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</si>
  <si>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</si>
  <si>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</si>
  <si>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</si>
  <si>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</si>
  <si>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</si>
  <si>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</si>
  <si>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</si>
  <si>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</si>
  <si>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</si>
  <si>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</si>
  <si>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</si>
  <si>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</si>
  <si>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</si>
  <si>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</si>
  <si>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</si>
  <si>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</si>
  <si>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</si>
  <si>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</si>
  <si>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</si>
  <si>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</si>
  <si>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</si>
  <si>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</si>
  <si>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</si>
  <si>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</si>
  <si>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</si>
  <si>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</si>
  <si>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</si>
  <si>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</si>
  <si>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</si>
  <si>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</si>
  <si>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</si>
  <si>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</si>
  <si>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</si>
  <si>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</si>
  <si>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</si>
  <si>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</si>
  <si>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</si>
  <si>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</si>
  <si>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</si>
  <si>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</si>
  <si>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</si>
  <si>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</si>
  <si>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</si>
  <si>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</si>
  <si>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</si>
  <si>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</si>
  <si>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</si>
  <si>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</si>
  <si>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</si>
  <si>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</si>
  <si>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</si>
  <si>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</si>
  <si>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</si>
  <si>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</si>
  <si>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</si>
  <si>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</si>
  <si>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</si>
  <si>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</si>
  <si>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</si>
  <si>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</si>
  <si>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</si>
  <si>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</si>
  <si>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</si>
  <si>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</si>
  <si>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</si>
  <si>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</si>
  <si>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</si>
  <si>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</si>
  <si>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</si>
  <si>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</si>
  <si>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</si>
  <si>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</si>
  <si>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</si>
  <si>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</si>
  <si>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</si>
  <si>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</si>
  <si>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</si>
  <si>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</si>
  <si>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</si>
  <si>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</si>
  <si>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</si>
  <si>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</si>
  <si>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</si>
  <si>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</si>
  <si>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</si>
  <si>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</si>
  <si>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</si>
  <si>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</si>
  <si>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</si>
  <si>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</si>
  <si>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</si>
  <si>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</si>
  <si>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</si>
  <si>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</si>
  <si>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</si>
  <si>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</si>
  <si>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</si>
  <si>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</si>
  <si>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</si>
  <si>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</si>
  <si>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</si>
  <si>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</si>
  <si>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</si>
  <si>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</si>
  <si>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</si>
  <si>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</si>
  <si>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</si>
  <si>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</si>
  <si>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</si>
  <si>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</si>
  <si>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</si>
  <si>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</si>
  <si>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</si>
  <si>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</si>
  <si>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</si>
  <si>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</si>
  <si>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</si>
  <si>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</si>
  <si>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</si>
  <si>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</si>
  <si>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</si>
  <si>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</si>
  <si>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</si>
  <si>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</si>
  <si>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</si>
  <si>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</si>
  <si>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</si>
  <si>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</si>
  <si>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</si>
  <si>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</si>
  <si>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</si>
  <si>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</si>
  <si>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</si>
  <si>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</si>
  <si>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</si>
  <si>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</si>
  <si>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</si>
  <si>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</si>
  <si>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</si>
  <si>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</si>
  <si>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</si>
  <si>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</si>
  <si>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</si>
  <si>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</si>
  <si>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</si>
  <si>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</si>
  <si>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</si>
  <si>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</si>
  <si>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</si>
  <si>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</si>
  <si>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</si>
  <si>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</si>
  <si>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</si>
  <si>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</si>
  <si>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</si>
  <si>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</si>
  <si>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</si>
  <si>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</si>
  <si>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</si>
  <si>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</si>
  <si>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</si>
  <si>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</si>
  <si>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</si>
  <si>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</si>
  <si>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</si>
  <si>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</si>
  <si>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</si>
  <si>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</si>
  <si>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</si>
  <si>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</si>
  <si>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</si>
  <si>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</si>
  <si>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</si>
  <si>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</si>
  <si>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</si>
  <si>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</si>
  <si>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</si>
  <si>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</si>
  <si>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</si>
  <si>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</si>
  <si>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</si>
  <si>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</si>
  <si>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</si>
  <si>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</si>
  <si>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</si>
  <si>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</si>
  <si>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</si>
  <si>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</si>
  <si>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</si>
  <si>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</si>
  <si>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</si>
  <si>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</si>
  <si>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</si>
  <si>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</si>
  <si>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</si>
  <si>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</si>
  <si>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</si>
  <si>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</si>
  <si>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</si>
  <si>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</si>
  <si>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</si>
  <si>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</si>
  <si>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</si>
  <si>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</si>
  <si>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</si>
  <si>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</si>
  <si>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</si>
  <si>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</si>
  <si>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</si>
  <si>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</si>
  <si>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</si>
  <si>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</si>
  <si>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</si>
  <si>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</si>
  <si>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</si>
  <si>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</si>
  <si>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</si>
  <si>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</si>
  <si>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</si>
  <si>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</si>
  <si>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</si>
  <si>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</si>
  <si>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</si>
  <si>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</si>
  <si>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</si>
  <si>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</si>
  <si>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</si>
  <si>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</si>
  <si>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</si>
  <si>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</si>
  <si>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</si>
  <si>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</si>
  <si>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</si>
  <si>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</si>
  <si>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</si>
  <si>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</si>
  <si>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</si>
  <si>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</si>
  <si>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</si>
  <si>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</si>
  <si>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</si>
  <si>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</si>
  <si>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</si>
  <si>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</si>
  <si>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</si>
  <si>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</si>
  <si>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</si>
  <si>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</si>
  <si>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</si>
  <si>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</si>
  <si>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</si>
  <si>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</si>
  <si>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</si>
  <si>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</si>
  <si>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</si>
  <si>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</si>
  <si>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</si>
  <si>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</si>
  <si>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</si>
  <si>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</si>
  <si>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</si>
  <si>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</si>
  <si>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</si>
  <si>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</si>
  <si>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</si>
  <si>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</si>
  <si>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</si>
  <si>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</si>
  <si>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</si>
  <si>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</si>
  <si>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</si>
  <si>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</si>
  <si>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</si>
  <si>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</si>
  <si>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</si>
  <si>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</si>
  <si>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</si>
  <si>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</si>
  <si>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</si>
  <si>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</si>
  <si>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</si>
  <si>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</si>
  <si>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</si>
  <si>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</si>
  <si>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</si>
  <si>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</si>
  <si>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</si>
  <si>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</si>
  <si>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</si>
  <si>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</si>
  <si>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</si>
  <si>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</si>
  <si>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</si>
  <si>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</si>
  <si>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</si>
  <si>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</si>
  <si>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</si>
  <si>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</si>
  <si>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</si>
  <si>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</si>
  <si>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</si>
  <si>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</si>
  <si>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</si>
  <si>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</si>
  <si>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</si>
  <si>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</si>
  <si>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</si>
  <si>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</si>
  <si>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</si>
  <si>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</si>
  <si>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</si>
  <si>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</si>
  <si>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</si>
  <si>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</si>
  <si>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</si>
  <si>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</si>
  <si>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</si>
  <si>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</si>
  <si>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</si>
  <si>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</si>
  <si>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</si>
  <si>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</si>
  <si>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</si>
  <si>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</si>
  <si>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</si>
  <si>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</si>
  <si>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</si>
  <si>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</si>
  <si>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</si>
  <si>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</si>
  <si>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</si>
  <si>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</si>
  <si>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</si>
  <si>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</si>
  <si>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</si>
  <si>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</si>
  <si>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</si>
  <si>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</si>
  <si>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</si>
  <si>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</si>
  <si>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</si>
  <si>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</si>
  <si>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</si>
  <si>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</si>
  <si>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</si>
  <si>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</si>
  <si>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</si>
  <si>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</si>
  <si>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</si>
  <si>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</si>
  <si>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</si>
  <si>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</si>
  <si>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</si>
  <si>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</si>
  <si>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</si>
  <si>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</si>
  <si>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</si>
  <si>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</si>
  <si>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</si>
  <si>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</si>
  <si>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</si>
  <si>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</si>
  <si>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</si>
  <si>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</si>
  <si>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</si>
  <si>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</si>
  <si>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</si>
  <si>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</si>
  <si>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</si>
  <si>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</si>
  <si>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</si>
  <si>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</si>
  <si>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</si>
  <si>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</si>
  <si>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</si>
  <si>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</si>
  <si>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</si>
  <si>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</si>
  <si>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</si>
  <si>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</si>
  <si>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</si>
  <si>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</si>
  <si>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</si>
  <si>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</si>
  <si>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</si>
  <si>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</si>
  <si>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</si>
  <si>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</si>
  <si>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</si>
  <si>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</si>
  <si>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</si>
  <si>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</si>
  <si>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</si>
  <si>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</si>
  <si>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</si>
  <si>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</si>
  <si>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</si>
  <si>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</si>
  <si>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</si>
  <si>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</si>
  <si>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</si>
  <si>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</si>
  <si>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</si>
  <si>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</si>
  <si>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</si>
  <si>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</si>
  <si>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</si>
  <si>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</si>
  <si>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</si>
  <si>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</si>
  <si>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</si>
  <si>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</si>
  <si>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</si>
  <si>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</si>
  <si>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</si>
  <si>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</si>
  <si>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</si>
  <si>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</si>
  <si>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</si>
  <si>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</si>
  <si>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</si>
  <si>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</si>
  <si>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</si>
  <si>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</si>
  <si>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</si>
  <si>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</si>
  <si>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</si>
  <si>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</si>
  <si>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</si>
  <si>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</si>
  <si>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</si>
  <si>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</si>
  <si>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</si>
  <si>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</si>
  <si>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</si>
  <si>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</si>
  <si>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</si>
  <si>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</si>
  <si>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</si>
  <si>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</si>
  <si>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</si>
  <si>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</si>
  <si>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</si>
  <si>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</si>
  <si>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</si>
  <si>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</si>
  <si>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</si>
  <si>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</si>
  <si>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</si>
  <si>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</si>
  <si>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</si>
  <si>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</si>
  <si>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</si>
  <si>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</si>
  <si>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</si>
  <si>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</si>
  <si>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</si>
  <si>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</si>
  <si>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</si>
  <si>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</si>
  <si>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</si>
  <si>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</si>
  <si>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</si>
  <si>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</si>
  <si>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</si>
  <si>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</si>
  <si>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</si>
  <si>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</si>
  <si>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</si>
  <si>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</si>
  <si>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</si>
  <si>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</si>
  <si>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</si>
  <si>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</si>
  <si>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</si>
  <si>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</si>
  <si>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</si>
  <si>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</si>
  <si>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</si>
  <si>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</si>
  <si>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</si>
  <si>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</si>
  <si>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</si>
  <si>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</si>
  <si>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</si>
  <si>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</si>
  <si>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</si>
  <si>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</si>
  <si>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</si>
  <si>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</si>
  <si>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</si>
  <si>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</si>
  <si>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</si>
  <si>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</si>
  <si>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</si>
  <si>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</si>
  <si>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</si>
  <si>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</si>
  <si>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</si>
  <si>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</si>
  <si>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</si>
  <si>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</si>
  <si>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</si>
  <si>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</si>
  <si>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</si>
  <si>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</si>
  <si>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</si>
  <si>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</si>
  <si>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</si>
  <si>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</si>
  <si>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</si>
  <si>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</si>
  <si>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</si>
  <si>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</si>
  <si>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</si>
  <si>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</si>
  <si>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</si>
  <si>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</si>
  <si>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</si>
  <si>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</si>
  <si>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</si>
  <si>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</si>
  <si>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</si>
  <si>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</si>
  <si>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</si>
  <si>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</si>
  <si>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</si>
  <si>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</si>
  <si>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</si>
  <si>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</si>
  <si>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</si>
  <si>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</si>
  <si>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</si>
  <si>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</si>
  <si>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</si>
  <si>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</si>
  <si>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</si>
  <si>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</si>
  <si>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</si>
  <si>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</si>
  <si>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</si>
  <si>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</si>
  <si>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</si>
  <si>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</si>
  <si>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</si>
  <si>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</si>
  <si>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</si>
  <si>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</si>
  <si>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</si>
  <si>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</si>
  <si>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</si>
  <si>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</si>
  <si>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</si>
  <si>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</si>
  <si>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</si>
  <si>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</si>
  <si>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</si>
  <si>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</si>
  <si>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</si>
  <si>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</si>
  <si>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</si>
  <si>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</si>
  <si>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</si>
  <si>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</si>
  <si>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</si>
  <si>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</si>
  <si>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</si>
  <si>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</si>
  <si>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</si>
  <si>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</si>
  <si>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</si>
  <si>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</si>
  <si>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</si>
  <si>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</si>
  <si>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</si>
  <si>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</si>
  <si>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</si>
  <si>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</si>
  <si>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</si>
  <si>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</si>
  <si>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</si>
  <si>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</si>
  <si>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</si>
  <si>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</si>
  <si>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</si>
  <si>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</si>
  <si>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</si>
  <si>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</si>
  <si>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</si>
  <si>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</si>
  <si>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</si>
  <si>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</si>
  <si>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</si>
  <si>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</si>
  <si>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</si>
  <si>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</si>
  <si>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</si>
  <si>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</si>
  <si>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</si>
  <si>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</si>
  <si>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</si>
  <si>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</si>
  <si>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</si>
  <si>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</si>
  <si>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</si>
  <si>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</si>
  <si>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</si>
  <si>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</si>
  <si>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</si>
  <si>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</si>
  <si>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</si>
  <si>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</si>
  <si>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</si>
  <si>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</si>
  <si>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</si>
  <si>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</si>
  <si>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</si>
  <si>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</si>
  <si>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</si>
  <si>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</si>
  <si>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</si>
  <si>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</si>
  <si>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</si>
  <si>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</si>
  <si>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</si>
  <si>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</si>
  <si>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</si>
  <si>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</si>
  <si>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</si>
  <si>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</si>
  <si>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</si>
  <si>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</si>
  <si>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</si>
  <si>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</si>
  <si>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</si>
  <si>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</si>
  <si>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</si>
  <si>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</si>
  <si>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</si>
  <si>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</si>
  <si>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</si>
  <si>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</si>
  <si>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</si>
  <si>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</si>
  <si>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</si>
  <si>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</si>
  <si>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</si>
  <si>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</si>
  <si>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</si>
  <si>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</si>
  <si>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</si>
  <si>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</si>
  <si>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</si>
  <si>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</si>
  <si>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</si>
  <si>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</si>
  <si>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</si>
  <si>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</si>
  <si>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</si>
  <si>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</si>
  <si>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</si>
  <si>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</si>
  <si>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</si>
  <si>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</si>
  <si>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</si>
  <si>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</si>
  <si>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</si>
  <si>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</si>
  <si>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</si>
  <si>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</si>
  <si>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</si>
  <si>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</si>
  <si>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</si>
  <si>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</si>
  <si>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</si>
  <si>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</si>
  <si>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</si>
  <si>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</si>
  <si>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</si>
  <si>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</si>
  <si>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</si>
  <si>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</si>
  <si>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</si>
  <si>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</si>
  <si>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</si>
  <si>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</si>
  <si>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</si>
  <si>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</si>
  <si>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</si>
  <si>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</si>
  <si>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</si>
  <si>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</si>
  <si>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</si>
  <si>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</si>
  <si>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</si>
  <si>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</si>
  <si>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</si>
  <si>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</si>
  <si>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</si>
  <si>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</si>
  <si>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</si>
  <si>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</si>
  <si>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</si>
  <si>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</si>
  <si>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</si>
  <si>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</si>
  <si>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</si>
  <si>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</si>
  <si>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</si>
  <si>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</si>
  <si>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</si>
  <si>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</si>
  <si>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</si>
  <si>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</si>
  <si>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</si>
  <si>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</si>
  <si>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</si>
  <si>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</si>
  <si>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</si>
  <si>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</si>
  <si>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</si>
  <si>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</si>
  <si>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</si>
  <si>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</si>
  <si>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</si>
  <si>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</si>
  <si>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</si>
  <si>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</si>
  <si>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</si>
  <si>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</si>
  <si>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</si>
  <si>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</si>
  <si>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</si>
  <si>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</si>
  <si>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</si>
  <si>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</si>
  <si>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</si>
  <si>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</si>
  <si>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</si>
  <si>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</si>
  <si>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</si>
  <si>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</si>
  <si>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</si>
  <si>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</si>
  <si>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</si>
  <si>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</si>
  <si>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</si>
  <si>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</si>
  <si>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</si>
  <si>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</si>
  <si>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</si>
  <si>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</si>
  <si>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</si>
  <si>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</si>
  <si>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</si>
  <si>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</si>
  <si>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</si>
  <si>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</si>
  <si>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</si>
  <si>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</si>
  <si>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</si>
  <si>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</si>
  <si>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</si>
  <si>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</si>
  <si>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</si>
  <si>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</si>
  <si>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</si>
  <si>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</si>
  <si>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</si>
  <si>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</si>
  <si>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</si>
  <si>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</si>
  <si>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</si>
  <si>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</si>
  <si>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</si>
  <si>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</si>
  <si>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</si>
  <si>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</si>
  <si>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</si>
  <si>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</si>
  <si>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</si>
  <si>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</si>
  <si>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</si>
  <si>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</si>
  <si>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</si>
  <si>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</si>
  <si>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</si>
  <si>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</si>
  <si>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</si>
  <si>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</si>
  <si>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</si>
  <si>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</si>
  <si>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</si>
  <si>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</si>
  <si>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</si>
  <si>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</si>
  <si>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</si>
  <si>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</si>
  <si>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</si>
  <si>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</si>
  <si>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</si>
  <si>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</si>
  <si>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</si>
  <si>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</si>
  <si>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</si>
  <si>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</si>
  <si>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</si>
  <si>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</si>
  <si>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</si>
  <si>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</si>
  <si>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</si>
  <si>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</si>
  <si>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</si>
  <si>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</si>
  <si>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</si>
  <si>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</si>
  <si>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</si>
  <si>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</si>
  <si>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</si>
  <si>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</si>
  <si>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</si>
  <si>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</si>
  <si>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</si>
  <si>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</si>
  <si>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</si>
  <si>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</si>
  <si>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</si>
  <si>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</si>
  <si>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</si>
  <si>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</si>
  <si>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</si>
  <si>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</si>
  <si>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</si>
  <si>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</si>
  <si>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</si>
  <si>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</si>
  <si>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</si>
  <si>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</si>
  <si>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</si>
  <si>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</si>
  <si>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</si>
  <si>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</si>
  <si>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</si>
  <si>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</si>
  <si>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</si>
  <si>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</si>
  <si>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</si>
  <si>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</si>
  <si>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</si>
  <si>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</si>
  <si>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</si>
  <si>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</si>
  <si>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</si>
  <si>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</si>
  <si>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</si>
  <si>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</si>
  <si>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</si>
  <si>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</si>
  <si>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</si>
  <si>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</si>
  <si>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</si>
  <si>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</si>
  <si>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</si>
  <si>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</si>
  <si>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</si>
  <si>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</si>
  <si>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</si>
  <si>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</si>
  <si>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</si>
  <si>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</si>
  <si>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</si>
  <si>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</si>
  <si>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</si>
  <si>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</si>
  <si>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</si>
  <si>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</si>
  <si>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</si>
  <si>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</si>
  <si>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</si>
  <si>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</si>
  <si>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</si>
  <si>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</si>
  <si>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</si>
  <si>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</si>
  <si>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</si>
  <si>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</si>
  <si>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</si>
  <si>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</si>
  <si>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</si>
  <si>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</si>
  <si>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</si>
  <si>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</si>
  <si>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</si>
  <si>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</si>
  <si>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</si>
  <si>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</si>
  <si>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</si>
  <si>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</si>
  <si>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</si>
  <si>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</si>
  <si>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</si>
  <si>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</si>
  <si>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</si>
  <si>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</si>
  <si>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</si>
  <si>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</si>
  <si>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</si>
  <si>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</si>
  <si>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</si>
  <si>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</si>
  <si>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</si>
  <si>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</si>
  <si>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</si>
  <si>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</si>
  <si>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</si>
  <si>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</si>
  <si>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</si>
  <si>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</si>
  <si>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</si>
  <si>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</si>
  <si>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</si>
  <si>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</si>
  <si>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</si>
  <si>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</si>
  <si>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</si>
  <si>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</si>
  <si>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</si>
  <si>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</si>
  <si>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</si>
  <si>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</si>
  <si>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</si>
  <si>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</si>
  <si>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</si>
  <si>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</si>
  <si>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</si>
  <si>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</si>
  <si>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</si>
  <si>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</si>
  <si>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</si>
  <si>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</si>
  <si>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</si>
  <si>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</si>
  <si>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</si>
  <si>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</si>
  <si>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</si>
  <si>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</si>
  <si>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</si>
  <si>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</si>
  <si>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</si>
  <si>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</si>
  <si>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</si>
  <si>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</si>
  <si>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</si>
  <si>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</si>
  <si>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</si>
  <si>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</si>
  <si>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</si>
  <si>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</si>
  <si>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</si>
  <si>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</si>
  <si>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</si>
  <si>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</si>
  <si>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</si>
  <si>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</si>
  <si>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</si>
  <si>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</si>
  <si>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</si>
  <si>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</si>
  <si>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</si>
  <si>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</si>
  <si>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</si>
  <si>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</si>
  <si>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</si>
  <si>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</si>
  <si>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</si>
  <si>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</si>
  <si>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</si>
  <si>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</si>
  <si>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</si>
  <si>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</si>
  <si>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</si>
  <si>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</si>
  <si>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</si>
  <si>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</si>
  <si>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</si>
  <si>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</si>
  <si>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</si>
  <si>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</si>
  <si>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</si>
  <si>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</si>
  <si>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</si>
  <si>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</si>
  <si>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</si>
  <si>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</si>
  <si>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</si>
  <si>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</si>
  <si>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</si>
  <si>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</si>
  <si>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</si>
  <si>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</si>
  <si>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</si>
  <si>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</si>
  <si>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</si>
  <si>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</si>
  <si>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</si>
  <si>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</si>
  <si>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</si>
  <si>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</si>
  <si>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</si>
  <si>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</si>
  <si>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</si>
  <si>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</si>
  <si>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</si>
  <si>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</si>
  <si>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</si>
  <si>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</si>
  <si>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</si>
  <si>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</si>
  <si>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</si>
  <si>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</si>
  <si>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</si>
  <si>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</si>
  <si>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</si>
  <si>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</si>
  <si>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</si>
  <si>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</si>
  <si>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</si>
  <si>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</si>
  <si>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</si>
  <si>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</si>
  <si>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</si>
  <si>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</si>
  <si>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</si>
  <si>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</si>
  <si>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</si>
  <si>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</si>
  <si>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</si>
  <si>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</si>
  <si>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</si>
  <si>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</si>
  <si>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</si>
  <si>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</si>
  <si>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</si>
  <si>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</si>
  <si>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</si>
  <si>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</si>
  <si>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</si>
  <si>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</si>
  <si>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</si>
  <si>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</si>
  <si>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</si>
  <si>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</si>
  <si>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</si>
  <si>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</si>
  <si>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</si>
  <si>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</si>
  <si>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</si>
  <si>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</si>
  <si>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</si>
  <si>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</si>
  <si>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</si>
  <si>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</si>
  <si>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</si>
  <si>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</si>
  <si>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</si>
  <si>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</si>
  <si>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</si>
  <si>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</si>
  <si>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</si>
  <si>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</si>
  <si>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</si>
  <si>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</si>
  <si>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</si>
  <si>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</si>
  <si>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</si>
  <si>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</si>
  <si>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</si>
  <si>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</si>
  <si>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</si>
  <si>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</si>
  <si>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</si>
  <si>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</si>
  <si>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</si>
  <si>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</si>
  <si>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</si>
  <si>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</si>
  <si>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</si>
  <si>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</si>
  <si>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</si>
  <si>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</si>
  <si>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</si>
  <si>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</si>
  <si>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</si>
  <si>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</si>
  <si>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</si>
  <si>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</si>
  <si>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</si>
  <si>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</si>
  <si>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</si>
  <si>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</si>
  <si>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</si>
  <si>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</si>
  <si>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</si>
  <si>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</si>
  <si>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</si>
  <si>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</si>
  <si>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</si>
  <si>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</si>
  <si>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</si>
  <si>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</si>
  <si>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</si>
  <si>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</si>
  <si>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</si>
  <si>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</si>
  <si>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</si>
  <si>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</si>
  <si>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</si>
  <si>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</si>
  <si>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</si>
  <si>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</si>
  <si>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</si>
  <si>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</si>
  <si>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</si>
  <si>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</si>
  <si>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</si>
  <si>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</si>
  <si>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</si>
  <si>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</si>
  <si>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</si>
  <si>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</si>
  <si>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</si>
  <si>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</si>
  <si>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</si>
  <si>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</si>
  <si>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</si>
  <si>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</si>
  <si>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</si>
  <si>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</si>
  <si>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</si>
  <si>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</si>
  <si>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</si>
  <si>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</si>
  <si>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</si>
  <si>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</si>
  <si>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</si>
  <si>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</si>
  <si>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</si>
  <si>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</si>
  <si>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</si>
  <si>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</si>
  <si>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</si>
  <si>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</si>
  <si>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</si>
  <si>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</si>
  <si>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</si>
  <si>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</si>
  <si>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</si>
  <si>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</si>
  <si>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</si>
  <si>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</si>
  <si>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</si>
  <si>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</si>
  <si>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</si>
  <si>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</si>
  <si>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</si>
  <si>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</si>
  <si>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</si>
  <si>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</si>
  <si>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</si>
  <si>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</si>
  <si>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</si>
  <si>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</si>
  <si>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</si>
  <si>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</si>
  <si>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</si>
  <si>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</si>
  <si>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</si>
  <si>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</si>
  <si>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</si>
  <si>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</si>
  <si>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</si>
  <si>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</si>
  <si>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</si>
  <si>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</si>
  <si>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</si>
  <si>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</si>
  <si>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</si>
  <si>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</si>
  <si>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</si>
  <si>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</si>
  <si>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</si>
  <si>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</si>
  <si>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</si>
  <si>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</si>
  <si>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</si>
  <si>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</si>
  <si>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</si>
  <si>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</si>
  <si>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</si>
  <si>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</si>
  <si>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</si>
  <si>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</si>
  <si>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</si>
  <si>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</si>
  <si>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</si>
  <si>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</si>
  <si>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</si>
  <si>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</si>
  <si>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</si>
  <si>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</si>
  <si>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</si>
  <si>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</si>
  <si>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</si>
  <si>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</si>
  <si>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</si>
  <si>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</si>
  <si>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</si>
  <si>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</si>
  <si>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</si>
  <si>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</si>
  <si>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</si>
  <si>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</si>
  <si>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</si>
  <si>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</si>
  <si>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</si>
  <si>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</si>
  <si>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</si>
  <si>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</si>
  <si>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</si>
  <si>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</si>
  <si>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</si>
  <si>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</si>
  <si>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</si>
  <si>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</si>
  <si>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</si>
  <si>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</si>
  <si>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</si>
  <si>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</si>
  <si>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</si>
  <si>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</si>
  <si>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</si>
  <si>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</si>
  <si>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</si>
  <si>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</si>
  <si>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</si>
  <si>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</si>
  <si>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</si>
  <si>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</si>
  <si>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</si>
  <si>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</si>
  <si>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</si>
  <si>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</si>
  <si>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</si>
  <si>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</si>
  <si>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</si>
  <si>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</si>
  <si>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</si>
  <si>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</si>
  <si>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</si>
  <si>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</si>
  <si>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</si>
  <si>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</si>
  <si>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</si>
  <si>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</si>
  <si>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</si>
  <si>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</si>
  <si>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</si>
  <si>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</si>
  <si>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</si>
  <si>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</si>
  <si>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</si>
  <si>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</si>
  <si>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</si>
  <si>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</si>
  <si>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</si>
  <si>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</si>
  <si>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</si>
  <si>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</si>
  <si>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</si>
  <si>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</si>
  <si>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</si>
  <si>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</si>
  <si>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</si>
  <si>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</si>
  <si>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</si>
  <si>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</si>
  <si>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</si>
  <si>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</si>
  <si>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</si>
  <si>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</si>
  <si>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</si>
  <si>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</si>
  <si>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</si>
  <si>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</si>
  <si>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</si>
  <si>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</si>
  <si>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</si>
  <si>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</si>
  <si>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</si>
  <si>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</si>
  <si>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</si>
  <si>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</si>
  <si>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</si>
  <si>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</si>
  <si>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</si>
  <si>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</si>
  <si>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</si>
  <si>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</si>
  <si>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</si>
  <si>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</si>
  <si>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</si>
  <si>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</si>
  <si>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</si>
  <si>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</si>
  <si>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</si>
  <si>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</si>
  <si>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</si>
  <si>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</si>
  <si>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</si>
  <si>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</si>
  <si>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</si>
  <si>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</si>
  <si>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</si>
  <si>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</si>
  <si>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</si>
  <si>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</si>
  <si>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</si>
  <si>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</si>
  <si>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</si>
  <si>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</si>
  <si>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</si>
  <si>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</si>
  <si>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</si>
  <si>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</si>
  <si>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</si>
  <si>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</si>
  <si>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</si>
  <si>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</si>
  <si>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</si>
  <si>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</si>
  <si>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</si>
  <si>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</si>
  <si>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</si>
  <si>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</si>
  <si>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</si>
  <si>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</si>
  <si>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</si>
  <si>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</si>
  <si>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</si>
  <si>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</si>
  <si>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</si>
  <si>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</si>
  <si>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</si>
  <si>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</si>
  <si>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</si>
  <si>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</si>
  <si>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</si>
  <si>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</si>
  <si>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</si>
  <si>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</si>
  <si>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</si>
  <si>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</si>
  <si>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</si>
  <si>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</si>
  <si>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</si>
  <si>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</si>
  <si>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</si>
  <si>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</si>
  <si>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</si>
  <si>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</si>
  <si>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</si>
  <si>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</si>
  <si>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</si>
  <si>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</si>
  <si>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</si>
  <si>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</si>
  <si>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</si>
  <si>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</si>
  <si>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</si>
  <si>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</si>
  <si>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</si>
  <si>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</si>
  <si>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</si>
  <si>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</si>
  <si>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</si>
  <si>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</si>
  <si>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</si>
  <si>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</si>
  <si>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</si>
  <si>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</si>
  <si>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</si>
  <si>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</si>
  <si>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</si>
  <si>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</si>
  <si>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</si>
  <si>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</si>
  <si>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</si>
  <si>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</si>
  <si>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</si>
  <si>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</si>
  <si>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</si>
  <si>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</si>
  <si>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</si>
  <si>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</si>
  <si>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</si>
  <si>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</si>
  <si>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</si>
  <si>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</si>
  <si>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</si>
  <si>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</si>
  <si>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</si>
  <si>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</si>
  <si>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</si>
  <si>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</si>
  <si>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</si>
  <si>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</si>
  <si>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</si>
  <si>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</si>
  <si>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</si>
  <si>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</si>
  <si>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</si>
  <si>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</si>
  <si>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</si>
  <si>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</si>
  <si>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</si>
  <si>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</si>
  <si>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</si>
  <si>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</si>
  <si>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</si>
  <si>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</si>
  <si>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</si>
  <si>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</si>
  <si>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</si>
  <si>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</si>
  <si>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</si>
  <si>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</si>
  <si>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</si>
  <si>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</si>
  <si>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</si>
  <si>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</si>
  <si>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</si>
  <si>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</si>
  <si>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</si>
  <si>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</si>
  <si>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</si>
  <si>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</si>
  <si>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</si>
  <si>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</si>
  <si>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</si>
  <si>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</si>
  <si>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</si>
  <si>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</si>
  <si>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</si>
  <si>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</si>
  <si>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</si>
  <si>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</si>
  <si>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</si>
  <si>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</si>
  <si>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</si>
  <si>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</si>
  <si>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</si>
  <si>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</si>
  <si>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</si>
  <si>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</si>
  <si>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</si>
  <si>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</si>
  <si>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</si>
  <si>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</si>
  <si>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</si>
  <si>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</si>
  <si>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</si>
  <si>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</si>
  <si>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</si>
  <si>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</si>
  <si>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</si>
  <si>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</si>
  <si>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</si>
  <si>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</si>
  <si>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</si>
  <si>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</si>
  <si>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</si>
  <si>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</si>
  <si>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</si>
  <si>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</si>
  <si>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</si>
  <si>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</si>
  <si>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</si>
  <si>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</si>
  <si>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</si>
  <si>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</si>
  <si>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</si>
  <si>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</si>
  <si>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</si>
  <si>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</si>
  <si>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</si>
  <si>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</si>
  <si>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</si>
  <si>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</si>
  <si>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</si>
  <si>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</si>
  <si>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r>
      <t>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23</t>
    </r>
    <r>
      <rPr>
        <sz val="10"/>
        <color indexed="8"/>
        <rFont val="宋体"/>
        <family val="3"/>
        <charset val="134"/>
      </rPr>
      <t>层</t>
    </r>
    <r>
      <rPr>
        <sz val="10"/>
        <color indexed="8"/>
        <rFont val="Arial"/>
        <family val="2"/>
      </rPr>
      <t>101</t>
    </r>
    <phoneticPr fontId="3" type="noConversion"/>
  </si>
  <si>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</si>
  <si>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</si>
  <si>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</si>
  <si>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</si>
  <si>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</si>
  <si>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</si>
  <si>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</si>
  <si>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</si>
  <si>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</si>
  <si>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</si>
  <si>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</si>
  <si>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</si>
  <si>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</si>
  <si>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</si>
  <si>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</si>
  <si>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</si>
  <si>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</si>
  <si>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</si>
  <si>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</si>
  <si>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</si>
  <si>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</si>
  <si>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</si>
  <si>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</si>
  <si>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</si>
  <si>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</si>
  <si>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</si>
  <si>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</si>
  <si>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</si>
  <si>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</si>
  <si>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</si>
  <si>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</si>
  <si>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</si>
  <si>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</si>
  <si>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</si>
  <si>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</si>
  <si>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</si>
  <si>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</si>
  <si>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</si>
  <si>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</si>
  <si>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r>
      <rPr>
        <sz val="10"/>
        <color indexed="8"/>
        <rFont val="宋体"/>
        <family val="3"/>
        <charset val="134"/>
      </rPr>
      <t>我</t>
    </r>
    <r>
      <rPr>
        <sz val="10"/>
        <color indexed="8"/>
        <rFont val="Arial"/>
        <family val="2"/>
      </rPr>
      <t>4.5</t>
    </r>
    <r>
      <rPr>
        <sz val="10"/>
        <color indexed="8"/>
        <rFont val="宋体"/>
        <family val="3"/>
        <charset val="134"/>
      </rPr>
      <t>亿贷款，批复里写了抵押率不高于</t>
    </r>
    <r>
      <rPr>
        <sz val="10"/>
        <color indexed="8"/>
        <rFont val="Arial"/>
        <family val="2"/>
      </rPr>
      <t>52.64%</t>
    </r>
    <phoneticPr fontId="8"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</si>
  <si>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</si>
  <si>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</si>
  <si>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</si>
  <si>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</si>
  <si>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</si>
  <si>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</si>
  <si>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</si>
  <si>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</si>
  <si>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</si>
  <si>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</si>
  <si>
    <t>F01</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</si>
</sst>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77" fillId="6" borderId="0" xfId="0" applyFont="1" applyFill="1" applyProtection="1">
      <alignment vertical="center"/>
      <protection locked="0"/>
    </xf>
    <xf numFmtId="0" fontId="113"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估价对象为北京市房地产，为所有。根据《国有土地使用证》[]，估价对象（分摊）出让国有建设用地使用权面积为0平方米，建筑面积为34690.01平方米。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估价对象为北京市房地产,属开发建设的，该项目尚在开发建设中。根据《国有土地使用证》[]，估价对象（分摊）出让国有建设用地使用权面积为0平方米，规划建筑面积为34690.01平方米。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2024年5月17日（评估专业人员实地查勘之日）</v>
      </c>
    </row>
    <row r="13" spans="1:2" s="1197" customFormat="1">
      <c r="A13" s="1195" t="s">
        <v>529</v>
      </c>
      <c r="B13" s="1196"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87324</v>
      </c>
    </row>
    <row r="21" spans="1:2" s="1197" customFormat="1">
      <c r="A21" s="1195" t="s">
        <v>537</v>
      </c>
      <c r="B21" s="1196">
        <f ca="1">'预评函-2'!D7</f>
        <v>25173</v>
      </c>
    </row>
    <row r="22" spans="1:2" s="1197" customFormat="1">
      <c r="A22" s="1195" t="s">
        <v>538</v>
      </c>
      <c r="B22" s="1196" t="str">
        <f ca="1">'预评函-2'!D6</f>
        <v>捌亿柒仟叁佰贰拾肆万元整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87324</v>
      </c>
    </row>
    <row r="31" spans="1:2" s="1197" customFormat="1">
      <c r="A31" s="1195" t="s">
        <v>576</v>
      </c>
      <c r="B31" s="1196">
        <f ca="1">'预评函-2'!D15</f>
        <v>25173</v>
      </c>
    </row>
    <row r="32" spans="1:2" s="1197" customFormat="1">
      <c r="A32" s="1195" t="s">
        <v>543</v>
      </c>
      <c r="B32" s="1196" t="str">
        <f ca="1">'预评函-2'!D14</f>
        <v>捌亿柒仟叁佰贰拾肆万元整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79988</v>
      </c>
    </row>
    <row r="39" spans="1:2" s="1197" customFormat="1">
      <c r="A39" s="1195" t="s">
        <v>545</v>
      </c>
      <c r="B39" s="1196">
        <f ca="1">'预评函-2'!D21</f>
        <v>23058</v>
      </c>
    </row>
    <row r="40" spans="1:2" s="1197" customFormat="1">
      <c r="A40" s="1195" t="s">
        <v>546</v>
      </c>
      <c r="B40" s="1196" t="str">
        <f ca="1">'预评函-2'!D20</f>
        <v>柒亿玖仟玖佰捌拾捌万元整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34690.01</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56237</v>
      </c>
    </row>
    <row r="48" spans="1:2" s="1197" customFormat="1">
      <c r="A48" s="1195" t="s">
        <v>549</v>
      </c>
      <c r="B48" s="1196">
        <f ca="1">'预评函-3'!E4</f>
        <v>16212</v>
      </c>
    </row>
    <row r="49" spans="1:2" s="1197" customFormat="1">
      <c r="A49" s="1195" t="s">
        <v>550</v>
      </c>
      <c r="B49" s="1196" t="str">
        <f ca="1">'预评函-3'!D5</f>
        <v>伍亿陆仟贰佰叁拾柒万元整</v>
      </c>
    </row>
    <row r="50" spans="1:2" s="1197" customFormat="1">
      <c r="A50" s="1195" t="s">
        <v>574</v>
      </c>
      <c r="B50" s="1196" t="str">
        <f>'预评函-3'!F2</f>
        <v>在建建筑物价值</v>
      </c>
    </row>
    <row r="51" spans="1:2" s="1197" customFormat="1">
      <c r="A51" s="1195" t="s">
        <v>551</v>
      </c>
      <c r="B51" s="1196">
        <f ca="1">'预评函-3'!F4</f>
        <v>31087</v>
      </c>
    </row>
    <row r="52" spans="1:2" s="1197" customFormat="1">
      <c r="A52" s="1195" t="s">
        <v>552</v>
      </c>
      <c r="B52" s="1196">
        <f ca="1">'预评函-3'!G4</f>
        <v>8961</v>
      </c>
    </row>
    <row r="53" spans="1:2" s="1197" customFormat="1">
      <c r="A53" s="1195" t="s">
        <v>580</v>
      </c>
      <c r="B53" s="1196" t="str">
        <f ca="1">'预评函-3'!F5</f>
        <v>叁亿壹仟零捌拾柒万元整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19"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9"/>
      <c r="B54" s="1548" t="s">
        <v>385</v>
      </c>
      <c r="C54" s="1545" t="s">
        <v>583</v>
      </c>
    </row>
    <row r="55" spans="1:4">
      <c r="A55" s="3619"/>
      <c r="B55" s="1548" t="s">
        <v>386</v>
      </c>
      <c r="C55" s="1545" t="s">
        <v>584</v>
      </c>
    </row>
    <row r="56" spans="1:4">
      <c r="A56" s="3619"/>
      <c r="B56" s="1548" t="s">
        <v>387</v>
      </c>
      <c r="C56" s="1545" t="s">
        <v>588</v>
      </c>
    </row>
    <row r="57" spans="1:4">
      <c r="A57" s="3619"/>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20" t="s">
        <v>2575</v>
      </c>
      <c r="J2" s="3620"/>
      <c r="K2" s="3620"/>
      <c r="L2" s="3620"/>
      <c r="M2" s="3620"/>
      <c r="N2" s="3620"/>
      <c r="O2" s="3620"/>
      <c r="P2" s="3620"/>
      <c r="Q2" s="3620"/>
      <c r="R2" s="3620"/>
    </row>
    <row r="3" spans="1:18">
      <c r="A3" s="3006" t="s">
        <v>2496</v>
      </c>
      <c r="B3" s="3007">
        <f>项目基本情况!D3</f>
        <v>45429</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2.59</v>
      </c>
      <c r="D5" s="3011">
        <f>IF(ISERROR(ROUND(POWER(1+E5,A5-C5)*(POWER(1+E5,C5)-1)/(POWER(1+E5,A5)-1),3)),0,ROUND(POWER(1+E5,A5-C5)*(POWER(1+E5,C5)-1)/(POWER(1+E5,A5)-1),4))</f>
        <v>0.122</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12.6</v>
      </c>
      <c r="D6" s="3011">
        <f>IF(ISERROR(ROUND(POWER(1+E6,A6-C6)*(POWER(1+E6,C6)-1)/(POWER(1+E6,A6)-1),3)),0,ROUND(POWER(1+E6,A6-C6)*(POWER(1+E6,C6)-1)/(POWER(1+E6,A6)-1),4))</f>
        <v>0.45379999999999998</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32.61</v>
      </c>
      <c r="D7" s="3011">
        <f>IF(ISERROR(ROUND(POWER(1+E7,A7-C7)*(POWER(1+E7,C7)-1)/(POWER(1+E7,A7)-1),3)),0,ROUND(POWER(1+E7,A7-C7)*(POWER(1+E7,C7)-1)/(POWER(1+E7,A7)-1),4))</f>
        <v>0.7712</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6" sqref="J26"/>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29" t="str">
        <f>IF(B10="北京市","北京市",C10)&amp;F10&amp;IF(结果表!G1="在建","出让国有建设用地使用权及在建建筑物",IF(结果表!G1="土地","出让国有建设用地使用权",))&amp;B9&amp;"预评估"</f>
        <v>北京市房地产抵押价值预评估</v>
      </c>
      <c r="C1" s="3630"/>
      <c r="D1" s="3630"/>
      <c r="E1" s="3630"/>
      <c r="F1" s="3630"/>
      <c r="G1" s="3630"/>
      <c r="H1" s="3630"/>
      <c r="I1" s="3631"/>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45429</v>
      </c>
      <c r="C3" s="2366" t="s">
        <v>2171</v>
      </c>
      <c r="D3" s="2365">
        <f>B3</f>
        <v>45429</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3946</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32"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33"/>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f>E13</f>
        <v>58939</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37.01</v>
      </c>
      <c r="E15" s="2402">
        <f>IF(A13="出让",IF(E13="","",ROUNDDOWN(MIN((E13-$D$3)/365,E14),2)),E14)</f>
        <v>37.01</v>
      </c>
      <c r="F15" s="2402">
        <f>IF(A13="出让",IF(F13="","",ROUNDDOWN(MIN((F13-$D$3)/365,F14),2)),F14)</f>
        <v>37.01</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39"/>
      <c r="C16" s="3640"/>
      <c r="D16" s="3641"/>
      <c r="E16" s="2405" t="s">
        <v>2194</v>
      </c>
      <c r="F16" s="3642"/>
      <c r="G16" s="3643"/>
      <c r="H16" s="3643"/>
      <c r="I16" s="3644"/>
      <c r="J16" s="2431"/>
      <c r="K16" s="2603"/>
      <c r="L16" s="2443"/>
      <c r="M16" s="2443"/>
      <c r="N16" s="2496"/>
      <c r="O16" s="2443"/>
      <c r="P16" s="2496"/>
      <c r="Q16" s="2431"/>
      <c r="R16" s="2431"/>
    </row>
    <row r="17" spans="1:28">
      <c r="A17" s="313" t="s">
        <v>2195</v>
      </c>
      <c r="B17" s="302" t="s">
        <v>2196</v>
      </c>
      <c r="C17" s="8">
        <f>'数据-汇总表'!E3</f>
        <v>34690.01</v>
      </c>
      <c r="D17" s="2314" t="s">
        <v>2197</v>
      </c>
      <c r="E17" s="3645" t="s">
        <v>2198</v>
      </c>
      <c r="F17" s="3646"/>
      <c r="G17" s="3646"/>
      <c r="H17" s="3646"/>
      <c r="I17" s="3647"/>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48" t="s">
        <v>2202</v>
      </c>
      <c r="F18" s="3649"/>
      <c r="G18" s="3649"/>
      <c r="H18" s="3649"/>
      <c r="I18" s="3650"/>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35" t="s">
        <v>2206</v>
      </c>
      <c r="C20" s="3636"/>
      <c r="D20" s="3637" t="s">
        <v>2207</v>
      </c>
      <c r="E20" s="3638"/>
      <c r="F20" s="2633" t="s">
        <v>1056</v>
      </c>
      <c r="G20" s="2650"/>
      <c r="H20" s="2650"/>
      <c r="I20" s="2650"/>
      <c r="J20" s="2431"/>
      <c r="K20" s="36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22"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22"/>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22"/>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23"/>
      <c r="B30" s="302" t="s">
        <v>2218</v>
      </c>
      <c r="C30" s="3624"/>
      <c r="D30" s="3625"/>
      <c r="E30" s="2650"/>
      <c r="F30" s="2650"/>
      <c r="G30" s="2650"/>
      <c r="H30" s="2650"/>
      <c r="I30" s="2650"/>
      <c r="J30" s="2431"/>
      <c r="K30" s="2602"/>
      <c r="L30" s="2599"/>
      <c r="M30" s="2599"/>
      <c r="N30" s="2431"/>
      <c r="O30" s="2442"/>
      <c r="P30" s="2431"/>
      <c r="Q30" s="2431"/>
      <c r="R30" s="2431"/>
      <c r="S30" s="2431"/>
      <c r="T30" s="2431"/>
      <c r="U30" s="2431"/>
      <c r="V30" s="2431"/>
    </row>
    <row r="31" spans="1:28">
      <c r="A31" s="3626"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27"/>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27"/>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21" t="s">
        <v>2228</v>
      </c>
      <c r="T34" s="2420" t="str">
        <f>NUMBERSTRING(7-K34,1)&amp;"通"</f>
        <v>七通</v>
      </c>
      <c r="U34" s="2431"/>
      <c r="V34" s="2431"/>
    </row>
    <row r="35" spans="1:30">
      <c r="A35" s="2421"/>
      <c r="B35" s="3628" t="s">
        <v>2229</v>
      </c>
      <c r="C35" s="3628"/>
      <c r="D35" s="3628"/>
      <c r="E35" s="3628"/>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1"/>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34690.01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34690.01</v>
      </c>
      <c r="H5" s="13">
        <f t="shared" ref="H5:AT5" si="0">SUM(H13:H656)</f>
        <v>34690.01</v>
      </c>
      <c r="I5" s="13">
        <f t="shared" si="0"/>
        <v>33097.4</v>
      </c>
      <c r="J5" s="13">
        <f t="shared" si="0"/>
        <v>0</v>
      </c>
      <c r="K5" s="13">
        <f t="shared" si="0"/>
        <v>1592.61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34690.01</v>
      </c>
      <c r="BA5" s="15">
        <f t="shared" si="1"/>
        <v>34690.01</v>
      </c>
      <c r="BB5" s="15">
        <f t="shared" si="1"/>
        <v>33097.4</v>
      </c>
      <c r="BC5" s="15">
        <f t="shared" si="1"/>
        <v>1592.61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3907</v>
      </c>
      <c r="J11" s="1609"/>
      <c r="K11" s="1608" t="s">
        <v>3906</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34690.01</v>
      </c>
      <c r="C13" s="1046" t="s">
        <v>3905</v>
      </c>
      <c r="D13" s="1619" t="s">
        <v>3409</v>
      </c>
      <c r="E13" s="13">
        <f>IF($C$3="是",ROUND($A$3*G13/$B$3,2),ROUND($A$3*(G13-AT13)/$B$3,2))</f>
        <v>0</v>
      </c>
      <c r="F13" s="29"/>
      <c r="G13" s="30">
        <f>H13+AC13+AT13</f>
        <v>34690.01</v>
      </c>
      <c r="H13" s="17">
        <f>SUMIF(I$12:AB$12,"总值",I13:AB13)</f>
        <v>34690.01</v>
      </c>
      <c r="I13" s="1620">
        <f>B13-K13</f>
        <v>33097.4</v>
      </c>
      <c r="J13" s="1620"/>
      <c r="K13" s="1620">
        <v>1592.61</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34690.01</v>
      </c>
      <c r="AX13" s="8" t="str">
        <f t="shared" si="6"/>
        <v>1号楼1至23层101</v>
      </c>
      <c r="AY13" s="1343">
        <f>ROUND($AY$6*AZ13/$AZ$5,2)</f>
        <v>0</v>
      </c>
      <c r="AZ13" s="13">
        <f>BA13+BL13</f>
        <v>34690.01</v>
      </c>
      <c r="BA13" s="13">
        <f>SUM(BB13:BK13)</f>
        <v>34690.01</v>
      </c>
      <c r="BB13" s="13">
        <f>IF($D13="是",I13-J13,0)</f>
        <v>33097.4</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c r="C16" s="1564"/>
      <c r="D16" s="1619"/>
      <c r="E16" s="13">
        <f>IF($C$3="是",ROUND($A$3*G16/$B$3,2),ROUND($A$3*(G16-AT16)/$B$3,2))</f>
        <v>0</v>
      </c>
      <c r="F16" s="29"/>
      <c r="G16" s="30">
        <f>H16+AC16+AT16</f>
        <v>0</v>
      </c>
      <c r="H16" s="17">
        <f>SUMIF(I$12:AB$12,"总值",I16:AB16)</f>
        <v>0</v>
      </c>
      <c r="I16" s="1620"/>
      <c r="J16" s="1620"/>
      <c r="K16" s="1620"/>
      <c r="L16" s="1620"/>
      <c r="M16" s="36"/>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60" t="s">
        <v>1131</v>
      </c>
      <c r="B2" s="3660"/>
      <c r="C2" s="3660"/>
      <c r="D2" s="791" t="s">
        <v>1107</v>
      </c>
      <c r="E2" s="1633" t="s">
        <v>1108</v>
      </c>
      <c r="F2" s="2645"/>
      <c r="G2" s="2636"/>
      <c r="H2" s="2637"/>
      <c r="I2" s="2317" t="s">
        <v>1132</v>
      </c>
      <c r="J2" s="2645"/>
      <c r="K2" s="2645"/>
      <c r="L2" s="2645"/>
      <c r="M2" s="2645"/>
      <c r="N2" s="2647"/>
      <c r="O2" s="2645"/>
      <c r="P2" s="2645"/>
    </row>
    <row r="3" spans="1:16" ht="15.75" thickBot="1">
      <c r="A3" s="3661" t="s">
        <v>1105</v>
      </c>
      <c r="B3" s="3661"/>
      <c r="C3" s="3661"/>
      <c r="D3" s="43">
        <f>'数据-基础表'!AY6</f>
        <v>0</v>
      </c>
      <c r="E3" s="43">
        <f>'数据-基础表'!AZ5</f>
        <v>34690.01</v>
      </c>
      <c r="F3" s="2645"/>
      <c r="G3" s="1140"/>
      <c r="H3" s="1021" t="s">
        <v>1106</v>
      </c>
      <c r="I3" s="850" t="e">
        <f>ROUND('数据-基础表'!B3/'数据-基础表'!A3,2)</f>
        <v>#DIV/0!</v>
      </c>
      <c r="J3" s="2645"/>
      <c r="K3" s="2645"/>
      <c r="L3" s="2645"/>
      <c r="M3" s="2645"/>
      <c r="N3" s="2647"/>
      <c r="O3" s="2645"/>
      <c r="P3" s="2645"/>
    </row>
    <row r="4" spans="1:16" ht="15">
      <c r="A4" s="3662"/>
      <c r="B4" s="3663"/>
      <c r="C4" s="3664"/>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65" t="s">
        <v>1110</v>
      </c>
      <c r="C5" s="3665"/>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65" t="s">
        <v>1111</v>
      </c>
      <c r="C6" s="3665"/>
      <c r="D6" s="45">
        <f>ROUND($D$3*E6/$E$3,2)</f>
        <v>0</v>
      </c>
      <c r="E6" s="46">
        <f>E3-E5</f>
        <v>34690.01</v>
      </c>
      <c r="F6" s="2645"/>
      <c r="G6" s="2639" t="s">
        <v>1112</v>
      </c>
      <c r="H6" s="1141" t="s">
        <v>1113</v>
      </c>
      <c r="I6" s="2640" t="e">
        <f>ROUND(F31/D31,2)</f>
        <v>#DIV/0!</v>
      </c>
      <c r="J6" s="2645"/>
      <c r="K6" s="2645"/>
      <c r="L6" s="2645"/>
      <c r="M6" s="2645"/>
      <c r="N6" s="2645"/>
      <c r="O6" s="2645"/>
      <c r="P6" s="2645"/>
    </row>
    <row r="7" spans="1:16" ht="15.75" thickBot="1">
      <c r="A7" s="3657"/>
      <c r="B7" s="3658"/>
      <c r="C7" s="3659"/>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34690.01</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34690.01</v>
      </c>
      <c r="F16" s="2645"/>
      <c r="G16" s="2646"/>
      <c r="H16" s="1642" t="s">
        <v>1135</v>
      </c>
      <c r="I16" s="1643"/>
      <c r="J16" s="1134"/>
      <c r="K16" s="3654" t="s">
        <v>1135</v>
      </c>
      <c r="L16" s="3655"/>
      <c r="M16" s="3655"/>
      <c r="N16" s="3655"/>
      <c r="O16" s="3655"/>
      <c r="P16" s="3656"/>
    </row>
    <row r="17" spans="1:19" ht="15">
      <c r="A17" s="1644" t="s">
        <v>1136</v>
      </c>
      <c r="B17" s="1645" t="s">
        <v>1137</v>
      </c>
      <c r="C17" s="1646" t="s">
        <v>1138</v>
      </c>
      <c r="D17" s="1647" t="s">
        <v>1126</v>
      </c>
      <c r="E17" s="1648" t="s">
        <v>1127</v>
      </c>
      <c r="F17" s="1649"/>
      <c r="G17" s="1650"/>
      <c r="H17" s="1651" t="s">
        <v>1139</v>
      </c>
      <c r="I17" s="1652" t="s">
        <v>1124</v>
      </c>
      <c r="J17" s="1134"/>
      <c r="K17" s="3651" t="s">
        <v>1140</v>
      </c>
      <c r="L17" s="3652"/>
      <c r="M17" s="3653"/>
      <c r="N17" s="3651" t="s">
        <v>1141</v>
      </c>
      <c r="O17" s="3652"/>
      <c r="P17" s="3653"/>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33097.4</v>
      </c>
      <c r="F19" s="2781">
        <f>'数据-基础表'!BB5</f>
        <v>33097.4</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33097.4</v>
      </c>
    </row>
    <row r="20" spans="1:19">
      <c r="A20" s="1664"/>
      <c r="B20" s="47" t="s">
        <v>1153</v>
      </c>
      <c r="C20" s="3337" t="s">
        <v>3414</v>
      </c>
      <c r="D20" s="45">
        <f t="shared" ref="D20:D26" si="6">ROUND($D$3*E20/$E$3,2)</f>
        <v>0</v>
      </c>
      <c r="E20" s="53">
        <f t="shared" si="1"/>
        <v>1592.61</v>
      </c>
      <c r="F20" s="2781">
        <f>'数据-基础表'!BC5</f>
        <v>1592.61</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1592.61</v>
      </c>
    </row>
    <row r="21" spans="1:19">
      <c r="A21" s="1664"/>
      <c r="B21" s="47" t="s">
        <v>1153</v>
      </c>
      <c r="C21" s="3338"/>
      <c r="D21" s="45">
        <f t="shared" si="6"/>
        <v>0</v>
      </c>
      <c r="E21" s="53">
        <f t="shared" si="1"/>
        <v>0</v>
      </c>
      <c r="F21" s="2781"/>
      <c r="G21" s="2784"/>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34690.01</v>
      </c>
      <c r="F27" s="1135">
        <f>IF(SUM(F19:F26)=E8,SUM(F19:F26),"地上面积有误")</f>
        <v>34690.01</v>
      </c>
      <c r="G27" s="1137">
        <f>SUM(G19:G26)</f>
        <v>0</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34690.01</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34690.01</v>
      </c>
      <c r="F31" s="677">
        <f>F27+F30</f>
        <v>34690.01</v>
      </c>
      <c r="G31" s="678">
        <f>G27+G30</f>
        <v>0</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45429</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37.01</v>
      </c>
      <c r="G6" s="65">
        <f>IF(ISERROR(ROUND(POWER(1+H6,D6-F6)*(POWER(1+H6,F6)-1)/(POWER(1+H6,D6)-1),3)),0,ROUND(POWER(1+H6,D6-F6)*(POWER(1+H6,F6)-1)/(POWER(1+H6,D6)-1),3))</f>
        <v>0.97399999999999998</v>
      </c>
      <c r="H6" s="732">
        <v>0.05</v>
      </c>
      <c r="I6" s="732">
        <v>5.5E-2</v>
      </c>
      <c r="J6" s="66">
        <v>7.0000000000000007E-2</v>
      </c>
      <c r="K6" s="1025">
        <f>SUMIF('数据-汇总表'!C$19:C$33,A6,'数据-汇总表'!E$19:E$33)</f>
        <v>33097.4</v>
      </c>
      <c r="L6" s="3394">
        <v>6000</v>
      </c>
      <c r="M6" s="67">
        <f t="shared" ref="M6:M14" si="0">ROUND(K6*L6/10000,0)</f>
        <v>19858</v>
      </c>
      <c r="N6" s="731">
        <f>N21</f>
        <v>0.99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v>3300</v>
      </c>
      <c r="V6" s="70">
        <v>2.5000000000000001E-2</v>
      </c>
      <c r="W6" s="70">
        <v>0.05</v>
      </c>
      <c r="X6" s="1035"/>
      <c r="Y6" s="71">
        <f>N6</f>
        <v>0.99</v>
      </c>
      <c r="Z6" s="72"/>
      <c r="AA6" s="66"/>
      <c r="AB6" s="66"/>
      <c r="AC6" s="1035"/>
      <c r="AD6" s="73"/>
      <c r="AE6" s="1036">
        <f ca="1">IF(AN6="",0,SUMIF(INDIRECT("'"&amp;AN6&amp;"'"&amp;"!E:E"),$AE$5,INDIRECT("'"&amp;AN6&amp;"'"&amp;"!F:F")))</f>
        <v>37.01</v>
      </c>
      <c r="AF6" s="3509"/>
      <c r="AG6" s="138">
        <f>IF(AF6="",0,AE6-AF6)</f>
        <v>0</v>
      </c>
      <c r="AH6" s="74">
        <f>V28+V29</f>
        <v>1356</v>
      </c>
      <c r="AI6" s="76">
        <v>12</v>
      </c>
      <c r="AJ6" s="77"/>
      <c r="AK6" s="78">
        <v>0.01</v>
      </c>
      <c r="AL6" s="79">
        <v>1E-3</v>
      </c>
      <c r="AM6" s="80">
        <v>0.01</v>
      </c>
      <c r="AN6" s="1709" t="s">
        <v>3416</v>
      </c>
      <c r="AO6" s="52">
        <f ca="1">SUMIF(INDIRECT("'"&amp;AN6&amp;"'"&amp;"!A:A"),"总价",INDIRECT("'"&amp;AN6&amp;"'"&amp;"!B:B"))</f>
        <v>85762</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37.01</v>
      </c>
      <c r="G7" s="65">
        <f t="shared" ref="G7:G11" si="2">IF(ISERROR(ROUND(POWER(1+H7,D7-F7)*(POWER(1+H7,F7)-1)/(POWER(1+H7,D7)-1),3)),0,ROUND(POWER(1+H7,D7-F7)*(POWER(1+H7,F7)-1)/(POWER(1+H7,D7)-1),3))</f>
        <v>0.97399999999999998</v>
      </c>
      <c r="H7" s="732">
        <v>0.05</v>
      </c>
      <c r="I7" s="732">
        <v>0.06</v>
      </c>
      <c r="J7" s="66">
        <f>J6</f>
        <v>7.0000000000000007E-2</v>
      </c>
      <c r="K7" s="1025">
        <f>SUMIF('数据-汇总表'!C$19:C$33,A7,'数据-汇总表'!E$19:E$33)</f>
        <v>1592.61</v>
      </c>
      <c r="L7" s="3394">
        <v>4500</v>
      </c>
      <c r="M7" s="67">
        <f t="shared" si="0"/>
        <v>717</v>
      </c>
      <c r="N7" s="731">
        <f>N6</f>
        <v>0.99</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V6</f>
        <v>2.5000000000000001E-2</v>
      </c>
      <c r="W7" s="70">
        <f>W6</f>
        <v>0.05</v>
      </c>
      <c r="X7" s="1035"/>
      <c r="Y7" s="71">
        <f>Y6</f>
        <v>0.99</v>
      </c>
      <c r="Z7" s="72"/>
      <c r="AA7" s="66"/>
      <c r="AB7" s="66"/>
      <c r="AC7" s="1035"/>
      <c r="AD7" s="73"/>
      <c r="AE7" s="1036">
        <f t="shared" ref="AE7:AE13" ca="1" si="6">IF(AN7="",0,SUMIF(INDIRECT("'"&amp;AN7&amp;"'"&amp;"!E:E"),$AE$5,INDIRECT("'"&amp;AN7&amp;"'"&amp;"!F:F")))</f>
        <v>37.01</v>
      </c>
      <c r="AF7" s="3509"/>
      <c r="AG7" s="138">
        <f t="shared" ref="AG7:AG13" si="7">IF(AF7="",0,AE7-AF7)</f>
        <v>0</v>
      </c>
      <c r="AH7" s="74"/>
      <c r="AI7" s="76">
        <v>365</v>
      </c>
      <c r="AJ7" s="77"/>
      <c r="AK7" s="78">
        <v>4.0000000000000001E-3</v>
      </c>
      <c r="AL7" s="79">
        <v>1E-3</v>
      </c>
      <c r="AM7" s="80">
        <v>5.0000000000000001E-3</v>
      </c>
      <c r="AN7" s="1709" t="s">
        <v>3418</v>
      </c>
      <c r="AO7" s="52">
        <f t="shared" ref="AO7:AO13" ca="1" si="8">SUMIF(INDIRECT("'"&amp;AN7&amp;"'"&amp;"!A:A"),"总价",INDIRECT("'"&amp;AN7&amp;"'"&amp;"!B:B"))</f>
        <v>4381</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3">
        <f>SUMIF(项目基本情况!C$12:I$12,C8,项目基本情况!C$14:I$14)</f>
        <v>0</v>
      </c>
      <c r="E8" s="852" t="str">
        <f>IF(B8="","",SUMIF(项目基本情况!C$12:I$12,C8,项目基本情况!C$13:I$13))</f>
        <v/>
      </c>
      <c r="F8" s="64">
        <f>SUMIF(项目基本情况!C$12:I$12,C8,项目基本情况!C$15:I$15)</f>
        <v>0</v>
      </c>
      <c r="G8" s="65">
        <f t="shared" si="2"/>
        <v>0</v>
      </c>
      <c r="H8" s="66"/>
      <c r="I8" s="66"/>
      <c r="J8" s="66"/>
      <c r="K8" s="1025">
        <f>SUMIF('数据-汇总表'!C$19:C$33,A8,'数据-汇总表'!E$19:E$33)</f>
        <v>0</v>
      </c>
      <c r="L8" s="733"/>
      <c r="M8" s="67">
        <f>ROUND(K8*L8/10000,0)</f>
        <v>0</v>
      </c>
      <c r="N8" s="731"/>
      <c r="O8" s="67" t="str">
        <f t="shared" si="3"/>
        <v>——</v>
      </c>
      <c r="P8" s="68" t="str">
        <f t="shared" si="4"/>
        <v>——</v>
      </c>
      <c r="Q8" s="81"/>
      <c r="R8" s="69">
        <f ca="1">SUMIF('数据-汇总表'!C$19:C$33,A8,'数据-汇总表'!R$19:R$27)</f>
        <v>0</v>
      </c>
      <c r="S8" s="51">
        <f>IF('数据-汇总表'!$I$17="按面积比例",SUMIF('数据-汇总表'!C$19:C$33,A8,'数据-汇总表'!K$19:K$33),SUMIF('数据-汇总表'!C$19:C$33,A8,'数据-汇总表'!N$19:N$33))</f>
        <v>0</v>
      </c>
      <c r="T8" s="1167">
        <f t="shared" si="5"/>
        <v>0</v>
      </c>
      <c r="U8" s="3348"/>
      <c r="V8" s="66"/>
      <c r="W8" s="66"/>
      <c r="X8" s="1035"/>
      <c r="Y8" s="71"/>
      <c r="Z8" s="72"/>
      <c r="AA8" s="66"/>
      <c r="AB8" s="66"/>
      <c r="AC8" s="1035"/>
      <c r="AD8" s="73"/>
      <c r="AE8" s="1036">
        <f t="shared" ca="1" si="6"/>
        <v>0</v>
      </c>
      <c r="AF8" s="3509"/>
      <c r="AG8" s="138">
        <f t="shared" si="7"/>
        <v>0</v>
      </c>
      <c r="AH8" s="74"/>
      <c r="AI8" s="76"/>
      <c r="AJ8" s="77"/>
      <c r="AK8" s="78"/>
      <c r="AL8" s="79"/>
      <c r="AM8" s="80"/>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0.97399999999999998</v>
      </c>
      <c r="H16" s="90">
        <f>ROUND(SUMPRODUCT(H6:H13,K6:K13)/SUMPRODUCT((H6:H13&gt;0)*(K6:K13)),3)</f>
        <v>0.05</v>
      </c>
      <c r="I16" s="91"/>
      <c r="J16" s="91"/>
      <c r="K16" s="92">
        <f>SUM(K6:K15)</f>
        <v>34690.01</v>
      </c>
      <c r="L16" s="93">
        <f>ROUND(M16*10000/SUM(K6:K14),0)</f>
        <v>5931</v>
      </c>
      <c r="M16" s="93">
        <f>SUM(M6:M14)</f>
        <v>20575</v>
      </c>
      <c r="N16" s="94">
        <f>ROUND(SUMPRODUCT(M6:M14,N6:N14)/M16,3)</f>
        <v>0.99</v>
      </c>
      <c r="O16" s="93">
        <f>SUM(O6:O14)</f>
        <v>0</v>
      </c>
      <c r="P16" s="93">
        <f>SUM(P6:P14)</f>
        <v>0</v>
      </c>
      <c r="Q16" s="95">
        <f>ROUND(SUMPRODUCT(Q6:Q13,K6:K13)/SUMPRODUCT((Q6:Q13&gt;0)*(K6:K13)),2)</f>
        <v>0.15</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2657"/>
      <c r="P19" s="2657"/>
      <c r="Q19" s="2657"/>
      <c r="R19" s="2657"/>
      <c r="S19" s="2657"/>
      <c r="T19" s="2657"/>
      <c r="U19" s="3367" t="s">
        <v>3644</v>
      </c>
      <c r="V19" s="2657"/>
      <c r="W19" s="2657"/>
      <c r="X19" s="2657"/>
      <c r="Y19" s="3403" t="s">
        <v>3662</v>
      </c>
      <c r="Z19" s="3367" t="s">
        <v>3660</v>
      </c>
      <c r="AA19" s="3367" t="s">
        <v>3661</v>
      </c>
      <c r="AB19" s="2657"/>
      <c r="AC19" s="2657"/>
      <c r="AD19" s="2657"/>
      <c r="AE19" s="2657"/>
      <c r="AF19" s="2657"/>
      <c r="AG19" s="2657"/>
      <c r="AH19" s="3367" t="s">
        <v>3897</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2657"/>
      <c r="P20" s="2657"/>
      <c r="Q20" s="2657"/>
      <c r="R20" s="2657"/>
      <c r="S20" s="2657"/>
      <c r="T20" s="2657"/>
      <c r="U20" s="2661">
        <f>K7</f>
        <v>1592.61</v>
      </c>
      <c r="V20" s="2657"/>
      <c r="W20" s="2657"/>
      <c r="X20" s="3367" t="s">
        <v>3659</v>
      </c>
      <c r="Y20" s="2657" t="str">
        <f>案例分析!C3</f>
        <v>3-3.2</v>
      </c>
      <c r="Z20" s="2657">
        <v>4</v>
      </c>
      <c r="AA20" s="3402">
        <f>案例分析!G3</f>
        <v>1.33</v>
      </c>
      <c r="AB20" s="2657"/>
      <c r="AC20" s="2657"/>
      <c r="AD20" s="2657"/>
      <c r="AE20" s="2657"/>
      <c r="AF20" s="2657"/>
      <c r="AG20" s="2657"/>
      <c r="AH20" s="3367" t="s">
        <v>3898</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2657"/>
      <c r="P21" s="2657"/>
      <c r="Q21" s="2657"/>
      <c r="R21" s="2657"/>
      <c r="S21" s="2657"/>
      <c r="T21" s="3397">
        <v>0.8</v>
      </c>
      <c r="U21" s="2657">
        <f>U20*T21</f>
        <v>1274.088</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3899</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c r="O22" s="2657"/>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2657"/>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3649</v>
      </c>
      <c r="W27" s="3367" t="s">
        <v>3650</v>
      </c>
      <c r="X27" s="3367" t="s">
        <v>3651</v>
      </c>
      <c r="Y27" s="3398" t="s">
        <v>3652</v>
      </c>
      <c r="Z27" s="2657"/>
      <c r="AA27" s="2657"/>
      <c r="AB27" s="2657"/>
      <c r="AC27" s="2657"/>
      <c r="AD27" s="2657"/>
      <c r="AE27" s="2657"/>
      <c r="AF27" s="2657"/>
      <c r="AG27" s="2657"/>
      <c r="AH27" s="2657"/>
      <c r="AI27" s="2657"/>
      <c r="AJ27" s="2657"/>
      <c r="AK27" s="2657">
        <f ca="1">结果表!G26</f>
        <v>85589</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2657" t="s">
        <v>3647</v>
      </c>
      <c r="V28" s="2657">
        <v>1313</v>
      </c>
      <c r="W28" s="2657">
        <v>24.7</v>
      </c>
      <c r="X28" s="2657">
        <v>3800</v>
      </c>
      <c r="Y28" s="3399">
        <v>3200</v>
      </c>
      <c r="Z28" s="2657">
        <f>Y28*V28</f>
        <v>4201600</v>
      </c>
      <c r="AA28" s="2657"/>
      <c r="AB28" s="2657"/>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3648</v>
      </c>
      <c r="V29" s="2657">
        <v>43</v>
      </c>
      <c r="W29" s="2657">
        <v>42.5</v>
      </c>
      <c r="X29" s="2657">
        <v>5000</v>
      </c>
      <c r="Y29" s="3399">
        <v>5000</v>
      </c>
      <c r="Z29" s="2657">
        <f>Y29*V29</f>
        <v>215000</v>
      </c>
      <c r="AA29" s="2657"/>
      <c r="AB29" s="2657"/>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2657"/>
      <c r="V30" s="2657">
        <f>V29+V28</f>
        <v>1356</v>
      </c>
      <c r="W30" s="2657"/>
      <c r="X30" s="2657"/>
      <c r="Y30" s="2657">
        <f>Z30/V30</f>
        <v>3257.0796460176989</v>
      </c>
      <c r="Z30" s="2657">
        <f>Z29+Z28</f>
        <v>4416600</v>
      </c>
      <c r="AA30" s="2657"/>
      <c r="AB30" s="2657"/>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85589</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 ca="1">结果表!G26</f>
        <v>85589</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c r="V35" s="2657"/>
      <c r="W35" s="2657"/>
      <c r="X35" s="2657"/>
      <c r="Y35" s="2657"/>
      <c r="Z35" s="2657"/>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c r="W36" s="2657"/>
      <c r="X36" s="2657"/>
      <c r="Y36" s="2657"/>
      <c r="Z36" s="2657"/>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66" t="s">
        <v>2277</v>
      </c>
      <c r="B1" s="3667"/>
      <c r="C1" s="3667"/>
      <c r="D1" s="3667"/>
      <c r="E1" s="3667"/>
      <c r="F1" s="3667"/>
      <c r="G1" s="3667"/>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34690.01</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45429</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85589</v>
      </c>
      <c r="C5" s="2499">
        <f ca="1">IF(B5=D14,结果表!H102,ROUND(B5*10000/$B$1,0))</f>
        <v>25173</v>
      </c>
      <c r="D5" s="2499" t="e">
        <f ca="1">ROUND(B5*10000/$B$2,0)</f>
        <v>#DIV/0!</v>
      </c>
      <c r="E5" s="2672"/>
      <c r="F5" s="2673"/>
      <c r="G5" s="2673"/>
      <c r="H5" s="2674"/>
      <c r="I5" s="2674"/>
      <c r="J5" s="2674"/>
      <c r="K5" s="2674"/>
    </row>
    <row r="6" spans="1:11" ht="16.5">
      <c r="A6" s="2499" t="s">
        <v>656</v>
      </c>
      <c r="B6" s="2499">
        <f ca="1">SUM(G14:G23)</f>
        <v>85589</v>
      </c>
      <c r="C6" s="2499">
        <f ca="1">IF(B6=G14,结果表!H108,ROUND(B6*10000/$B$1,0))</f>
        <v>25173</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79988</v>
      </c>
      <c r="C8" s="2499">
        <f ca="1">IF(B8=I14,结果表!H112,ROUND(B8*10000/$B$1,0))</f>
        <v>23058</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34690.01</v>
      </c>
      <c r="C14" s="2505">
        <f>结果表!C118</f>
        <v>0</v>
      </c>
      <c r="D14" s="2505">
        <f ca="1">结果表!G26</f>
        <v>85589</v>
      </c>
      <c r="E14" s="2505">
        <f ca="1">ROUND(D14*10000/B14,0)</f>
        <v>24673</v>
      </c>
      <c r="F14" s="2505" t="e">
        <f ca="1">ROUND(D14*10000/C14,0)</f>
        <v>#DIV/0!</v>
      </c>
      <c r="G14" s="2505">
        <f ca="1">D14</f>
        <v>85589</v>
      </c>
      <c r="H14" s="2505"/>
      <c r="I14" s="2505">
        <f ca="1">结果表!N59</f>
        <v>79988</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90" zoomScaleNormal="100" zoomScaleSheetLayoutView="90" zoomScalePageLayoutView="80" workbookViewId="0">
      <selection activeCell="H111" sqref="H111:H112"/>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702" t="str">
        <f>项目基本情况!S2</f>
        <v>北京市房地产</v>
      </c>
      <c r="B2" s="3703"/>
      <c r="C2" s="3703"/>
      <c r="D2" s="3703"/>
      <c r="E2" s="3703"/>
      <c r="F2" s="3703"/>
      <c r="G2" s="3703"/>
      <c r="H2" s="3703"/>
      <c r="I2" s="3704"/>
    </row>
    <row r="3" spans="1:12" ht="12.75">
      <c r="A3" s="3706" t="s">
        <v>1264</v>
      </c>
      <c r="B3" s="3707"/>
      <c r="C3" s="3707"/>
      <c r="D3" s="3707"/>
      <c r="E3" s="3707"/>
      <c r="F3" s="3707"/>
      <c r="G3" s="3707"/>
      <c r="H3" s="3707"/>
      <c r="I3" s="3707"/>
    </row>
    <row r="4" spans="1:12" ht="14.25">
      <c r="A4" s="1748" t="s">
        <v>1265</v>
      </c>
      <c r="B4" s="1749" t="s">
        <v>1266</v>
      </c>
      <c r="C4" s="1750" t="s">
        <v>3366</v>
      </c>
      <c r="D4" s="1750" t="s">
        <v>3431</v>
      </c>
      <c r="E4" s="3708" t="s">
        <v>1267</v>
      </c>
      <c r="F4" s="3709"/>
      <c r="G4" s="3709"/>
      <c r="H4" s="3709"/>
      <c r="I4" s="371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2" t="s">
        <v>1268</v>
      </c>
      <c r="B5" s="3669">
        <v>25</v>
      </c>
      <c r="C5" s="3685"/>
      <c r="D5" s="3705"/>
      <c r="E5" s="131" t="s">
        <v>1269</v>
      </c>
      <c r="F5" s="1751"/>
      <c r="G5" s="1751"/>
      <c r="H5" s="1751"/>
      <c r="I5" s="1367"/>
    </row>
    <row r="6" spans="1:12" ht="12.75">
      <c r="A6" s="3682"/>
      <c r="B6" s="3669"/>
      <c r="C6" s="3686"/>
      <c r="D6" s="3705"/>
      <c r="E6" s="131" t="s">
        <v>1270</v>
      </c>
      <c r="F6" s="1751"/>
      <c r="G6" s="1751"/>
      <c r="H6" s="1751"/>
      <c r="I6" s="1367"/>
    </row>
    <row r="7" spans="1:12" ht="12.75">
      <c r="A7" s="3682"/>
      <c r="B7" s="3669"/>
      <c r="C7" s="3687"/>
      <c r="D7" s="3705"/>
      <c r="E7" s="131" t="s">
        <v>1271</v>
      </c>
      <c r="F7" s="1751"/>
      <c r="G7" s="1751"/>
      <c r="H7" s="1751"/>
      <c r="I7" s="1367"/>
    </row>
    <row r="8" spans="1:12" ht="12.75">
      <c r="A8" s="3682" t="s">
        <v>1272</v>
      </c>
      <c r="B8" s="3669">
        <v>15</v>
      </c>
      <c r="C8" s="3685"/>
      <c r="D8" s="3705"/>
      <c r="E8" s="131" t="s">
        <v>1273</v>
      </c>
      <c r="F8" s="1751"/>
      <c r="G8" s="1751"/>
      <c r="H8" s="1751"/>
      <c r="I8" s="1367"/>
    </row>
    <row r="9" spans="1:12" ht="12.75">
      <c r="A9" s="3682"/>
      <c r="B9" s="3669"/>
      <c r="C9" s="3687"/>
      <c r="D9" s="3705"/>
      <c r="E9" s="131" t="s">
        <v>1274</v>
      </c>
      <c r="F9" s="1751"/>
      <c r="G9" s="1751"/>
      <c r="H9" s="1751"/>
      <c r="I9" s="1367"/>
    </row>
    <row r="10" spans="1:12" ht="12.75">
      <c r="A10" s="3682" t="s">
        <v>1275</v>
      </c>
      <c r="B10" s="3669">
        <v>15</v>
      </c>
      <c r="C10" s="3685"/>
      <c r="D10" s="3705"/>
      <c r="E10" s="131" t="s">
        <v>1276</v>
      </c>
      <c r="F10" s="1751"/>
      <c r="G10" s="1751"/>
      <c r="H10" s="1751"/>
      <c r="I10" s="1367"/>
    </row>
    <row r="11" spans="1:12" ht="12.75">
      <c r="A11" s="3682"/>
      <c r="B11" s="3669"/>
      <c r="C11" s="3687"/>
      <c r="D11" s="3705"/>
      <c r="E11" s="131" t="s">
        <v>1277</v>
      </c>
      <c r="F11" s="1751"/>
      <c r="G11" s="1751"/>
      <c r="H11" s="1751"/>
      <c r="I11" s="1367"/>
    </row>
    <row r="12" spans="1:12" ht="12.75">
      <c r="A12" s="3682" t="s">
        <v>1278</v>
      </c>
      <c r="B12" s="3669">
        <v>15</v>
      </c>
      <c r="C12" s="3685"/>
      <c r="D12" s="3705"/>
      <c r="E12" s="131" t="s">
        <v>1279</v>
      </c>
      <c r="F12" s="1751"/>
      <c r="G12" s="1751"/>
      <c r="H12" s="1751"/>
      <c r="I12" s="1367"/>
    </row>
    <row r="13" spans="1:12" ht="12.75">
      <c r="A13" s="3682"/>
      <c r="B13" s="3669"/>
      <c r="C13" s="3687"/>
      <c r="D13" s="3705"/>
      <c r="E13" s="131" t="s">
        <v>1280</v>
      </c>
      <c r="F13" s="1751"/>
      <c r="G13" s="1751"/>
      <c r="H13" s="1751"/>
      <c r="I13" s="1367"/>
    </row>
    <row r="14" spans="1:12" ht="12.75">
      <c r="A14" s="3682" t="s">
        <v>1281</v>
      </c>
      <c r="B14" s="3669">
        <v>30</v>
      </c>
      <c r="C14" s="3685">
        <v>5</v>
      </c>
      <c r="D14" s="3705">
        <f>10-C14</f>
        <v>5</v>
      </c>
      <c r="E14" s="131" t="s">
        <v>1282</v>
      </c>
      <c r="F14" s="1751"/>
      <c r="G14" s="1751"/>
      <c r="H14" s="1751"/>
      <c r="I14" s="1367"/>
    </row>
    <row r="15" spans="1:12" ht="12.75">
      <c r="A15" s="3682"/>
      <c r="B15" s="3669"/>
      <c r="C15" s="3686"/>
      <c r="D15" s="3705"/>
      <c r="E15" s="131" t="s">
        <v>1283</v>
      </c>
      <c r="F15" s="1751"/>
      <c r="G15" s="1751"/>
      <c r="H15" s="1751"/>
      <c r="I15" s="1367"/>
    </row>
    <row r="16" spans="1:12" ht="12.75">
      <c r="A16" s="3682"/>
      <c r="B16" s="3669"/>
      <c r="C16" s="3687"/>
      <c r="D16" s="3705"/>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692" t="s">
        <v>2131</v>
      </c>
      <c r="F18" s="3693"/>
      <c r="G18" s="3693"/>
      <c r="H18" s="3693"/>
      <c r="I18" s="3693"/>
      <c r="J18" s="3400" t="s">
        <v>3956</v>
      </c>
      <c r="K18" s="302" t="s">
        <v>1289</v>
      </c>
      <c r="L18" s="302">
        <f>IF(C1="",'数据-汇总表'!E3,SUMIF(项目类型,C1,'数据-汇总表'!E17:E26)+SUMIF(项目类型,C1,'数据-汇总表'!I17:I26))</f>
        <v>34690.01</v>
      </c>
      <c r="M18" s="302">
        <f>IF(C1="",'数据-汇总表'!E3,SUMIF(项目类型,C1,'数据-汇总表'!E17:E26))</f>
        <v>34690.01</v>
      </c>
    </row>
    <row r="19" spans="1:36" ht="15">
      <c r="A19" s="1755" t="s">
        <v>1290</v>
      </c>
      <c r="B19" s="1756" t="s">
        <v>1291</v>
      </c>
      <c r="C19" s="134">
        <f ca="1">SUMIF(INDIRECT("'"&amp;C4&amp;"'"&amp;"!A:A"),结果表!B19,INDIRECT("'"&amp;C4&amp;"'"&amp;"!B:B"))</f>
        <v>84504</v>
      </c>
      <c r="D19" s="135">
        <f ca="1">SUMIF(INDIRECT("'"&amp;D4&amp;"'"&amp;"!A:A"),结果表!B19,INDIRECT("'"&amp;D4&amp;"'"&amp;"!B:B"))</f>
        <v>90143</v>
      </c>
      <c r="E19" s="1755" t="s">
        <v>1292</v>
      </c>
      <c r="F19" s="1756" t="s">
        <v>1291</v>
      </c>
      <c r="G19" s="136">
        <f ca="1">ROUND(C19*$C$18+D19*$D$18,0)</f>
        <v>87324</v>
      </c>
      <c r="H19" s="1757" t="s">
        <v>1293</v>
      </c>
      <c r="I19" s="129"/>
      <c r="J19" s="725">
        <v>87319</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24360</v>
      </c>
      <c r="D20" s="138">
        <f ca="1">SUMIF(INDIRECT("'"&amp;D4&amp;"'"&amp;"!A:A"),结果表!B20,INDIRECT("'"&amp;D4&amp;"'"&amp;"!B:B"))</f>
        <v>25985</v>
      </c>
      <c r="E20" s="1758"/>
      <c r="F20" s="1021" t="s">
        <v>1295</v>
      </c>
      <c r="G20" s="139">
        <f ca="1">ROUND(C20*$C$18+D20*$D$18,0)</f>
        <v>25173</v>
      </c>
      <c r="H20" s="803" t="s">
        <v>1296</v>
      </c>
      <c r="I20" s="129"/>
      <c r="J20" s="725" t="s">
        <v>3945</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c r="J21" s="3576">
        <f>4.5/0.5264*10000</f>
        <v>85486.322188449849</v>
      </c>
    </row>
    <row r="22" spans="1:36" ht="15" thickBot="1">
      <c r="A22" s="1682" t="s">
        <v>1298</v>
      </c>
      <c r="B22" s="1761"/>
      <c r="C22" s="1762"/>
      <c r="D22" s="721">
        <f ca="1">IF(C19&lt;D19,D19/C19-1,C19/D19-1)</f>
        <v>6.6730568967149573E-2</v>
      </c>
      <c r="E22" s="129"/>
      <c r="F22" s="129"/>
      <c r="G22" s="129"/>
      <c r="H22" s="129"/>
      <c r="I22" s="129"/>
      <c r="L22" s="3400" t="s">
        <v>3653</v>
      </c>
      <c r="M22" s="3400" t="s">
        <v>3654</v>
      </c>
      <c r="N22" s="3400" t="s">
        <v>3655</v>
      </c>
    </row>
    <row r="23" spans="1:36" ht="13.5" thickBot="1">
      <c r="A23" s="1741"/>
      <c r="B23" s="1741"/>
      <c r="C23" s="1741"/>
      <c r="D23" s="1741"/>
      <c r="E23" s="129"/>
      <c r="F23" s="3577" t="s">
        <v>3949</v>
      </c>
      <c r="G23" s="129"/>
      <c r="H23" s="129"/>
      <c r="I23" s="129"/>
      <c r="K23" s="3400" t="s">
        <v>3656</v>
      </c>
      <c r="L23" s="725">
        <f ca="1">'收益法（汇总）'!B6</f>
        <v>85762</v>
      </c>
      <c r="M23" s="725">
        <f ca="1">ROUND(L23/$L$26*$G$19,0)</f>
        <v>83080</v>
      </c>
      <c r="N23" s="3401">
        <f ca="1">ROUND(M23*10000/'数据-汇总表'!E19,0)</f>
        <v>25102</v>
      </c>
    </row>
    <row r="24" spans="1:36" ht="14.25">
      <c r="A24" s="3676" t="s">
        <v>1299</v>
      </c>
      <c r="B24" s="1756" t="s">
        <v>1291</v>
      </c>
      <c r="C24" s="136">
        <f>IF(B30=0,0,D30)</f>
        <v>0</v>
      </c>
      <c r="D24" s="1763"/>
      <c r="E24" s="129"/>
      <c r="F24" s="3577" t="s">
        <v>3950</v>
      </c>
      <c r="G24" s="129">
        <v>500</v>
      </c>
      <c r="H24" s="129"/>
      <c r="I24" s="129"/>
      <c r="K24" s="3400" t="s">
        <v>3657</v>
      </c>
      <c r="L24" s="725">
        <f ca="1">'收益法（汇总）'!B7</f>
        <v>4381</v>
      </c>
      <c r="M24" s="725">
        <f ca="1">ROUND(L24/$L$26*$G$19,0)</f>
        <v>4244</v>
      </c>
      <c r="N24" s="725">
        <f ca="1">ROUND(M24*10000/'数据-汇总表'!E20,0)</f>
        <v>26648</v>
      </c>
    </row>
    <row r="25" spans="1:36" ht="14.25">
      <c r="A25" s="3677"/>
      <c r="B25" s="1021" t="s">
        <v>1295</v>
      </c>
      <c r="C25" s="141">
        <f>IF(B30=0,0,C30)</f>
        <v>0</v>
      </c>
      <c r="D25" s="1764"/>
      <c r="E25" s="129"/>
      <c r="F25" s="3577" t="s">
        <v>3951</v>
      </c>
      <c r="G25" s="129">
        <f>ROUND(G24*L18/10000,0)</f>
        <v>1735</v>
      </c>
      <c r="H25" s="129"/>
      <c r="I25" s="129"/>
      <c r="K25" s="3400" t="s">
        <v>3658</v>
      </c>
      <c r="L25" s="725">
        <f>'收益法（汇总）'!B8</f>
        <v>0</v>
      </c>
      <c r="M25" s="725">
        <f ca="1">ROUND(L25/$L$26*$G$19,0)</f>
        <v>0</v>
      </c>
      <c r="N25" s="725" t="e">
        <f ca="1">ROUND(M25*10000/'数据-汇总表'!E21,0)</f>
        <v>#DIV/0!</v>
      </c>
    </row>
    <row r="26" spans="1:36" ht="13.5" customHeight="1">
      <c r="A26" s="1765" t="s">
        <v>1300</v>
      </c>
      <c r="B26" s="142" t="s">
        <v>1301</v>
      </c>
      <c r="C26" s="142" t="s">
        <v>1302</v>
      </c>
      <c r="D26" s="143" t="s">
        <v>1303</v>
      </c>
      <c r="E26" s="129"/>
      <c r="F26" s="129"/>
      <c r="G26" s="129">
        <f ca="1">G19-G25</f>
        <v>85589</v>
      </c>
      <c r="H26" s="129">
        <f ca="1">ROUND(G26*10000/L18,0)</f>
        <v>24673</v>
      </c>
      <c r="I26" s="129"/>
      <c r="J26" s="3578">
        <v>85584</v>
      </c>
      <c r="L26" s="725">
        <f ca="1">D19</f>
        <v>90143</v>
      </c>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87324</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56237</v>
      </c>
      <c r="D34" s="856">
        <f ca="1">IF(C33="自定义",ROUND(C34/C32,3),IF(C33="收益比率",SUMIF(INDIRECT("'"&amp;D33&amp;"'"&amp;"!b:b"),"土地收益比率",INDIRECT("'"&amp;D33&amp;"'"&amp;"!c:c")),SUMIF(INDIRECT("'"&amp;D33&amp;"'"&amp;"!b:b"),"土地成本比率",INDIRECT("'"&amp;D33&amp;"'"&amp;"!c:c"))))</f>
        <v>0.64400000000000002</v>
      </c>
      <c r="E34" s="1777" t="s">
        <v>1309</v>
      </c>
      <c r="F34" s="1324"/>
      <c r="G34" s="129"/>
      <c r="H34" s="129"/>
      <c r="I34" s="129"/>
    </row>
    <row r="35" spans="1:15" ht="15.75" thickBot="1">
      <c r="A35" s="1778"/>
      <c r="B35" s="1779" t="s">
        <v>1310</v>
      </c>
      <c r="C35" s="1165">
        <f ca="1">IF(C33="自定义",F35,ROUND(C32*D35,0))</f>
        <v>31087</v>
      </c>
      <c r="D35" s="1166">
        <f ca="1">IF(C33="自定义",ROUND(C35/C32,3),IF(C33="收益比率",SUMIF(INDIRECT("'"&amp;D33&amp;"'"&amp;"!b:b"),"建筑物收益比率",INDIRECT("'"&amp;D33&amp;"'"&amp;"!c:c")),SUMIF(INDIRECT("'"&amp;D33&amp;"'"&amp;"!b:b"),"建筑物成本比率",INDIRECT("'"&amp;D33&amp;"'"&amp;"!c:c"))))</f>
        <v>0.35599999999999998</v>
      </c>
      <c r="E35" s="1780" t="s">
        <v>1311</v>
      </c>
      <c r="F35" s="154"/>
      <c r="G35" s="129"/>
      <c r="H35" s="129"/>
      <c r="I35" s="129"/>
    </row>
    <row r="36" spans="1:15" ht="15.75" thickBot="1">
      <c r="A36" s="3696" t="s">
        <v>1312</v>
      </c>
      <c r="B36" s="1781" t="s">
        <v>1313</v>
      </c>
      <c r="C36" s="145"/>
      <c r="D36" s="1782"/>
      <c r="E36" s="1783"/>
      <c r="F36" s="1784"/>
      <c r="G36" s="129"/>
      <c r="H36" s="129"/>
      <c r="I36" s="129"/>
    </row>
    <row r="37" spans="1:15" ht="15.75" thickBot="1">
      <c r="A37" s="3697"/>
      <c r="B37" s="1668" t="s">
        <v>1314</v>
      </c>
      <c r="C37" s="147"/>
      <c r="D37" s="1134"/>
      <c r="E37" s="1134"/>
      <c r="F37" s="1784"/>
      <c r="G37" s="129"/>
      <c r="H37" s="129"/>
      <c r="I37" s="129"/>
    </row>
    <row r="38" spans="1:15" ht="15.75" thickBot="1">
      <c r="A38" s="3698"/>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73" t="s">
        <v>1326</v>
      </c>
      <c r="B45" s="3674"/>
      <c r="C45" s="3675"/>
      <c r="D45" s="3507">
        <f ca="1">G26</f>
        <v>85589</v>
      </c>
      <c r="E45" s="156" t="s">
        <v>1327</v>
      </c>
      <c r="F45" s="157">
        <v>1</v>
      </c>
      <c r="G45" s="158" t="s">
        <v>1328</v>
      </c>
      <c r="H45" s="129"/>
      <c r="I45" s="129"/>
      <c r="J45" s="3751" t="s">
        <v>1329</v>
      </c>
      <c r="K45" s="3751"/>
      <c r="L45" s="3751"/>
      <c r="M45" s="3751"/>
      <c r="N45" s="3751"/>
      <c r="O45" s="3751"/>
    </row>
    <row r="46" spans="1:15" ht="14.25" customHeight="1">
      <c r="A46" s="3670" t="s">
        <v>1330</v>
      </c>
      <c r="B46" s="3671"/>
      <c r="C46" s="3671"/>
      <c r="D46" s="3671"/>
      <c r="E46" s="3671"/>
      <c r="F46" s="3671"/>
      <c r="G46" s="3672"/>
      <c r="H46" s="1800"/>
      <c r="I46" s="159"/>
      <c r="J46" s="2510">
        <v>1</v>
      </c>
      <c r="K46" s="3732" t="s">
        <v>1331</v>
      </c>
      <c r="L46" s="3732"/>
      <c r="M46" s="3752"/>
      <c r="N46" s="3752"/>
      <c r="O46" s="3752"/>
    </row>
    <row r="47" spans="1:15" ht="12" customHeight="1">
      <c r="A47" s="160" t="s">
        <v>1332</v>
      </c>
      <c r="B47" s="161"/>
      <c r="C47" s="162"/>
      <c r="D47" s="1082" t="s">
        <v>1333</v>
      </c>
      <c r="E47" s="302" t="s">
        <v>1334</v>
      </c>
      <c r="F47" s="163" t="s">
        <v>1335</v>
      </c>
      <c r="G47" s="2532" t="s">
        <v>1336</v>
      </c>
      <c r="H47" s="2533"/>
      <c r="I47" s="159"/>
      <c r="J47" s="2510">
        <v>2</v>
      </c>
      <c r="K47" s="3732" t="s">
        <v>1337</v>
      </c>
      <c r="L47" s="3732"/>
      <c r="M47" s="3753">
        <f>'数据-取费表'!B2</f>
        <v>45429</v>
      </c>
      <c r="N47" s="3753"/>
      <c r="O47" s="3753"/>
    </row>
    <row r="48" spans="1:15" ht="25.5">
      <c r="A48" s="3701" t="s">
        <v>1338</v>
      </c>
      <c r="B48" s="3684"/>
      <c r="C48" s="3684"/>
      <c r="D48" s="2316">
        <f ca="1">IF(H48="情况1",0,IF(H48="情况2",D52,IF(H48="情况3",D53,IF(H48="情况4",D54))))</f>
        <v>971</v>
      </c>
      <c r="E48" s="2326" t="str">
        <f>IF(H48="情况4","(销售额-原购置价)×税（费）率","销售额×税（费）率")</f>
        <v>(销售额-原购置价)×税（费）率</v>
      </c>
      <c r="F48" s="2534">
        <f>IF(H48="情况1","免征",'数据-取费表'!B41)</f>
        <v>5.5000000000000007E-2</v>
      </c>
      <c r="G48" s="2535" t="s">
        <v>1339</v>
      </c>
      <c r="H48" s="2536" t="s">
        <v>3903</v>
      </c>
      <c r="I48" s="1800"/>
      <c r="J48" s="2510">
        <v>3</v>
      </c>
      <c r="K48" s="3732" t="s">
        <v>1340</v>
      </c>
      <c r="L48" s="3732"/>
      <c r="M48" s="3754">
        <f ca="1">D45</f>
        <v>85589</v>
      </c>
      <c r="N48" s="3754"/>
      <c r="O48" s="3754"/>
    </row>
    <row r="49" spans="1:35" ht="25.5" customHeight="1">
      <c r="A49" s="2325" t="s">
        <v>1341</v>
      </c>
      <c r="B49" s="3668" t="s">
        <v>1342</v>
      </c>
      <c r="C49" s="3668"/>
      <c r="D49" s="1584">
        <v>0</v>
      </c>
      <c r="E49" s="324" t="s">
        <v>1343</v>
      </c>
      <c r="F49" s="2416" t="s">
        <v>28</v>
      </c>
      <c r="G49" s="3738"/>
      <c r="H49" s="2302" t="s">
        <v>2134</v>
      </c>
      <c r="I49" s="2303"/>
      <c r="J49" s="2510">
        <v>4</v>
      </c>
      <c r="K49" s="3732" t="str">
        <f>IF(项目基本情况!E8="房地产抵押价值","房地产抵押价值","抵押担保权已注销时的房地产抵押价值")</f>
        <v>房地产抵押价值</v>
      </c>
      <c r="L49" s="3732"/>
      <c r="M49" s="3754">
        <f ca="1">M48</f>
        <v>85589</v>
      </c>
      <c r="N49" s="3754"/>
      <c r="O49" s="3754"/>
    </row>
    <row r="50" spans="1:35" ht="25.5" customHeight="1">
      <c r="A50" s="2537"/>
      <c r="B50" s="3668" t="s">
        <v>1344</v>
      </c>
      <c r="C50" s="3668"/>
      <c r="D50" s="2538"/>
      <c r="E50" s="332"/>
      <c r="F50" s="2416"/>
      <c r="G50" s="3739"/>
      <c r="H50" s="2304" t="s">
        <v>2135</v>
      </c>
      <c r="I50" s="2303"/>
      <c r="J50" s="3751" t="s">
        <v>1345</v>
      </c>
      <c r="K50" s="3751"/>
      <c r="L50" s="3751"/>
      <c r="M50" s="3751"/>
      <c r="N50" s="3751"/>
      <c r="O50" s="3751"/>
    </row>
    <row r="51" spans="1:35" ht="20.45" customHeight="1">
      <c r="A51" s="2539"/>
      <c r="B51" s="3668" t="s">
        <v>1346</v>
      </c>
      <c r="C51" s="3668"/>
      <c r="D51" s="1082"/>
      <c r="E51" s="327"/>
      <c r="F51" s="2416"/>
      <c r="G51" s="3740"/>
      <c r="H51" s="2304" t="s">
        <v>2136</v>
      </c>
      <c r="I51" s="2303"/>
      <c r="J51" s="2511" t="s">
        <v>1347</v>
      </c>
      <c r="K51" s="3732" t="s">
        <v>1348</v>
      </c>
      <c r="L51" s="3732"/>
      <c r="M51" s="2511" t="s">
        <v>1349</v>
      </c>
      <c r="N51" s="2511" t="s">
        <v>1350</v>
      </c>
      <c r="O51" s="2511" t="s">
        <v>1351</v>
      </c>
    </row>
    <row r="52" spans="1:35" ht="24" customHeight="1">
      <c r="A52" s="2327" t="s">
        <v>1352</v>
      </c>
      <c r="B52" s="3668" t="s">
        <v>1353</v>
      </c>
      <c r="C52" s="3668"/>
      <c r="D52" s="1082">
        <f ca="1">ROUND(D45*'数据-取费表'!B41/(1+'数据-取费表'!C42),0)</f>
        <v>4483</v>
      </c>
      <c r="E52" s="2326" t="s">
        <v>1354</v>
      </c>
      <c r="F52" s="2540">
        <f>'数据-取费表'!B41</f>
        <v>5.5000000000000007E-2</v>
      </c>
      <c r="G52" s="2541"/>
      <c r="H52" s="2530"/>
      <c r="I52" s="1801"/>
      <c r="J52" s="2510">
        <v>1</v>
      </c>
      <c r="K52" s="3733" t="s">
        <v>1355</v>
      </c>
      <c r="L52" s="3733"/>
      <c r="M52" s="2512">
        <f ca="1">D48</f>
        <v>971</v>
      </c>
      <c r="N52" s="2510" t="str">
        <f>E48</f>
        <v>(销售额-原购置价)×税（费）率</v>
      </c>
      <c r="O52" s="2513">
        <f>F48</f>
        <v>5.5000000000000007E-2</v>
      </c>
    </row>
    <row r="53" spans="1:35" ht="12" customHeight="1">
      <c r="A53" s="2327" t="s">
        <v>1356</v>
      </c>
      <c r="B53" s="3694" t="s">
        <v>2282</v>
      </c>
      <c r="C53" s="3695"/>
      <c r="D53" s="1082">
        <f ca="1">ROUND(D45*'数据-取费表'!B41/(1+'数据-取费表'!C42),0)</f>
        <v>4483</v>
      </c>
      <c r="E53" s="2326" t="s">
        <v>1354</v>
      </c>
      <c r="F53" s="2540">
        <f>'数据-取费表'!B41</f>
        <v>5.5000000000000007E-2</v>
      </c>
      <c r="G53" s="2541"/>
      <c r="H53" s="2530"/>
      <c r="I53" s="1801"/>
      <c r="J53" s="2510">
        <v>2</v>
      </c>
      <c r="K53" s="3733" t="s">
        <v>1357</v>
      </c>
      <c r="L53" s="3733"/>
      <c r="M53" s="2512">
        <f t="shared" ref="M53:O54" ca="1" si="0">D55</f>
        <v>43</v>
      </c>
      <c r="N53" s="2510" t="str">
        <f t="shared" si="0"/>
        <v>销售额×税（费）率</v>
      </c>
      <c r="O53" s="2513">
        <f t="shared" si="0"/>
        <v>5.0000000000000001E-4</v>
      </c>
    </row>
    <row r="54" spans="1:35" ht="12" customHeight="1">
      <c r="A54" s="2327" t="s">
        <v>1358</v>
      </c>
      <c r="B54" s="3694" t="s">
        <v>2283</v>
      </c>
      <c r="C54" s="3695"/>
      <c r="D54" s="1082">
        <f ca="1">C68</f>
        <v>971</v>
      </c>
      <c r="E54" s="327" t="s">
        <v>1359</v>
      </c>
      <c r="F54" s="2540">
        <f>'数据-取费表'!B41</f>
        <v>5.5000000000000007E-2</v>
      </c>
      <c r="G54" s="2541"/>
      <c r="H54" s="2542"/>
      <c r="I54" s="1801"/>
      <c r="J54" s="2510">
        <v>3</v>
      </c>
      <c r="K54" s="3733" t="s">
        <v>1360</v>
      </c>
      <c r="L54" s="3733"/>
      <c r="M54" s="2512">
        <f t="shared" ca="1" si="0"/>
        <v>4587</v>
      </c>
      <c r="N54" s="2510" t="str">
        <f t="shared" si="0"/>
        <v>增值额×税（费）率</v>
      </c>
      <c r="O54" s="2514" t="str">
        <f t="shared" si="0"/>
        <v>——</v>
      </c>
    </row>
    <row r="55" spans="1:35" ht="24" customHeight="1">
      <c r="A55" s="3683" t="s">
        <v>1361</v>
      </c>
      <c r="B55" s="3684"/>
      <c r="C55" s="3684"/>
      <c r="D55" s="2316">
        <f ca="1">IF(H55="个人住宅",0,ROUND(D45*I55,0))</f>
        <v>43</v>
      </c>
      <c r="E55" s="2326" t="s">
        <v>1362</v>
      </c>
      <c r="F55" s="2540">
        <f>IF(H55="正常",I55,"免征")</f>
        <v>5.0000000000000001E-4</v>
      </c>
      <c r="G55" s="2541"/>
      <c r="H55" s="2536" t="s">
        <v>3364</v>
      </c>
      <c r="I55" s="165">
        <f>'数据-取费表'!B49</f>
        <v>5.0000000000000001E-4</v>
      </c>
      <c r="J55" s="2510" t="str">
        <f>IF(H59="非个人房产","",4)</f>
        <v/>
      </c>
      <c r="K55" s="3733" t="str">
        <f>IF(H59="非个人房产","——","个人所得税")</f>
        <v>——</v>
      </c>
      <c r="L55" s="3733"/>
      <c r="M55" s="2515" t="str">
        <f>D59</f>
        <v>——</v>
      </c>
      <c r="N55" s="2032" t="str">
        <f>E59</f>
        <v>——</v>
      </c>
      <c r="O55" s="2516" t="str">
        <f>F59</f>
        <v>——</v>
      </c>
    </row>
    <row r="56" spans="1:35" ht="24.75">
      <c r="A56" s="3683" t="s">
        <v>1363</v>
      </c>
      <c r="B56" s="3684"/>
      <c r="C56" s="3684"/>
      <c r="D56" s="2316">
        <f ca="1">IF(H56="个人住宅",D57,D58)</f>
        <v>4587</v>
      </c>
      <c r="E56" s="2326" t="s">
        <v>1364</v>
      </c>
      <c r="F56" s="2540" t="str">
        <f>IF(H56="正常",F58,"免征")</f>
        <v>——</v>
      </c>
      <c r="G56" s="2543" t="s">
        <v>1365</v>
      </c>
      <c r="H56" s="2544" t="s">
        <v>3364</v>
      </c>
      <c r="I56" s="1802"/>
      <c r="J56" s="2510" t="str">
        <f>IF(项目基本情况!K6="上海银行",IF(J55="",4,J55+1),"")</f>
        <v/>
      </c>
      <c r="K56" s="3756" t="str">
        <f>IF(项目基本情况!K6="上海银行","其他处置费用","")</f>
        <v/>
      </c>
      <c r="L56" s="3757"/>
      <c r="M56" s="2512" t="str">
        <f>IF(项目基本情况!K6="上海银行",M69,"")</f>
        <v/>
      </c>
      <c r="N56" s="3756" t="str">
        <f>IF(项目基本情况!K6="上海银行","包含处置中涉及的律师、诉讼、拍卖、评估等费用","")</f>
        <v/>
      </c>
      <c r="O56" s="3759"/>
    </row>
    <row r="57" spans="1:35" ht="12.75">
      <c r="A57" s="2327" t="s">
        <v>1341</v>
      </c>
      <c r="B57" s="3694" t="s">
        <v>1366</v>
      </c>
      <c r="C57" s="3695"/>
      <c r="D57" s="1584">
        <v>0</v>
      </c>
      <c r="E57" s="324" t="s">
        <v>1343</v>
      </c>
      <c r="F57" s="302"/>
      <c r="G57" s="2541"/>
      <c r="H57" s="2545"/>
      <c r="I57" s="1802"/>
      <c r="J57" s="3733">
        <f>IF(AND(J55="",J56=""),4,IF(项目基本情况!K6="上海银行",结果表!J56+1,结果表!J55+1))</f>
        <v>4</v>
      </c>
      <c r="K57" s="3733" t="s">
        <v>1367</v>
      </c>
      <c r="L57" s="2517" t="s">
        <v>1368</v>
      </c>
      <c r="M57" s="2518"/>
      <c r="N57" s="2519">
        <f ca="1">SUMIF(M52:M56,"&lt;9e307")</f>
        <v>5601</v>
      </c>
      <c r="O57" s="2520"/>
      <c r="P57" s="2676">
        <f ca="1">N57/M49</f>
        <v>6.5440652420287654E-2</v>
      </c>
    </row>
    <row r="58" spans="1:35" ht="24.75">
      <c r="A58" s="2327" t="s">
        <v>1352</v>
      </c>
      <c r="B58" s="3694" t="s">
        <v>1369</v>
      </c>
      <c r="C58" s="3668"/>
      <c r="D58" s="2316">
        <f ca="1">IF(H58="转让取得",C81,C97)</f>
        <v>4587</v>
      </c>
      <c r="E58" s="2326" t="s">
        <v>1364</v>
      </c>
      <c r="F58" s="302" t="s">
        <v>28</v>
      </c>
      <c r="G58" s="2541"/>
      <c r="H58" s="2544" t="s">
        <v>3904</v>
      </c>
      <c r="I58" s="1802"/>
      <c r="J58" s="3733"/>
      <c r="K58" s="3733"/>
      <c r="L58" s="2517" t="s">
        <v>1370</v>
      </c>
      <c r="M58" s="2521"/>
      <c r="N58" s="2522" t="str">
        <f ca="1">NUMBERSTRING(INT(N57*10000),2)&amp;"元整"</f>
        <v>伍仟陆佰零壹万元整</v>
      </c>
      <c r="O58" s="2523"/>
    </row>
    <row r="59" spans="1:35" ht="24.75" thickBot="1">
      <c r="A59" s="3736" t="s">
        <v>1371</v>
      </c>
      <c r="B59" s="3737"/>
      <c r="C59" s="3737"/>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734">
        <f>J57+1</f>
        <v>5</v>
      </c>
      <c r="K59" s="3733" t="s">
        <v>1372</v>
      </c>
      <c r="L59" s="2510" t="s">
        <v>1368</v>
      </c>
      <c r="M59" s="2524"/>
      <c r="N59" s="2525">
        <f ca="1">M49-N57</f>
        <v>79988</v>
      </c>
      <c r="O59" s="2526"/>
    </row>
    <row r="60" spans="1:35" ht="12" customHeight="1">
      <c r="A60" s="1803"/>
      <c r="B60" s="1741"/>
      <c r="C60" s="1741"/>
      <c r="D60" s="1741"/>
      <c r="E60" s="1572"/>
      <c r="F60" s="1802"/>
      <c r="G60" s="1802"/>
      <c r="H60" s="1804"/>
      <c r="I60" s="129"/>
      <c r="J60" s="3735"/>
      <c r="K60" s="3733"/>
      <c r="L60" s="2517" t="s">
        <v>1370</v>
      </c>
      <c r="M60" s="2521"/>
      <c r="N60" s="2522" t="str">
        <f ca="1">NUMBERSTRING(INT(N59*10000),2)&amp;"元整"</f>
        <v>柒亿玖仟玖佰捌拾捌万元整</v>
      </c>
      <c r="O60" s="2523"/>
    </row>
    <row r="61" spans="1:35" ht="13.5" thickBot="1">
      <c r="A61" s="3681" t="s">
        <v>1373</v>
      </c>
      <c r="B61" s="3681"/>
      <c r="C61" s="3681"/>
      <c r="D61" s="3681"/>
      <c r="E61" s="3681"/>
      <c r="F61" s="1802"/>
      <c r="G61" s="1802"/>
      <c r="H61" s="1804"/>
      <c r="I61" s="129"/>
      <c r="J61" s="2510">
        <f>J59+1</f>
        <v>6</v>
      </c>
      <c r="K61" s="3733" t="s">
        <v>1374</v>
      </c>
      <c r="L61" s="3733"/>
      <c r="M61" s="2527"/>
      <c r="N61" s="3508">
        <f ca="1">ROUND(N59*10000/系统读取表!B1,0)</f>
        <v>23058</v>
      </c>
      <c r="O61" s="2528"/>
    </row>
    <row r="62" spans="1:35" ht="12.75">
      <c r="A62" s="3699" t="s">
        <v>1375</v>
      </c>
      <c r="B62" s="3700"/>
      <c r="C62" s="2013"/>
      <c r="D62" s="2013" t="s">
        <v>1376</v>
      </c>
      <c r="E62" s="166" t="s">
        <v>1377</v>
      </c>
      <c r="F62" s="1802"/>
      <c r="G62" s="1802"/>
      <c r="H62" s="1804"/>
      <c r="I62" s="129"/>
    </row>
    <row r="63" spans="1:35" ht="12.75">
      <c r="A63" s="173" t="s">
        <v>330</v>
      </c>
      <c r="B63" s="167" t="s">
        <v>1378</v>
      </c>
      <c r="C63" s="2550">
        <f ca="1">ROUND((C64+C65)/(1+'数据-取费表'!C42),0)</f>
        <v>81513</v>
      </c>
      <c r="D63" s="167"/>
      <c r="E63" s="168"/>
      <c r="F63" s="1802"/>
      <c r="G63" s="1802"/>
      <c r="H63" s="1804"/>
      <c r="I63" s="129"/>
      <c r="J63" s="3758" t="s">
        <v>1379</v>
      </c>
      <c r="K63" s="1326" t="s">
        <v>1380</v>
      </c>
      <c r="L63" s="1326">
        <f ca="1">IF(M49&gt;10000,M49*0.5%,IF(AND(M49&gt;1000,M49&lt;=10000),M49*1%,IF(AND(M49&gt;100,M49&lt;=1000),M49*3%,IF(AND(M49&gt;10,M49&lt;=100),M49*5%,M49*8%))))</f>
        <v>427.94499999999999</v>
      </c>
      <c r="M63" s="302">
        <f ca="1">ROUND(L63,1)</f>
        <v>427.9</v>
      </c>
      <c r="N63" s="2529"/>
      <c r="Z63" s="1746"/>
      <c r="AI63" s="1747"/>
    </row>
    <row r="64" spans="1:35" ht="14.25" customHeight="1">
      <c r="A64" s="169" t="s">
        <v>325</v>
      </c>
      <c r="B64" s="170" t="s">
        <v>1381</v>
      </c>
      <c r="C64" s="2551">
        <f ca="1">D45</f>
        <v>85589</v>
      </c>
      <c r="D64" s="170" t="s">
        <v>26</v>
      </c>
      <c r="E64" s="172"/>
      <c r="F64" s="1802"/>
      <c r="G64" s="1802"/>
      <c r="H64" s="1804"/>
      <c r="I64" s="129"/>
      <c r="J64" s="3758"/>
      <c r="K64" s="1326" t="s">
        <v>1382</v>
      </c>
      <c r="L64" s="1326">
        <f ca="1">IF(M49&gt;2000,M49*0.5%,IF(AND(M49&gt;1000,M49&lt;=2000),M49*0.6%,IF(AND(M49&gt;500,M49&lt;=1000),M49*0.7%,IF(AND(M49&gt;200,M49&lt;=500),M49*0.8%,IF(AND(M49&gt;100,M49&lt;=200),M49*0.9%,IF(AND(M49&gt;50,M49&lt;=100),M49*1%,IF(AND(M49&gt;20,M49&lt;=50),M49*1.5%,IF(AND(M49&gt;10,M49&lt;=20),M49*2%,IF(AND(M49&gt;1,M49&lt;=10),M49*2.5%)))))))))</f>
        <v>427.94499999999999</v>
      </c>
      <c r="M64" s="302">
        <f t="shared" ref="M64:M65" ca="1" si="1">ROUND(L64,1)</f>
        <v>427.9</v>
      </c>
      <c r="N64" s="2530" t="s">
        <v>1383</v>
      </c>
      <c r="Z64" s="1746"/>
      <c r="AI64" s="1747"/>
    </row>
    <row r="65" spans="1:35" ht="14.25" customHeight="1">
      <c r="A65" s="169" t="s">
        <v>326</v>
      </c>
      <c r="B65" s="170" t="s">
        <v>1384</v>
      </c>
      <c r="C65" s="2552"/>
      <c r="D65" s="170"/>
      <c r="E65" s="172"/>
      <c r="F65" s="1802"/>
      <c r="G65" s="1802"/>
      <c r="H65" s="1804"/>
      <c r="I65" s="129"/>
      <c r="J65" s="3758"/>
      <c r="K65" s="1326" t="s">
        <v>1385</v>
      </c>
      <c r="L65" s="1326">
        <f ca="1">IF(M49&gt;1000,M49*0.1%,IF(AND(M49&gt;500,M49&lt;=1000),M49*0.5%,IF(AND(M49&gt;50,M49&lt;=500),M49*1%,IF(AND(M49&gt;1,M49&lt;=50),M49*1.5%))))</f>
        <v>85.588999999999999</v>
      </c>
      <c r="M65" s="302">
        <f t="shared" ca="1" si="1"/>
        <v>85.6</v>
      </c>
      <c r="N65" s="2530" t="s">
        <v>1383</v>
      </c>
      <c r="Z65" s="1746"/>
      <c r="AI65" s="1747"/>
    </row>
    <row r="66" spans="1:35" ht="14.25" customHeight="1">
      <c r="A66" s="173" t="s">
        <v>327</v>
      </c>
      <c r="B66" s="174" t="s">
        <v>1386</v>
      </c>
      <c r="C66" s="2553">
        <f>C75/1.05</f>
        <v>63866.961904761898</v>
      </c>
      <c r="D66" s="174" t="s">
        <v>26</v>
      </c>
      <c r="E66" s="1332" t="s">
        <v>671</v>
      </c>
      <c r="F66" s="1802"/>
      <c r="G66" s="1802"/>
      <c r="H66" s="1804"/>
      <c r="I66" s="129"/>
      <c r="J66" s="3758"/>
      <c r="K66" s="1326" t="s">
        <v>1387</v>
      </c>
      <c r="L66" s="1326">
        <f ca="1">M49*0.5%</f>
        <v>427.94499999999999</v>
      </c>
      <c r="M66" s="302">
        <f ca="1">IF(L66&gt;0.5,0.5,ROUND(L66,0))</f>
        <v>0.5</v>
      </c>
      <c r="N66" s="2530" t="s">
        <v>1388</v>
      </c>
      <c r="Z66" s="1746"/>
      <c r="AI66" s="1747"/>
    </row>
    <row r="67" spans="1:35" ht="14.25" customHeight="1">
      <c r="A67" s="173" t="s">
        <v>328</v>
      </c>
      <c r="B67" s="174" t="s">
        <v>1389</v>
      </c>
      <c r="C67" s="2554">
        <f ca="1">C63-C66</f>
        <v>17646.038095238102</v>
      </c>
      <c r="D67" s="170" t="s">
        <v>26</v>
      </c>
      <c r="E67" s="172"/>
      <c r="F67" s="1802"/>
      <c r="G67" s="1802"/>
      <c r="H67" s="1804"/>
      <c r="I67" s="129"/>
      <c r="J67" s="3758"/>
      <c r="K67" s="1326" t="s">
        <v>1390</v>
      </c>
      <c r="L67" s="1326">
        <f ca="1">IF(M49&gt;=10000,(8.25+(M49-10000)*0.01%),IF(AND(M49&gt;=8000,M49&lt;10000),(7.85+(M49-8000)*0.02%),IF(AND(M49&gt;=5000,M49&lt;8000),(6.65+(M49-5000)*0.04%),IF(AND(M49&gt;=2000,M49&lt;5000),(4.25+(PM49-2000)*0.08%),IF(AND(M49&gt;=1000,M49&lt;2000),(2.75+(M49-1000)*0.15%),IF(AND(M49&gt;=100,M49&lt;1000),(0.5+(M49-100)*0.25%),IF(AND(M49&gt;0,M49&lt;100),M49*0.5%)))))))</f>
        <v>15.808900000000001</v>
      </c>
      <c r="M67" s="302">
        <f ca="1">ROUND(L67*0.9,1)</f>
        <v>14.2</v>
      </c>
      <c r="N67" s="2529"/>
      <c r="Z67" s="1746"/>
      <c r="AI67" s="1747"/>
    </row>
    <row r="68" spans="1:35" ht="14.25" customHeight="1" thickBot="1">
      <c r="A68" s="176" t="s">
        <v>329</v>
      </c>
      <c r="B68" s="177" t="s">
        <v>1391</v>
      </c>
      <c r="C68" s="2555">
        <f ca="1">IF(C67&lt;=0,0,ROUND(C67*D68,0))</f>
        <v>971</v>
      </c>
      <c r="D68" s="2556">
        <f>'数据-取费表'!B41</f>
        <v>5.5000000000000007E-2</v>
      </c>
      <c r="E68" s="178"/>
      <c r="F68" s="1802"/>
      <c r="G68" s="1802"/>
      <c r="H68" s="1804"/>
      <c r="I68" s="129"/>
      <c r="J68" s="3758"/>
      <c r="K68" s="1326" t="s">
        <v>1392</v>
      </c>
      <c r="L68" s="1326">
        <f ca="1">IF(M49&gt;10000,M49*0.5%,IF(AND(M49&gt;5000,M49&lt;=10000),M49*1%,IF(AND(M49&gt;1000,M49&lt;=5000),M49*2%,IF(AND(M49&gt;200,M49&lt;=1000),M49*3%,M49*5%))))</f>
        <v>427.94499999999999</v>
      </c>
      <c r="M68" s="302">
        <f ca="1">ROUND(L68,1)</f>
        <v>427.9</v>
      </c>
      <c r="N68" s="2529"/>
      <c r="Z68" s="1746"/>
      <c r="AI68" s="1747"/>
    </row>
    <row r="69" spans="1:35" s="1766" customFormat="1" ht="16.5" customHeight="1">
      <c r="A69" s="1805"/>
      <c r="B69" s="1806"/>
      <c r="C69" s="1807"/>
      <c r="D69" s="1808"/>
      <c r="E69" s="1809"/>
      <c r="F69" s="1572"/>
      <c r="G69" s="1572"/>
      <c r="H69" s="1571"/>
      <c r="I69" s="1741"/>
      <c r="J69" s="3758"/>
      <c r="K69" s="1326" t="s">
        <v>1393</v>
      </c>
      <c r="L69" s="1326"/>
      <c r="M69" s="302">
        <f ca="1">ROUND(SUM(M63:M68),0)</f>
        <v>1384</v>
      </c>
      <c r="N69" s="2531">
        <f ca="1">M69/M49</f>
        <v>1.6170302258467793E-2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20" t="s">
        <v>1394</v>
      </c>
      <c r="B70" s="3721"/>
      <c r="C70" s="3721"/>
      <c r="D70" s="3721"/>
      <c r="E70" s="3721"/>
      <c r="F70" s="3721"/>
      <c r="G70" s="3721"/>
      <c r="H70" s="3721"/>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99" t="s">
        <v>1375</v>
      </c>
      <c r="B71" s="3700"/>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81513</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66223</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65815</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M78</f>
        <v>67060.31</v>
      </c>
      <c r="D75" s="170" t="s">
        <v>26</v>
      </c>
      <c r="E75" s="184" t="s">
        <v>1399</v>
      </c>
      <c r="F75" s="2558" t="s">
        <v>3901</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694" t="s">
        <v>1402</v>
      </c>
      <c r="F76" s="3668"/>
      <c r="G76" s="3668"/>
      <c r="H76" s="3719"/>
      <c r="I76" s="1814"/>
      <c r="J76" s="1812"/>
      <c r="K76" s="1812"/>
      <c r="L76" s="3505" t="s">
        <v>3900</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1948</v>
      </c>
      <c r="D77" s="2561">
        <f>'数据-取费表'!B48+'数据-取费表'!B49</f>
        <v>3.0499999999999999E-2</v>
      </c>
      <c r="E77" s="2316" t="s">
        <v>1404</v>
      </c>
      <c r="F77" s="186"/>
      <c r="G77" s="1816" t="s">
        <v>3902</v>
      </c>
      <c r="H77" s="2324" t="str">
        <f>IF(G77="个人买卖住房","免征印花税"," ")</f>
        <v xml:space="preserve"> </v>
      </c>
      <c r="I77" s="1814"/>
      <c r="J77" s="1812"/>
      <c r="K77" s="1812"/>
      <c r="L77" s="3506">
        <v>1871794583</v>
      </c>
      <c r="M77" s="1812">
        <v>34681.870000000003</v>
      </c>
      <c r="N77" s="1812">
        <f>30860.69+31261.85</f>
        <v>62122.539999999994</v>
      </c>
      <c r="O77" s="1812">
        <f>N77+M77</f>
        <v>96804.41</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408</v>
      </c>
      <c r="D78" s="2563">
        <f>'数据-取费表'!B43</f>
        <v>5.000000000000001E-3</v>
      </c>
      <c r="E78" s="3678" t="s">
        <v>1406</v>
      </c>
      <c r="F78" s="3679"/>
      <c r="G78" s="3679"/>
      <c r="H78" s="3688"/>
      <c r="I78" s="1817"/>
      <c r="J78" s="1812"/>
      <c r="K78" s="1812"/>
      <c r="L78" s="1812"/>
      <c r="M78" s="1812">
        <f>ROUND(M77/O77*L77/10000,2)</f>
        <v>67060.31</v>
      </c>
      <c r="N78" s="1812">
        <f>L77/10000-M78</f>
        <v>120119.1483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15290</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0.23088654999018468</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3955</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4587</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3952</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3953</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20" t="s">
        <v>1410</v>
      </c>
      <c r="B83" s="3721"/>
      <c r="C83" s="3721"/>
      <c r="D83" s="3721"/>
      <c r="E83" s="3721"/>
      <c r="F83" s="3721"/>
      <c r="G83" s="3721"/>
      <c r="H83" s="3721"/>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699" t="s">
        <v>1375</v>
      </c>
      <c r="B84" s="3700"/>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81513</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408</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760" t="s">
        <v>2129</v>
      </c>
      <c r="H90" s="3761"/>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678" t="s">
        <v>1419</v>
      </c>
      <c r="F91" s="3679"/>
      <c r="G91" s="367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678" t="s">
        <v>1422</v>
      </c>
      <c r="F92" s="3679"/>
      <c r="G92" s="3679"/>
      <c r="H92" s="3688"/>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408</v>
      </c>
      <c r="D93" s="2563">
        <f>'数据-取费表'!B43</f>
        <v>5.000000000000001E-3</v>
      </c>
      <c r="E93" s="3678" t="s">
        <v>1406</v>
      </c>
      <c r="F93" s="3679"/>
      <c r="G93" s="3679"/>
      <c r="H93" s="368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689" t="s">
        <v>1426</v>
      </c>
      <c r="F94" s="3690"/>
      <c r="G94" s="3690"/>
      <c r="H94" s="3691"/>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81105</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198.78676470588235</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48520</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3954</v>
      </c>
      <c r="M98" s="725">
        <v>34649.54</v>
      </c>
    </row>
    <row r="99" spans="1:35" ht="21.75" customHeight="1" thickBot="1">
      <c r="A99" s="1794" t="s">
        <v>1427</v>
      </c>
      <c r="B99" s="1741"/>
      <c r="C99" s="1741"/>
      <c r="D99" s="1741"/>
      <c r="E99" s="1572"/>
      <c r="F99" s="1572"/>
      <c r="G99" s="1572"/>
      <c r="H99" s="1571"/>
      <c r="I99" s="129"/>
    </row>
    <row r="100" spans="1:35" ht="18.75" customHeight="1">
      <c r="A100" s="3662" t="s">
        <v>1428</v>
      </c>
      <c r="B100" s="3663"/>
      <c r="C100" s="3663"/>
      <c r="D100" s="3680"/>
      <c r="E100" s="3663" t="s">
        <v>1429</v>
      </c>
      <c r="F100" s="3663"/>
      <c r="G100" s="3663"/>
      <c r="H100" s="3680"/>
      <c r="I100" s="129"/>
    </row>
    <row r="101" spans="1:35" ht="18.75" customHeight="1">
      <c r="A101" s="3741" t="s">
        <v>1430</v>
      </c>
      <c r="B101" s="3742"/>
      <c r="C101" s="2571" t="str">
        <f>C4</f>
        <v>成本法</v>
      </c>
      <c r="D101" s="2572" t="str">
        <f>D4</f>
        <v>收益法（汇总）</v>
      </c>
      <c r="E101" s="3755" t="s">
        <v>1431</v>
      </c>
      <c r="F101" s="3712"/>
      <c r="G101" s="1821" t="s">
        <v>1432</v>
      </c>
      <c r="H101" s="2581">
        <f ca="1">H118</f>
        <v>87324</v>
      </c>
      <c r="I101" s="129"/>
    </row>
    <row r="102" spans="1:35" ht="18.75" customHeight="1">
      <c r="A102" s="3714" t="s">
        <v>1433</v>
      </c>
      <c r="B102" s="2570" t="s">
        <v>1432</v>
      </c>
      <c r="C102" s="2571">
        <f ca="1">IF(D32="楼面单价",ROUND(C19,0),C19)</f>
        <v>84504</v>
      </c>
      <c r="D102" s="2572">
        <f ca="1">IF(D32="楼面单价",ROUND(D19,0),D19)</f>
        <v>90143</v>
      </c>
      <c r="E102" s="3755"/>
      <c r="F102" s="3712"/>
      <c r="G102" s="1821" t="s">
        <v>1434</v>
      </c>
      <c r="H102" s="2541">
        <f ca="1">I118</f>
        <v>25173</v>
      </c>
      <c r="I102" s="129"/>
    </row>
    <row r="103" spans="1:35" ht="42.75" customHeight="1">
      <c r="A103" s="3714"/>
      <c r="B103" s="2570" t="s">
        <v>1434</v>
      </c>
      <c r="C103" s="2573">
        <f ca="1">C20</f>
        <v>24360</v>
      </c>
      <c r="D103" s="2574">
        <f ca="1">D20</f>
        <v>25985</v>
      </c>
      <c r="E103" s="3749" t="s">
        <v>1435</v>
      </c>
      <c r="F103" s="3750"/>
      <c r="G103" s="1822" t="s">
        <v>1436</v>
      </c>
      <c r="H103" s="2581">
        <f>IF(D36="正常操作",H104+H105+H106,H105+H106)</f>
        <v>0</v>
      </c>
      <c r="I103" s="129"/>
    </row>
    <row r="104" spans="1:35" ht="18.75" customHeight="1">
      <c r="A104" s="3714" t="s">
        <v>1437</v>
      </c>
      <c r="B104" s="2575" t="s">
        <v>1432</v>
      </c>
      <c r="C104" s="2576">
        <f ca="1">H118</f>
        <v>87324</v>
      </c>
      <c r="D104" s="2577"/>
      <c r="E104" s="1668" t="s">
        <v>1438</v>
      </c>
      <c r="F104" s="1660"/>
      <c r="G104" s="1822" t="s">
        <v>1436</v>
      </c>
      <c r="H104" s="2582">
        <f>IF(D36="同一抵押权人同一抵押物续贷",C36&amp;"（续贷，未扣减，详见特别提示）",C36)</f>
        <v>0</v>
      </c>
      <c r="I104" s="129"/>
    </row>
    <row r="105" spans="1:35" ht="18.75" customHeight="1" thickBot="1">
      <c r="A105" s="3715"/>
      <c r="B105" s="2578" t="s">
        <v>1434</v>
      </c>
      <c r="C105" s="2579">
        <f ca="1">I118</f>
        <v>25173</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11" t="str">
        <f>IF(项目基本情况!E8="已注销","——","3.房地产抵押价值")</f>
        <v>3.房地产抵押价值</v>
      </c>
      <c r="F107" s="3712"/>
      <c r="G107" s="1821" t="s">
        <v>1432</v>
      </c>
      <c r="H107" s="2581">
        <f ca="1">IF(E107="——","——",H101-H103)</f>
        <v>87324</v>
      </c>
      <c r="I107" s="129"/>
    </row>
    <row r="108" spans="1:35" ht="18.75" customHeight="1">
      <c r="A108" s="129"/>
      <c r="B108" s="129"/>
      <c r="C108" s="129"/>
      <c r="D108" s="129"/>
      <c r="E108" s="3711"/>
      <c r="F108" s="3712"/>
      <c r="G108" s="1821" t="s">
        <v>1434</v>
      </c>
      <c r="H108" s="2541">
        <f ca="1">IF(H107=H101,H102,ROUND(H107*10000/'数据-汇总表'!E3,0))</f>
        <v>25173</v>
      </c>
      <c r="I108" s="129"/>
    </row>
    <row r="109" spans="1:35" ht="18.75" customHeight="1">
      <c r="A109" s="129"/>
      <c r="B109" s="129"/>
      <c r="C109" s="129"/>
      <c r="D109" s="129"/>
      <c r="E109" s="3711" t="str">
        <f>IF(项目基本情况!E8="已注销及未注销","4.抵押担保权已注销时的房地产抵押价值",IF(项目基本情况!E8="已注销","3.抵押担保权已注销时的房地产抵押价值","——"))</f>
        <v>——</v>
      </c>
      <c r="F109" s="3712"/>
      <c r="G109" s="1821" t="s">
        <v>1432</v>
      </c>
      <c r="H109" s="2584" t="str">
        <f>IF(E109="——","——",H101-H105-H106)</f>
        <v>——</v>
      </c>
      <c r="I109" s="129"/>
    </row>
    <row r="110" spans="1:35" ht="18.75" customHeight="1">
      <c r="A110" s="129"/>
      <c r="B110" s="129"/>
      <c r="C110" s="129"/>
      <c r="D110" s="129"/>
      <c r="E110" s="3711"/>
      <c r="F110" s="3712"/>
      <c r="G110" s="1821" t="s">
        <v>1434</v>
      </c>
      <c r="H110" s="2541" t="str">
        <f>IF(H109="——","——",ROUND(H109*10000/'数据-汇总表'!E3,0))</f>
        <v>——</v>
      </c>
      <c r="I110" s="129"/>
    </row>
    <row r="111" spans="1:35" ht="18.75" customHeight="1">
      <c r="A111" s="129"/>
      <c r="B111" s="129"/>
      <c r="C111" s="129"/>
      <c r="D111" s="129"/>
      <c r="E111" s="3743" t="str">
        <f>IF(项目基本情况!E9="抵押净值",IF(OR(项目基本情况!E8="已注销",项目基本情况!E8="房地产抵押价值"),"4.抵押净值","5.抵押净值"),"——")</f>
        <v>4.抵押净值</v>
      </c>
      <c r="F111" s="3713"/>
      <c r="G111" s="1821" t="s">
        <v>1432</v>
      </c>
      <c r="H111" s="2581">
        <f ca="1">IF(E111="——","——",N59)</f>
        <v>79988</v>
      </c>
      <c r="I111" s="129"/>
    </row>
    <row r="112" spans="1:35" ht="18.75" customHeight="1" thickBot="1">
      <c r="A112" s="129"/>
      <c r="B112" s="129"/>
      <c r="C112" s="129"/>
      <c r="D112" s="129"/>
      <c r="E112" s="3744"/>
      <c r="F112" s="3745"/>
      <c r="G112" s="1824" t="s">
        <v>1434</v>
      </c>
      <c r="H112" s="2585">
        <f ca="1">IF(E111="——","——",N61)</f>
        <v>23058</v>
      </c>
      <c r="I112" s="129"/>
    </row>
    <row r="113" spans="1:27" ht="18.75" customHeight="1">
      <c r="A113" s="129"/>
      <c r="B113" s="129"/>
      <c r="C113" s="129"/>
      <c r="D113" s="129"/>
      <c r="E113" s="3716" t="s">
        <v>1440</v>
      </c>
      <c r="F113" s="3716"/>
      <c r="G113" s="3716"/>
      <c r="H113" s="3716"/>
      <c r="I113" s="129"/>
    </row>
    <row r="114" spans="1:27" ht="3.75" customHeight="1">
      <c r="A114" s="1741"/>
      <c r="B114" s="1741"/>
      <c r="C114" s="1741"/>
      <c r="D114" s="1741"/>
      <c r="E114" s="1803"/>
      <c r="F114" s="1803"/>
      <c r="G114" s="1803"/>
      <c r="H114" s="1803"/>
      <c r="I114" s="1741"/>
    </row>
    <row r="115" spans="1:27" ht="18.75" customHeight="1">
      <c r="A115" s="3726" t="s">
        <v>1442</v>
      </c>
      <c r="B115" s="3727"/>
      <c r="C115" s="3727"/>
      <c r="D115" s="3727"/>
      <c r="E115" s="3727"/>
      <c r="F115" s="3727"/>
      <c r="G115" s="3727"/>
      <c r="H115" s="3727"/>
      <c r="I115" s="3728"/>
    </row>
    <row r="116" spans="1:27" ht="27" customHeight="1">
      <c r="A116" s="3682" t="s">
        <v>1443</v>
      </c>
      <c r="B116" s="3717" t="s">
        <v>1444</v>
      </c>
      <c r="C116" s="3717" t="s">
        <v>1445</v>
      </c>
      <c r="D116" s="3730" t="s">
        <v>1446</v>
      </c>
      <c r="E116" s="3731"/>
      <c r="F116" s="3725" t="s">
        <v>1447</v>
      </c>
      <c r="G116" s="3725"/>
      <c r="H116" s="3682" t="s">
        <v>1448</v>
      </c>
      <c r="I116" s="3682"/>
    </row>
    <row r="117" spans="1:27" ht="18.75" customHeight="1">
      <c r="A117" s="3682"/>
      <c r="B117" s="3718"/>
      <c r="C117" s="3718"/>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34690.01</v>
      </c>
      <c r="C118" s="2321">
        <f>M19</f>
        <v>0</v>
      </c>
      <c r="D118" s="2321">
        <f ca="1">ROUND(IF(D32="总价",C34,E118*B118/10000),0)</f>
        <v>56237</v>
      </c>
      <c r="E118" s="2321">
        <f ca="1">ROUND(IF(C33="自定义",IF(D32="楼面单价",C34,D118*10000/B118),I118-G118),0)</f>
        <v>16212</v>
      </c>
      <c r="F118" s="2321">
        <f ca="1">ROUND(IF(D32="总价",C35,G118*B118/10000),0)</f>
        <v>31087</v>
      </c>
      <c r="G118" s="2321">
        <f ca="1">ROUND(IF(D32="楼面单价",C35,F118*10000/B118),0)</f>
        <v>8961</v>
      </c>
      <c r="H118" s="2321">
        <f ca="1">ROUND(IF(D32="总价",C32,I118*B118/10000),0)</f>
        <v>87324</v>
      </c>
      <c r="I118" s="2321">
        <f ca="1">ROUND(IF(D32="楼面单价",C32,H118*10000/B118),0)</f>
        <v>25173</v>
      </c>
    </row>
    <row r="119" spans="1:27" ht="18.75" customHeight="1">
      <c r="A119" s="3682" t="s">
        <v>1452</v>
      </c>
      <c r="B119" s="3682"/>
      <c r="C119" s="3682"/>
      <c r="D119" s="3722" t="str">
        <f ca="1">NUMBERSTRING(INT(D118*10000),2)&amp;"元整"</f>
        <v>伍亿陆仟贰佰叁拾柒万元整</v>
      </c>
      <c r="E119" s="3724"/>
      <c r="F119" s="3722" t="str">
        <f ca="1">NUMBERSTRING(INT(F118*10000),2)&amp;"元整"</f>
        <v>叁亿壹仟零捌拾柒万元整</v>
      </c>
      <c r="G119" s="3724"/>
      <c r="H119" s="3722" t="str">
        <f ca="1">NUMBERSTRING(INT(H118*10000),2)&amp;"元整"</f>
        <v>捌亿柒仟叁佰贰拾肆万元整</v>
      </c>
      <c r="I119" s="3724"/>
    </row>
    <row r="120" spans="1:27" ht="18.75" customHeight="1">
      <c r="A120" s="3746" t="str">
        <f>IF(项目基本情况!B9="房地产市场价值","",MID(E103,3,LEN(E103)-2))</f>
        <v>估价师知悉的法定优先受偿款</v>
      </c>
      <c r="B120" s="3747"/>
      <c r="C120" s="3748"/>
      <c r="D120" s="3746">
        <f>H103</f>
        <v>0</v>
      </c>
      <c r="E120" s="3747"/>
      <c r="F120" s="3747"/>
      <c r="G120" s="3747"/>
      <c r="H120" s="3747"/>
      <c r="I120" s="3748"/>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2" t="s">
        <v>1452</v>
      </c>
      <c r="B121" s="3723"/>
      <c r="C121" s="3724"/>
      <c r="D121" s="3722" t="str">
        <f>IF(D120=0,"零元整",NUMBERSTRING(INT(D120*10000),2)&amp;"元整")</f>
        <v>零元整</v>
      </c>
      <c r="E121" s="3723"/>
      <c r="F121" s="3723"/>
      <c r="G121" s="3723"/>
      <c r="H121" s="3723"/>
      <c r="I121" s="3724"/>
      <c r="AA121" s="725"/>
    </row>
    <row r="122" spans="1:27" ht="18.75" customHeight="1">
      <c r="A122" s="3713" t="str">
        <f>IF(项目基本情况!B9="房地产市场价值","",MID(E107,3,LEN(E107)-2))</f>
        <v>房地产抵押价值</v>
      </c>
      <c r="B122" s="3713"/>
      <c r="C122" s="3713"/>
      <c r="D122" s="3746">
        <f ca="1">H107</f>
        <v>87324</v>
      </c>
      <c r="E122" s="3747"/>
      <c r="F122" s="3747"/>
      <c r="G122" s="3747"/>
      <c r="H122" s="3747"/>
      <c r="I122" s="3748"/>
      <c r="AA122" s="725"/>
    </row>
    <row r="123" spans="1:27" ht="18.75" customHeight="1">
      <c r="A123" s="3682" t="s">
        <v>1452</v>
      </c>
      <c r="B123" s="3682"/>
      <c r="C123" s="3682"/>
      <c r="D123" s="3722" t="str">
        <f ca="1">NUMBERSTRING(INT(D122*10000),2)&amp;"元整"</f>
        <v>捌亿柒仟叁佰贰拾肆万元整</v>
      </c>
      <c r="E123" s="3723"/>
      <c r="F123" s="3723"/>
      <c r="G123" s="3723"/>
      <c r="H123" s="3723"/>
      <c r="I123" s="3724"/>
      <c r="AA123" s="725"/>
    </row>
    <row r="124" spans="1:27" ht="18.75" customHeight="1">
      <c r="A124" s="3713" t="str">
        <f>IF(项目基本情况!B9="房地产市场价值","",MID(E109,3,LEN(E109)-2))</f>
        <v/>
      </c>
      <c r="B124" s="3713"/>
      <c r="C124" s="3713"/>
      <c r="D124" s="3746" t="str">
        <f>H109</f>
        <v>——</v>
      </c>
      <c r="E124" s="3747"/>
      <c r="F124" s="3747"/>
      <c r="G124" s="3747"/>
      <c r="H124" s="3747"/>
      <c r="I124" s="3748"/>
      <c r="AA124" s="725"/>
    </row>
    <row r="125" spans="1:27" ht="18.75" customHeight="1">
      <c r="A125" s="3682" t="s">
        <v>1452</v>
      </c>
      <c r="B125" s="3682"/>
      <c r="C125" s="3682"/>
      <c r="D125" s="3722" t="e">
        <f>NUMBERSTRING(INT(D124*10000),2)&amp;"元整"</f>
        <v>#VALUE!</v>
      </c>
      <c r="E125" s="3723"/>
      <c r="F125" s="3723"/>
      <c r="G125" s="3723"/>
      <c r="H125" s="3723"/>
      <c r="I125" s="3724"/>
      <c r="AA125" s="725"/>
    </row>
    <row r="126" spans="1:27" ht="18.75" customHeight="1">
      <c r="A126" s="3713" t="str">
        <f>IF(项目基本情况!B9="房地产市场价值","",MID(E111,3,LEN(E111)-2))</f>
        <v>抵押净值</v>
      </c>
      <c r="B126" s="3713"/>
      <c r="C126" s="3713"/>
      <c r="D126" s="3746">
        <f ca="1">H111</f>
        <v>79988</v>
      </c>
      <c r="E126" s="3747"/>
      <c r="F126" s="3747"/>
      <c r="G126" s="3747"/>
      <c r="H126" s="3747"/>
      <c r="I126" s="3748"/>
      <c r="AA126" s="725"/>
    </row>
    <row r="127" spans="1:27" ht="18.75" customHeight="1">
      <c r="A127" s="3682" t="s">
        <v>1452</v>
      </c>
      <c r="B127" s="3682"/>
      <c r="C127" s="3682"/>
      <c r="D127" s="3722" t="str">
        <f ca="1">NUMBERSTRING(INT(D126*10000),2)&amp;"元整"</f>
        <v>柒亿玖仟玖佰捌拾捌万元整</v>
      </c>
      <c r="E127" s="3723"/>
      <c r="F127" s="3723"/>
      <c r="G127" s="3723"/>
      <c r="H127" s="3723"/>
      <c r="I127" s="3724"/>
      <c r="AA127" s="725"/>
    </row>
    <row r="128" spans="1:27" ht="21.75" customHeight="1">
      <c r="A128" s="3729" t="s">
        <v>1453</v>
      </c>
      <c r="B128" s="3729"/>
      <c r="C128" s="3729"/>
      <c r="D128" s="3729"/>
      <c r="E128" s="3729"/>
      <c r="F128" s="3729"/>
      <c r="G128" s="3729"/>
      <c r="H128" s="3729"/>
      <c r="I128" s="3729"/>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79" t="str">
        <f>项目基本情况!B1</f>
        <v>北京市房地产抵押价值预评估</v>
      </c>
      <c r="C37" s="3579"/>
      <c r="D37" s="3579"/>
      <c r="E37" s="3579"/>
      <c r="F37" s="3579"/>
      <c r="G37" s="3579"/>
      <c r="H37" s="3579"/>
      <c r="I37" s="3579"/>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8</v>
      </c>
    </row>
    <row r="2" spans="1:9" s="200" customFormat="1" ht="18" customHeight="1">
      <c r="A2" s="201" t="s">
        <v>1462</v>
      </c>
      <c r="B2" s="202">
        <f ca="1">IF(D2="——",C52,C52-E2)</f>
        <v>84504</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24360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39537</v>
      </c>
      <c r="D5" s="211" t="s">
        <v>1469</v>
      </c>
      <c r="E5" s="212" t="s">
        <v>1470</v>
      </c>
      <c r="F5" s="212" t="s">
        <v>1471</v>
      </c>
      <c r="G5" s="213"/>
    </row>
    <row r="6" spans="1:9" s="214" customFormat="1" ht="13.5" customHeight="1">
      <c r="A6" s="773" t="s">
        <v>1472</v>
      </c>
      <c r="B6" s="215" t="s">
        <v>1473</v>
      </c>
      <c r="C6" s="216">
        <f>'土地比较法-住宅、综合'!B2</f>
        <v>38367</v>
      </c>
      <c r="D6" s="217"/>
      <c r="E6" s="218"/>
      <c r="F6" s="218"/>
      <c r="G6" s="219"/>
    </row>
    <row r="7" spans="1:9" s="214" customFormat="1" ht="13.5" customHeight="1">
      <c r="A7" s="773" t="s">
        <v>1474</v>
      </c>
      <c r="B7" s="215" t="s">
        <v>1475</v>
      </c>
      <c r="C7" s="220">
        <f>ROUND(C6*F7,0)</f>
        <v>1170</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694</v>
      </c>
      <c r="D10" s="840">
        <f ca="1">IF(B1="",'数据-汇总表'!E6,IF(INDIRECT("'数据-取费表'!c"&amp;$G$1)="住宅",INDIRECT("'数据-取费表'!s"&amp;$G$1),INDIRECT("'数据-取费表'!k"&amp;$G$1)+INDIRECT("'数据-取费表'!s"&amp;$G$1)))</f>
        <v>34690.01</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34690.01</v>
      </c>
      <c r="E19" s="211">
        <f>'数据-取费表'!B31</f>
        <v>200</v>
      </c>
      <c r="F19" s="231"/>
      <c r="G19" s="1850" t="s">
        <v>3368</v>
      </c>
    </row>
    <row r="20" spans="1:7" s="214" customFormat="1" ht="13.5" customHeight="1">
      <c r="A20" s="255" t="s">
        <v>1493</v>
      </c>
      <c r="B20" s="210" t="s">
        <v>1494</v>
      </c>
      <c r="C20" s="232">
        <f>ROUND((C5+C19)*F20,0)</f>
        <v>1186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2816</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2775</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41</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6108</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ROUND((C5+C19+C20)*F27*'数据-取费表'!B21/'数据-取费表'!B20,0)</f>
        <v>6108</v>
      </c>
      <c r="D28" s="235"/>
      <c r="E28" s="236"/>
      <c r="F28" s="246"/>
      <c r="G28" s="247"/>
    </row>
    <row r="29" spans="1:7" s="214" customFormat="1" ht="13.5" customHeight="1">
      <c r="A29" s="775"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54432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22710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20575</v>
      </c>
      <c r="D34" s="217"/>
      <c r="E34" s="220"/>
      <c r="F34" s="257">
        <f ca="1">IF('数据-取费表'!B24=0,1,IF(B1="",'数据-取费表'!N16,INDIRECT("'数据-取费表'!n"&amp;$G$1)))</f>
        <v>1</v>
      </c>
      <c r="G34" s="219" t="s">
        <v>1526</v>
      </c>
    </row>
    <row r="35" spans="1:7" ht="13.5" customHeight="1">
      <c r="A35" s="775" t="s">
        <v>351</v>
      </c>
      <c r="B35" s="215" t="s">
        <v>1527</v>
      </c>
      <c r="C35" s="220">
        <f ca="1">ROUND(C34*F35,0)</f>
        <v>1029</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694</v>
      </c>
      <c r="D37" s="217">
        <f ca="1">D19</f>
        <v>34690.01</v>
      </c>
      <c r="E37" s="249">
        <f>'数据-取费表'!B35</f>
        <v>200</v>
      </c>
      <c r="F37" s="259"/>
      <c r="G37" s="261" t="s">
        <v>1532</v>
      </c>
    </row>
    <row r="38" spans="1:7" ht="13.5" customHeight="1">
      <c r="A38" s="775" t="s">
        <v>354</v>
      </c>
      <c r="B38" s="215" t="s">
        <v>1533</v>
      </c>
      <c r="C38" s="220">
        <f ca="1">ROUND(C34*F38,0)</f>
        <v>412</v>
      </c>
      <c r="D38" s="220"/>
      <c r="E38" s="220"/>
      <c r="F38" s="259">
        <f>'数据-取费表'!B36</f>
        <v>0.02</v>
      </c>
      <c r="G38" s="219" t="s">
        <v>1528</v>
      </c>
    </row>
    <row r="39" spans="1:7" s="214" customFormat="1" ht="13.5" customHeight="1">
      <c r="A39" s="255" t="s">
        <v>1534</v>
      </c>
      <c r="B39" s="210" t="s">
        <v>1535</v>
      </c>
      <c r="C39" s="232">
        <f ca="1">ROUND(C33*F20,0)</f>
        <v>681</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783</v>
      </c>
      <c r="D42" s="238"/>
      <c r="E42" s="238"/>
      <c r="F42" s="239"/>
      <c r="G42" s="3762" t="s">
        <v>1544</v>
      </c>
    </row>
    <row r="43" spans="1:7" ht="13.5" customHeight="1">
      <c r="A43" s="775" t="s">
        <v>347</v>
      </c>
      <c r="B43" s="215" t="s">
        <v>1545</v>
      </c>
      <c r="C43" s="238">
        <f ca="1">ROUND(IF('数据-取费表'!B22&lt;=1,C39*F22*'数据-取费表'!B21/2,C39*(POWER((1+F22),'数据-取费表'!B21/2)-1)),0)</f>
        <v>23</v>
      </c>
      <c r="D43" s="238"/>
      <c r="E43" s="238"/>
      <c r="F43" s="239"/>
      <c r="G43" s="3763"/>
    </row>
    <row r="44" spans="1:7" ht="13.5" customHeight="1">
      <c r="A44" s="775" t="s">
        <v>348</v>
      </c>
      <c r="B44" s="215" t="s">
        <v>1546</v>
      </c>
      <c r="C44" s="238">
        <f ca="1">ROUND(IF('数据-取费表'!B22&lt;=1,C40*F22*'数据-取费表'!B21/2,C40*(POWER((1+F22),'数据-取费表'!B21/2)-1)),4)</f>
        <v>1E-3</v>
      </c>
      <c r="D44" s="238"/>
      <c r="E44" s="238"/>
      <c r="F44" s="239"/>
      <c r="G44" s="3764"/>
    </row>
    <row r="45" spans="1:7" s="214" customFormat="1" ht="13.5" customHeight="1">
      <c r="A45" s="255" t="s">
        <v>1547</v>
      </c>
      <c r="B45" s="244" t="s">
        <v>1513</v>
      </c>
      <c r="C45" s="245">
        <f ca="1">C46</f>
        <v>3509</v>
      </c>
      <c r="D45" s="235">
        <f ca="1">C47</f>
        <v>4.4999999999999997E-3</v>
      </c>
      <c r="E45" s="236" t="s">
        <v>1539</v>
      </c>
      <c r="F45" s="246">
        <f ca="1">F27</f>
        <v>0.15</v>
      </c>
      <c r="G45" s="247" t="s">
        <v>1548</v>
      </c>
    </row>
    <row r="46" spans="1:7" s="214" customFormat="1" ht="13.5" customHeight="1">
      <c r="A46" s="775" t="s">
        <v>346</v>
      </c>
      <c r="B46" s="248" t="s">
        <v>1549</v>
      </c>
      <c r="C46" s="249">
        <f ca="1">ROUND((C33+C39)*F27,0)</f>
        <v>3509</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30376</v>
      </c>
      <c r="D49" s="232"/>
      <c r="E49" s="232"/>
      <c r="F49" s="264"/>
      <c r="G49" s="234" t="s">
        <v>1554</v>
      </c>
    </row>
    <row r="50" spans="1:7" s="258" customFormat="1" ht="24">
      <c r="A50" s="255" t="s">
        <v>1555</v>
      </c>
      <c r="B50" s="210" t="s">
        <v>1556</v>
      </c>
      <c r="C50" s="232"/>
      <c r="D50" s="232"/>
      <c r="E50" s="232"/>
      <c r="F50" s="264">
        <f>IF('数据-取费表'!B24=0,'数据-取费表'!N16,1)</f>
        <v>0.99</v>
      </c>
      <c r="G50" s="247" t="s">
        <v>1557</v>
      </c>
    </row>
    <row r="51" spans="1:7" ht="16.5" customHeight="1">
      <c r="A51" s="255" t="s">
        <v>1558</v>
      </c>
      <c r="B51" s="210" t="s">
        <v>1559</v>
      </c>
      <c r="C51" s="232">
        <f ca="1">ROUND(C49*F50,0)</f>
        <v>30072</v>
      </c>
      <c r="D51" s="232"/>
      <c r="E51" s="232"/>
      <c r="F51" s="264"/>
      <c r="G51" s="234" t="s">
        <v>1560</v>
      </c>
    </row>
    <row r="52" spans="1:7" s="208" customFormat="1" ht="16.5" thickBot="1">
      <c r="A52" s="265" t="s">
        <v>1561</v>
      </c>
      <c r="B52" s="266"/>
      <c r="C52" s="267">
        <f ca="1">C31+C51</f>
        <v>84504</v>
      </c>
      <c r="D52" s="266"/>
      <c r="E52" s="266"/>
      <c r="F52" s="266"/>
      <c r="G52" s="268"/>
    </row>
    <row r="55" spans="1:7" ht="15">
      <c r="B55" s="270" t="s">
        <v>1562</v>
      </c>
      <c r="C55" s="271"/>
    </row>
    <row r="56" spans="1:7">
      <c r="B56" s="273" t="s">
        <v>802</v>
      </c>
      <c r="C56" s="275">
        <f ca="1">1-C57</f>
        <v>0.64400000000000002</v>
      </c>
    </row>
    <row r="57" spans="1:7">
      <c r="B57" s="273" t="s">
        <v>803</v>
      </c>
      <c r="C57" s="274">
        <f ca="1">ROUND(C51/C52,3)</f>
        <v>0.35599999999999998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8</v>
      </c>
      <c r="H1" s="1056" t="str">
        <f>IF(ISERROR(FIND("住宅",B1)),"非住宅","住宅")</f>
        <v>非住宅</v>
      </c>
    </row>
    <row r="2" spans="1:8" s="200" customFormat="1" ht="18" customHeight="1">
      <c r="A2" s="201" t="s">
        <v>1462</v>
      </c>
      <c r="B2" s="3344">
        <f ca="1">ROUND(IF(D2="——",C52/10000,C52/10000-E2),4)</f>
        <v>31027.462100000001</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8944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6938002</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6938002</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6938002</v>
      </c>
      <c r="D10" s="840">
        <f ca="1">IF(B1="",'数据-汇总表'!E6,IF(INDIRECT("'数据-取费表'!c"&amp;$G$1)="住宅",INDIRECT("'数据-取费表'!s"&amp;$G$1),INDIRECT("'数据-取费表'!k"&amp;$G$1)+INDIRECT("'数据-取费表'!s"&amp;$G$1)))</f>
        <v>34690.01</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34690.01</v>
      </c>
      <c r="E19" s="211">
        <f>'数据-取费表'!B31</f>
        <v>200</v>
      </c>
      <c r="F19" s="231"/>
      <c r="G19" s="1850" t="s">
        <v>3368</v>
      </c>
    </row>
    <row r="20" spans="1:7" s="214" customFormat="1" ht="13.5" customHeight="1">
      <c r="A20" s="255" t="s">
        <v>1574</v>
      </c>
      <c r="B20" s="210" t="s">
        <v>1575</v>
      </c>
      <c r="C20" s="232">
        <f ca="1">ROUND((C5+C19)*F20,0)</f>
        <v>208140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494161</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486980</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7181</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1071921</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ROUND((C5+C19+C20)*F27,0)</f>
        <v>1071921</v>
      </c>
      <c r="D28" s="235"/>
      <c r="E28" s="236"/>
      <c r="F28" s="246"/>
      <c r="G28" s="247"/>
    </row>
    <row r="29" spans="1:7" s="214" customFormat="1" ht="13.5" customHeight="1">
      <c r="A29" s="775"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9551830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227091727</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205751145</v>
      </c>
      <c r="D34" s="217"/>
      <c r="E34" s="220"/>
      <c r="F34" s="257"/>
      <c r="G34" s="219"/>
    </row>
    <row r="35" spans="1:7" ht="13.5" customHeight="1">
      <c r="A35" s="775" t="s">
        <v>351</v>
      </c>
      <c r="B35" s="215" t="s">
        <v>1527</v>
      </c>
      <c r="C35" s="220">
        <f ca="1">ROUND(C34*F35,0)</f>
        <v>10287557</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6938002</v>
      </c>
      <c r="D37" s="217">
        <f ca="1">D19</f>
        <v>34690.01</v>
      </c>
      <c r="E37" s="249">
        <f>'数据-取费表'!B35</f>
        <v>200</v>
      </c>
      <c r="F37" s="259"/>
      <c r="G37" s="261"/>
    </row>
    <row r="38" spans="1:7" ht="13.5" customHeight="1">
      <c r="A38" s="775" t="s">
        <v>354</v>
      </c>
      <c r="B38" s="215" t="s">
        <v>1533</v>
      </c>
      <c r="C38" s="220">
        <f ca="1">ROUND(C34*F38,0)</f>
        <v>4115023</v>
      </c>
      <c r="D38" s="220"/>
      <c r="E38" s="220"/>
      <c r="F38" s="259">
        <f>'数据-取费表'!B36</f>
        <v>0.02</v>
      </c>
      <c r="G38" s="219" t="s">
        <v>1528</v>
      </c>
    </row>
    <row r="39" spans="1:7" s="214" customFormat="1" ht="13.5" customHeight="1">
      <c r="A39" s="255" t="s">
        <v>1534</v>
      </c>
      <c r="B39" s="210" t="s">
        <v>1535</v>
      </c>
      <c r="C39" s="232">
        <f ca="1">ROUND(C33*F20,0)</f>
        <v>6812752</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8069705</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7834665</v>
      </c>
      <c r="D42" s="238"/>
      <c r="E42" s="238"/>
      <c r="F42" s="239"/>
      <c r="G42" s="3762" t="s">
        <v>1591</v>
      </c>
    </row>
    <row r="43" spans="1:7" ht="13.5" customHeight="1">
      <c r="A43" s="775" t="s">
        <v>347</v>
      </c>
      <c r="B43" s="215" t="s">
        <v>1545</v>
      </c>
      <c r="C43" s="238">
        <f ca="1">ROUND(IF('数据-取费表'!B22&lt;=1,C39*F22*'数据-取费表'!B20/2,C39*(POWER((1+F22),'数据-取费表'!B20/2)-1)),0)</f>
        <v>235040</v>
      </c>
      <c r="D43" s="238"/>
      <c r="E43" s="238"/>
      <c r="F43" s="239"/>
      <c r="G43" s="3763"/>
    </row>
    <row r="44" spans="1:7" ht="13.5" customHeight="1">
      <c r="A44" s="775" t="s">
        <v>348</v>
      </c>
      <c r="B44" s="215" t="s">
        <v>1546</v>
      </c>
      <c r="C44" s="238">
        <f ca="1">ROUND(IF('数据-取费表'!B22&lt;=1,C40*F22*'数据-取费表'!B20/2,C40*(POWER((1+F22),'数据-取费表'!B20/2)-1)),4)</f>
        <v>1E-3</v>
      </c>
      <c r="D44" s="238"/>
      <c r="E44" s="238"/>
      <c r="F44" s="239"/>
      <c r="G44" s="3764"/>
    </row>
    <row r="45" spans="1:7" s="214" customFormat="1" ht="13.5" customHeight="1">
      <c r="A45" s="255" t="s">
        <v>1547</v>
      </c>
      <c r="B45" s="244" t="s">
        <v>1513</v>
      </c>
      <c r="C45" s="245">
        <f ca="1">C46</f>
        <v>35085672</v>
      </c>
      <c r="D45" s="235">
        <f ca="1">C47</f>
        <v>4.4999999999999997E-3</v>
      </c>
      <c r="E45" s="236" t="s">
        <v>1539</v>
      </c>
      <c r="F45" s="246">
        <f ca="1">F27</f>
        <v>0.15</v>
      </c>
      <c r="G45" s="247" t="s">
        <v>1548</v>
      </c>
    </row>
    <row r="46" spans="1:7" s="214" customFormat="1" ht="13.5" customHeight="1">
      <c r="A46" s="775" t="s">
        <v>346</v>
      </c>
      <c r="B46" s="248" t="s">
        <v>1549</v>
      </c>
      <c r="C46" s="249">
        <f ca="1">ROUND((C33+C39)*F27,0)</f>
        <v>35085672</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303760395</v>
      </c>
      <c r="D49" s="232"/>
      <c r="E49" s="232"/>
      <c r="F49" s="264"/>
      <c r="G49" s="234" t="s">
        <v>1554</v>
      </c>
    </row>
    <row r="50" spans="1:7" s="258" customFormat="1">
      <c r="A50" s="255" t="s">
        <v>1555</v>
      </c>
      <c r="B50" s="210" t="s">
        <v>1556</v>
      </c>
      <c r="C50" s="232"/>
      <c r="D50" s="232"/>
      <c r="E50" s="232"/>
      <c r="F50" s="264">
        <f>IF('数据-取费表'!B24=0,'数据-取费表'!N16,1)</f>
        <v>0.99</v>
      </c>
      <c r="G50" s="247"/>
    </row>
    <row r="51" spans="1:7" ht="16.5" customHeight="1">
      <c r="A51" s="255" t="s">
        <v>1558</v>
      </c>
      <c r="B51" s="210" t="s">
        <v>1593</v>
      </c>
      <c r="C51" s="232">
        <f ca="1">ROUND(C49*F50,0)</f>
        <v>300722791</v>
      </c>
      <c r="D51" s="232"/>
      <c r="E51" s="232"/>
      <c r="F51" s="264"/>
      <c r="G51" s="234" t="s">
        <v>1560</v>
      </c>
    </row>
    <row r="52" spans="1:7" s="208" customFormat="1" ht="16.5" thickBot="1">
      <c r="A52" s="265" t="s">
        <v>1561</v>
      </c>
      <c r="B52" s="266"/>
      <c r="C52" s="267">
        <f ca="1">C31+C51</f>
        <v>310274621</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8</v>
      </c>
    </row>
    <row r="2" spans="1:33" ht="18" customHeight="1">
      <c r="A2" s="201" t="s">
        <v>1462</v>
      </c>
      <c r="B2" s="204">
        <f ca="1">C32</f>
        <v>-799</v>
      </c>
      <c r="C2" s="276" t="s">
        <v>1595</v>
      </c>
      <c r="D2" s="276"/>
      <c r="E2" s="2792"/>
      <c r="F2" s="2792"/>
      <c r="G2" s="2792"/>
      <c r="H2" s="2792"/>
      <c r="I2" s="2792"/>
      <c r="J2" s="2792"/>
      <c r="K2" s="2792"/>
    </row>
    <row r="3" spans="1:33" ht="18" customHeight="1" thickBot="1">
      <c r="A3" s="203" t="s">
        <v>1464</v>
      </c>
      <c r="B3" s="204">
        <f ca="1">ROUND(B2*10000/IF(C1="",'数据-汇总表'!E3,INDIRECT("'数据-取费表'!K"&amp;$K$1)),0)</f>
        <v>-230</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34690.01</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34690.01</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694</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694</v>
      </c>
      <c r="D20" s="841">
        <f ca="1">IF(C1="",'数据-汇总表'!E6,IF(INDIRECT("'数据-取费表'!c"&amp;$K$1)="住宅",INDIRECT("'数据-取费表'!s"&amp;$K$1),INDIRECT("'数据-取费表'!k"&amp;$K$1)+INDIRECT("'数据-取费表'!s"&amp;$K$1)))</f>
        <v>34690.01</v>
      </c>
      <c r="E20" s="21">
        <f>'数据-取费表'!B28</f>
        <v>200</v>
      </c>
      <c r="F20" s="799"/>
      <c r="G20" s="12"/>
      <c r="H20" s="804"/>
      <c r="I20" s="804"/>
      <c r="J20" s="804"/>
      <c r="K20" s="805"/>
    </row>
    <row r="21" spans="1:33" s="798" customFormat="1" ht="13.5" customHeight="1">
      <c r="A21" s="785" t="s">
        <v>357</v>
      </c>
      <c r="B21" s="808" t="s">
        <v>1628</v>
      </c>
      <c r="C21" s="809">
        <f ca="1">C16+C17+C18</f>
        <v>694</v>
      </c>
      <c r="D21" s="810"/>
      <c r="E21" s="281"/>
      <c r="F21" s="281"/>
      <c r="G21" s="131" t="s">
        <v>1629</v>
      </c>
      <c r="H21" s="802"/>
      <c r="I21" s="802"/>
      <c r="J21" s="802"/>
      <c r="K21" s="803"/>
    </row>
    <row r="22" spans="1:33" s="798" customFormat="1" ht="13.5" customHeight="1">
      <c r="A22" s="785" t="s">
        <v>1601</v>
      </c>
      <c r="B22" s="808" t="s">
        <v>1630</v>
      </c>
      <c r="C22" s="809">
        <f ca="1">ROUND(C21*F22,0)</f>
        <v>21</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107</v>
      </c>
      <c r="D28" s="280">
        <f ca="1">C29</f>
        <v>0</v>
      </c>
      <c r="E28" s="282" t="s">
        <v>12</v>
      </c>
      <c r="F28" s="288">
        <f ca="1">IF(C1="",'数据-取费表'!Q16,INDIRECT("'数据-取费表'!q"&amp;$K$1))</f>
        <v>0.15</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107</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-799</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K27" sqref="K2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38367</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11060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69" t="s">
        <v>1770</v>
      </c>
      <c r="D4" s="3781"/>
      <c r="E4" s="3782" t="s">
        <v>1771</v>
      </c>
      <c r="F4" s="3783"/>
      <c r="G4" s="3769" t="s">
        <v>1772</v>
      </c>
      <c r="H4" s="3781"/>
      <c r="I4" s="3769" t="s">
        <v>1773</v>
      </c>
      <c r="J4" s="3781"/>
      <c r="K4" s="559" t="s">
        <v>1774</v>
      </c>
      <c r="L4" s="2701"/>
      <c r="M4" s="2702"/>
      <c r="N4" s="2702"/>
      <c r="O4" s="2702"/>
      <c r="P4" s="3784" t="s">
        <v>1775</v>
      </c>
      <c r="Q4" s="3785"/>
      <c r="R4" s="3790" t="s">
        <v>1771</v>
      </c>
      <c r="S4" s="3791"/>
      <c r="T4" s="3790" t="s">
        <v>1772</v>
      </c>
      <c r="U4" s="3791"/>
      <c r="V4" s="3777" t="s">
        <v>1773</v>
      </c>
      <c r="W4" s="3777"/>
      <c r="X4" s="1349"/>
      <c r="Y4" s="3790" t="s">
        <v>1775</v>
      </c>
      <c r="Z4" s="3791"/>
      <c r="AA4" s="3778" t="s">
        <v>1771</v>
      </c>
      <c r="AB4" s="3779" t="s">
        <v>1772</v>
      </c>
      <c r="AC4" s="3778" t="s">
        <v>1773</v>
      </c>
    </row>
    <row r="5" spans="1:30" ht="48.75" customHeight="1">
      <c r="A5" s="358"/>
      <c r="B5" s="359"/>
      <c r="C5" s="3803" t="str">
        <f>资料!B7</f>
        <v>DX00-0102-6002、6009、6015地块F3其他多功能用地</v>
      </c>
      <c r="D5" s="3804"/>
      <c r="E5" s="3807" t="str">
        <f>土地案例!A2</f>
        <v>北京经济技术开发区亦庄新城0303街区C14C-3地块F3其他类多功能用地</v>
      </c>
      <c r="F5" s="3808"/>
      <c r="G5" s="3798" t="str">
        <f>土地案例!A3</f>
        <v>北京大兴国际机场临空经济区 DX12-0105-6006、6009 地块F3其他类多功能用地</v>
      </c>
      <c r="H5" s="3799"/>
      <c r="I5" s="3798" t="str">
        <f>土地案例!A4</f>
        <v>北京经济技术开发区亦庄新城0902街区JG01-07地块F3其他类多功能用地</v>
      </c>
      <c r="J5" s="3799"/>
      <c r="K5" s="559"/>
      <c r="L5" s="2701"/>
      <c r="M5" s="2702"/>
      <c r="N5" s="2702"/>
      <c r="O5" s="2702"/>
      <c r="P5" s="3786"/>
      <c r="Q5" s="3787"/>
      <c r="R5" s="3792"/>
      <c r="S5" s="3793"/>
      <c r="T5" s="3792"/>
      <c r="U5" s="3793"/>
      <c r="V5" s="3777"/>
      <c r="W5" s="3777"/>
      <c r="X5" s="1349"/>
      <c r="Y5" s="3792"/>
      <c r="Z5" s="3793"/>
      <c r="AA5" s="3779"/>
      <c r="AB5" s="3779"/>
      <c r="AC5" s="3779"/>
    </row>
    <row r="6" spans="1:30" ht="15.75" thickBot="1">
      <c r="A6" s="360"/>
      <c r="B6" s="361"/>
      <c r="C6" s="3796" t="s">
        <v>1677</v>
      </c>
      <c r="D6" s="3797"/>
      <c r="E6" s="3805" t="s">
        <v>1677</v>
      </c>
      <c r="F6" s="3806"/>
      <c r="G6" s="3796" t="s">
        <v>1677</v>
      </c>
      <c r="H6" s="3797"/>
      <c r="I6" s="3796" t="s">
        <v>1677</v>
      </c>
      <c r="J6" s="3797"/>
      <c r="K6" s="559" t="s">
        <v>1678</v>
      </c>
      <c r="L6" s="2701"/>
      <c r="M6" s="2702"/>
      <c r="N6" s="2702"/>
      <c r="O6" s="2702"/>
      <c r="P6" s="3788"/>
      <c r="Q6" s="3789"/>
      <c r="R6" s="3792"/>
      <c r="S6" s="3793"/>
      <c r="T6" s="3794"/>
      <c r="U6" s="3795"/>
      <c r="V6" s="3777"/>
      <c r="W6" s="3777"/>
      <c r="X6" s="1349"/>
      <c r="Y6" s="3794"/>
      <c r="Z6" s="3795"/>
      <c r="AA6" s="3780"/>
      <c r="AB6" s="3780"/>
      <c r="AC6" s="3780"/>
    </row>
    <row r="7" spans="1:30" s="108" customFormat="1" ht="15.75" thickBot="1">
      <c r="A7" s="362" t="s">
        <v>1679</v>
      </c>
      <c r="B7" s="363"/>
      <c r="C7" s="364">
        <f>'数据-取费表'!B2</f>
        <v>45429</v>
      </c>
      <c r="D7" s="365">
        <v>100</v>
      </c>
      <c r="E7" s="366">
        <f>土地案例!AC2</f>
        <v>44735.000497685185</v>
      </c>
      <c r="F7" s="367">
        <f>SUMIF(69:69,YEAR(E7)&amp;"-"&amp;INT((MONTH(E7)+2)/3),70:70)</f>
        <v>96</v>
      </c>
      <c r="G7" s="1966">
        <f>土地案例!AC3</f>
        <v>44680.000497685185</v>
      </c>
      <c r="H7" s="365">
        <f>SUMIF(69:69,YEAR(G7)&amp;"-"&amp;INT((MONTH(G7)+2)/3),70:70)</f>
        <v>96</v>
      </c>
      <c r="I7" s="1966">
        <f>土地案例!AC4</f>
        <v>44600.000497685185</v>
      </c>
      <c r="J7" s="365">
        <f>SUMIF(69:69,YEAR(I7)&amp;"-"&amp;INT((MONTH(I7)+2)/3),70:70)</f>
        <v>95.5</v>
      </c>
      <c r="K7" s="560"/>
      <c r="L7" s="2703"/>
      <c r="M7" s="2704"/>
      <c r="N7" s="2704"/>
      <c r="O7" s="2704"/>
      <c r="P7" s="3800" t="s">
        <v>1680</v>
      </c>
      <c r="Q7" s="3802"/>
      <c r="R7" s="701" t="s">
        <v>14</v>
      </c>
      <c r="S7" s="702">
        <f t="shared" ref="S7:S15" si="0">F7</f>
        <v>96</v>
      </c>
      <c r="T7" s="701" t="s">
        <v>14</v>
      </c>
      <c r="U7" s="702">
        <f t="shared" ref="U7:U15" si="1">H7</f>
        <v>96</v>
      </c>
      <c r="V7" s="701" t="s">
        <v>14</v>
      </c>
      <c r="W7" s="702">
        <f t="shared" ref="W7:W15" si="2">J7</f>
        <v>95.5</v>
      </c>
      <c r="X7" s="703"/>
      <c r="Y7" s="3800" t="s">
        <v>1680</v>
      </c>
      <c r="Z7" s="3801"/>
      <c r="AA7" s="704">
        <f>D7/F7</f>
        <v>1.0416666666666667</v>
      </c>
      <c r="AB7" s="704">
        <f>D7/H7</f>
        <v>1.0416666666666667</v>
      </c>
      <c r="AC7" s="704">
        <f>D7/J7</f>
        <v>1.0471204188481675</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800" t="s">
        <v>1683</v>
      </c>
      <c r="Q8" s="3801"/>
      <c r="R8" s="701" t="s">
        <v>14</v>
      </c>
      <c r="S8" s="702">
        <f t="shared" si="0"/>
        <v>100</v>
      </c>
      <c r="T8" s="701" t="s">
        <v>14</v>
      </c>
      <c r="U8" s="702">
        <f t="shared" si="1"/>
        <v>100</v>
      </c>
      <c r="V8" s="701" t="s">
        <v>14</v>
      </c>
      <c r="W8" s="702">
        <f t="shared" si="2"/>
        <v>100</v>
      </c>
      <c r="X8" s="703"/>
      <c r="Y8" s="3800" t="s">
        <v>1683</v>
      </c>
      <c r="Z8" s="3801"/>
      <c r="AA8" s="704">
        <f t="shared" ref="AA8:AA45" si="3">D8/F8</f>
        <v>1</v>
      </c>
      <c r="AB8" s="704">
        <f t="shared" ref="AB8:AB45" si="4">D8/H8</f>
        <v>1</v>
      </c>
      <c r="AC8" s="704">
        <f t="shared" ref="AC8:AC45" si="5">D8/J8</f>
        <v>1</v>
      </c>
    </row>
    <row r="9" spans="1:30" s="108" customFormat="1" ht="15">
      <c r="A9" s="369" t="s">
        <v>1684</v>
      </c>
      <c r="B9" s="63" t="s">
        <v>1685</v>
      </c>
      <c r="C9" s="1969" t="s">
        <v>3947</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772" t="s">
        <v>1686</v>
      </c>
      <c r="Q9" s="1337" t="str">
        <f t="shared" ref="Q9:Q15" si="6">B9</f>
        <v>用途</v>
      </c>
      <c r="R9" s="701" t="s">
        <v>14</v>
      </c>
      <c r="S9" s="702">
        <f t="shared" si="0"/>
        <v>105</v>
      </c>
      <c r="T9" s="701" t="s">
        <v>14</v>
      </c>
      <c r="U9" s="702">
        <f t="shared" si="1"/>
        <v>105</v>
      </c>
      <c r="V9" s="701" t="s">
        <v>14</v>
      </c>
      <c r="W9" s="702">
        <f t="shared" si="2"/>
        <v>105</v>
      </c>
      <c r="X9" s="703"/>
      <c r="Y9" s="3669"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37.01</v>
      </c>
      <c r="D10" s="127">
        <v>100</v>
      </c>
      <c r="E10" s="416" t="s">
        <v>3625</v>
      </c>
      <c r="F10" s="127">
        <f>ROUND(100/'数据-取费表'!G16,0)</f>
        <v>103</v>
      </c>
      <c r="G10" s="416" t="s">
        <v>3625</v>
      </c>
      <c r="H10" s="127">
        <f>ROUND(100/'数据-取费表'!G16,0)</f>
        <v>103</v>
      </c>
      <c r="I10" s="416" t="s">
        <v>3625</v>
      </c>
      <c r="J10" s="127">
        <f>ROUND(100/'数据-取费表'!G16,0)</f>
        <v>103</v>
      </c>
      <c r="K10" s="620"/>
      <c r="L10" s="2705"/>
      <c r="M10" s="2706"/>
      <c r="N10" s="2706"/>
      <c r="O10" s="2759"/>
      <c r="P10" s="3772"/>
      <c r="Q10" s="1337" t="str">
        <f t="shared" si="6"/>
        <v>土地使用年限（年）</v>
      </c>
      <c r="R10" s="701" t="s">
        <v>14</v>
      </c>
      <c r="S10" s="702">
        <f t="shared" si="0"/>
        <v>103</v>
      </c>
      <c r="T10" s="701" t="s">
        <v>14</v>
      </c>
      <c r="U10" s="702">
        <f t="shared" si="1"/>
        <v>103</v>
      </c>
      <c r="V10" s="701" t="s">
        <v>14</v>
      </c>
      <c r="W10" s="702">
        <f t="shared" si="2"/>
        <v>103</v>
      </c>
      <c r="X10" s="703"/>
      <c r="Y10" s="3669"/>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772"/>
      <c r="Q11" s="1337" t="str">
        <f t="shared" si="6"/>
        <v>容积率</v>
      </c>
      <c r="R11" s="701" t="s">
        <v>14</v>
      </c>
      <c r="S11" s="702">
        <f t="shared" si="0"/>
        <v>93</v>
      </c>
      <c r="T11" s="701" t="s">
        <v>14</v>
      </c>
      <c r="U11" s="702">
        <f t="shared" si="1"/>
        <v>103.5</v>
      </c>
      <c r="V11" s="701" t="s">
        <v>14</v>
      </c>
      <c r="W11" s="702">
        <f t="shared" si="2"/>
        <v>100</v>
      </c>
      <c r="X11" s="703"/>
      <c r="Y11" s="3669"/>
      <c r="Z11" s="52" t="str">
        <f t="shared" si="7"/>
        <v>容积率</v>
      </c>
      <c r="AA11" s="704">
        <f t="shared" si="3"/>
        <v>1.075268817204301</v>
      </c>
      <c r="AB11" s="704">
        <f t="shared" si="4"/>
        <v>0.96618357487922701</v>
      </c>
      <c r="AC11" s="704">
        <f t="shared" si="5"/>
        <v>1</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72"/>
      <c r="Q12" s="1337" t="str">
        <f t="shared" si="6"/>
        <v>配建</v>
      </c>
      <c r="R12" s="701" t="s">
        <v>14</v>
      </c>
      <c r="S12" s="702">
        <f t="shared" si="0"/>
        <v>100</v>
      </c>
      <c r="T12" s="701" t="s">
        <v>14</v>
      </c>
      <c r="U12" s="702">
        <f t="shared" si="1"/>
        <v>100</v>
      </c>
      <c r="V12" s="701" t="s">
        <v>14</v>
      </c>
      <c r="W12" s="702">
        <f t="shared" si="2"/>
        <v>100</v>
      </c>
      <c r="X12" s="703"/>
      <c r="Y12" s="3669"/>
      <c r="Z12" s="52" t="str">
        <f t="shared" si="7"/>
        <v>配建</v>
      </c>
      <c r="AA12" s="704">
        <f>D12/F12</f>
        <v>1</v>
      </c>
      <c r="AB12" s="704">
        <f>D12/H12</f>
        <v>1</v>
      </c>
      <c r="AC12" s="704">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72"/>
      <c r="Q13" s="1337">
        <f t="shared" si="6"/>
        <v>111</v>
      </c>
      <c r="R13" s="701" t="s">
        <v>14</v>
      </c>
      <c r="S13" s="702">
        <f t="shared" si="0"/>
        <v>100</v>
      </c>
      <c r="T13" s="701" t="s">
        <v>14</v>
      </c>
      <c r="U13" s="702">
        <f t="shared" si="1"/>
        <v>100</v>
      </c>
      <c r="V13" s="701" t="s">
        <v>14</v>
      </c>
      <c r="W13" s="702">
        <f t="shared" si="2"/>
        <v>100</v>
      </c>
      <c r="X13" s="703"/>
      <c r="Y13" s="3669"/>
      <c r="Z13" s="52">
        <f t="shared" si="7"/>
        <v>111</v>
      </c>
      <c r="AA13" s="704">
        <f>D13/F13</f>
        <v>1</v>
      </c>
      <c r="AB13" s="704">
        <f>D13/H13</f>
        <v>1</v>
      </c>
      <c r="AC13" s="704">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72"/>
      <c r="Q14" s="1337">
        <f t="shared" si="6"/>
        <v>111</v>
      </c>
      <c r="R14" s="701" t="s">
        <v>14</v>
      </c>
      <c r="S14" s="702">
        <f t="shared" si="0"/>
        <v>100</v>
      </c>
      <c r="T14" s="701" t="s">
        <v>14</v>
      </c>
      <c r="U14" s="702">
        <f t="shared" si="1"/>
        <v>100</v>
      </c>
      <c r="V14" s="701" t="s">
        <v>14</v>
      </c>
      <c r="W14" s="702">
        <f t="shared" si="2"/>
        <v>100</v>
      </c>
      <c r="X14" s="703"/>
      <c r="Y14" s="3669"/>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773" t="s">
        <v>1691</v>
      </c>
      <c r="Q15" s="1346" t="str">
        <f t="shared" si="6"/>
        <v>居住社区成熟度</v>
      </c>
      <c r="R15" s="705" t="s">
        <v>14</v>
      </c>
      <c r="S15" s="706">
        <f t="shared" si="0"/>
        <v>100</v>
      </c>
      <c r="T15" s="705" t="s">
        <v>14</v>
      </c>
      <c r="U15" s="706">
        <f t="shared" si="1"/>
        <v>100</v>
      </c>
      <c r="V15" s="705" t="s">
        <v>14</v>
      </c>
      <c r="W15" s="706">
        <f t="shared" si="2"/>
        <v>100</v>
      </c>
      <c r="X15" s="1349"/>
      <c r="Y15" s="3773"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774"/>
      <c r="Q16" s="1346"/>
      <c r="R16" s="705"/>
      <c r="S16" s="706"/>
      <c r="T16" s="705"/>
      <c r="U16" s="706"/>
      <c r="V16" s="705"/>
      <c r="W16" s="706"/>
      <c r="X16" s="1349"/>
      <c r="Y16" s="3774"/>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774"/>
      <c r="Q17" s="1346" t="str">
        <f>B17</f>
        <v>商业繁华度</v>
      </c>
      <c r="R17" s="705" t="s">
        <v>14</v>
      </c>
      <c r="S17" s="706">
        <f>F17</f>
        <v>100</v>
      </c>
      <c r="T17" s="705" t="s">
        <v>14</v>
      </c>
      <c r="U17" s="706">
        <f>H17</f>
        <v>100</v>
      </c>
      <c r="V17" s="705" t="s">
        <v>14</v>
      </c>
      <c r="W17" s="706">
        <f>J17</f>
        <v>100</v>
      </c>
      <c r="X17" s="1349"/>
      <c r="Y17" s="3774"/>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774"/>
      <c r="Q18" s="1346"/>
      <c r="R18" s="705"/>
      <c r="S18" s="706"/>
      <c r="T18" s="705"/>
      <c r="U18" s="706"/>
      <c r="V18" s="705"/>
      <c r="W18" s="706"/>
      <c r="X18" s="1349"/>
      <c r="Y18" s="3774"/>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774"/>
      <c r="Q19" s="1346" t="str">
        <f>B19</f>
        <v>办公集聚程度</v>
      </c>
      <c r="R19" s="705" t="s">
        <v>14</v>
      </c>
      <c r="S19" s="706">
        <f>F19</f>
        <v>102</v>
      </c>
      <c r="T19" s="705" t="s">
        <v>14</v>
      </c>
      <c r="U19" s="706">
        <f>H19</f>
        <v>98</v>
      </c>
      <c r="V19" s="705" t="s">
        <v>14</v>
      </c>
      <c r="W19" s="706">
        <f>J19</f>
        <v>102</v>
      </c>
      <c r="X19" s="1349"/>
      <c r="Y19" s="3774"/>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774"/>
      <c r="Q20" s="1346"/>
      <c r="R20" s="705"/>
      <c r="S20" s="706"/>
      <c r="T20" s="705"/>
      <c r="U20" s="706"/>
      <c r="V20" s="705"/>
      <c r="W20" s="706"/>
      <c r="X20" s="1349"/>
      <c r="Y20" s="3774"/>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774"/>
      <c r="Q21" s="1346" t="str">
        <f>B21</f>
        <v>交通便捷度</v>
      </c>
      <c r="R21" s="705" t="s">
        <v>14</v>
      </c>
      <c r="S21" s="706">
        <f>F21</f>
        <v>102</v>
      </c>
      <c r="T21" s="705" t="s">
        <v>14</v>
      </c>
      <c r="U21" s="706">
        <f>H21</f>
        <v>98</v>
      </c>
      <c r="V21" s="705" t="s">
        <v>14</v>
      </c>
      <c r="W21" s="706">
        <f>J21</f>
        <v>102</v>
      </c>
      <c r="X21" s="1349"/>
      <c r="Y21" s="3774"/>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774"/>
      <c r="Q22" s="1346"/>
      <c r="R22" s="705"/>
      <c r="S22" s="706"/>
      <c r="T22" s="705"/>
      <c r="U22" s="706"/>
      <c r="V22" s="705"/>
      <c r="W22" s="706"/>
      <c r="X22" s="1349"/>
      <c r="Y22" s="3774"/>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774"/>
      <c r="Q23" s="1346" t="str">
        <f t="shared" ref="Q23:Q37" si="8">B23</f>
        <v>区域土地利用方向</v>
      </c>
      <c r="R23" s="705" t="s">
        <v>14</v>
      </c>
      <c r="S23" s="706">
        <f>F23</f>
        <v>100</v>
      </c>
      <c r="T23" s="705" t="s">
        <v>14</v>
      </c>
      <c r="U23" s="706">
        <f>H23</f>
        <v>100</v>
      </c>
      <c r="V23" s="705" t="s">
        <v>14</v>
      </c>
      <c r="W23" s="706">
        <f>J23</f>
        <v>100</v>
      </c>
      <c r="X23" s="1349"/>
      <c r="Y23" s="3774"/>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774"/>
      <c r="Q24" s="1346"/>
      <c r="R24" s="705"/>
      <c r="S24" s="706"/>
      <c r="T24" s="705"/>
      <c r="U24" s="706"/>
      <c r="V24" s="705"/>
      <c r="W24" s="706"/>
      <c r="X24" s="1349"/>
      <c r="Y24" s="3774"/>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774"/>
      <c r="Q25" s="1346" t="str">
        <f t="shared" si="8"/>
        <v>自然及人文环境状况</v>
      </c>
      <c r="R25" s="705" t="s">
        <v>14</v>
      </c>
      <c r="S25" s="706">
        <f>F25</f>
        <v>100</v>
      </c>
      <c r="T25" s="705" t="s">
        <v>14</v>
      </c>
      <c r="U25" s="706">
        <f>H25</f>
        <v>100</v>
      </c>
      <c r="V25" s="705" t="s">
        <v>14</v>
      </c>
      <c r="W25" s="706">
        <f>J25</f>
        <v>100</v>
      </c>
      <c r="X25" s="1349"/>
      <c r="Y25" s="3774"/>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774"/>
      <c r="Q26" s="1346"/>
      <c r="R26" s="705"/>
      <c r="S26" s="706"/>
      <c r="T26" s="705"/>
      <c r="U26" s="706"/>
      <c r="V26" s="705"/>
      <c r="W26" s="706"/>
      <c r="X26" s="1349"/>
      <c r="Y26" s="3774"/>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97.5</v>
      </c>
      <c r="I27" s="403" t="s">
        <v>3426</v>
      </c>
      <c r="J27" s="401">
        <f>SUMIF(99:99,I28,100:100)-SUMIF(99:99,C28,100:100)+100</f>
        <v>100</v>
      </c>
      <c r="K27" s="621">
        <v>2.5</v>
      </c>
      <c r="L27" s="2703"/>
      <c r="M27" s="2704"/>
      <c r="N27" s="2704"/>
      <c r="O27" s="2758"/>
      <c r="P27" s="3774"/>
      <c r="Q27" s="1337" t="str">
        <f t="shared" si="8"/>
        <v>公共配套设施</v>
      </c>
      <c r="R27" s="701" t="s">
        <v>14</v>
      </c>
      <c r="S27" s="702">
        <f>F27</f>
        <v>100</v>
      </c>
      <c r="T27" s="701" t="s">
        <v>14</v>
      </c>
      <c r="U27" s="702">
        <f>H27</f>
        <v>97.5</v>
      </c>
      <c r="V27" s="701" t="s">
        <v>14</v>
      </c>
      <c r="W27" s="702">
        <f>J27</f>
        <v>100</v>
      </c>
      <c r="X27" s="703"/>
      <c r="Y27" s="3774"/>
      <c r="Z27" s="52" t="str">
        <f>Q27</f>
        <v>公共配套设施</v>
      </c>
      <c r="AA27" s="1347">
        <f>D27/F27</f>
        <v>1</v>
      </c>
      <c r="AB27" s="1347">
        <f>D27/H27</f>
        <v>1.0256410256410255</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f ca="1">结果表!G26</f>
        <v>85589</v>
      </c>
      <c r="N28" s="2704"/>
      <c r="O28" s="2758"/>
      <c r="P28" s="3774"/>
      <c r="Q28" s="1337"/>
      <c r="R28" s="701"/>
      <c r="S28" s="702"/>
      <c r="T28" s="701"/>
      <c r="U28" s="702"/>
      <c r="V28" s="701"/>
      <c r="W28" s="702"/>
      <c r="X28" s="703"/>
      <c r="Y28" s="3774"/>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v>85584</v>
      </c>
      <c r="N29" s="2704"/>
      <c r="O29" s="2758"/>
      <c r="P29" s="3774"/>
      <c r="Q29" s="1337" t="str">
        <f t="shared" ref="Q29" si="9">B29</f>
        <v>基础设施水平</v>
      </c>
      <c r="R29" s="701" t="s">
        <v>14</v>
      </c>
      <c r="S29" s="702">
        <f>F29</f>
        <v>100</v>
      </c>
      <c r="T29" s="701" t="s">
        <v>14</v>
      </c>
      <c r="U29" s="702">
        <f>H29</f>
        <v>100</v>
      </c>
      <c r="V29" s="701" t="s">
        <v>14</v>
      </c>
      <c r="W29" s="702">
        <f>J29</f>
        <v>100</v>
      </c>
      <c r="X29" s="703"/>
      <c r="Y29" s="3774"/>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f ca="1">M28-M29</f>
        <v>5</v>
      </c>
      <c r="N30" s="2704"/>
      <c r="O30" s="2758"/>
      <c r="P30" s="3774"/>
      <c r="Q30" s="1337"/>
      <c r="R30" s="701"/>
      <c r="S30" s="702"/>
      <c r="T30" s="701"/>
      <c r="U30" s="702"/>
      <c r="V30" s="701"/>
      <c r="W30" s="702"/>
      <c r="X30" s="703"/>
      <c r="Y30" s="3774"/>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774"/>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774"/>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774"/>
      <c r="Q32" s="1346" t="str">
        <f t="shared" si="8"/>
        <v>毗邻道路的类型与等级</v>
      </c>
      <c r="R32" s="705" t="s">
        <v>14</v>
      </c>
      <c r="S32" s="706">
        <f t="shared" si="10"/>
        <v>100</v>
      </c>
      <c r="T32" s="705" t="s">
        <v>14</v>
      </c>
      <c r="U32" s="706">
        <f t="shared" si="11"/>
        <v>100</v>
      </c>
      <c r="V32" s="705" t="s">
        <v>14</v>
      </c>
      <c r="W32" s="706">
        <f t="shared" si="12"/>
        <v>100</v>
      </c>
      <c r="X32" s="1349"/>
      <c r="Y32" s="3774"/>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774"/>
      <c r="Q33" s="1346"/>
      <c r="R33" s="705"/>
      <c r="S33" s="706"/>
      <c r="T33" s="705"/>
      <c r="U33" s="706"/>
      <c r="V33" s="705"/>
      <c r="W33" s="706"/>
      <c r="X33" s="1349"/>
      <c r="Y33" s="3774"/>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774"/>
      <c r="Q34" s="1346" t="str">
        <f t="shared" si="8"/>
        <v>土地级别</v>
      </c>
      <c r="R34" s="705" t="s">
        <v>14</v>
      </c>
      <c r="S34" s="706">
        <f t="shared" si="10"/>
        <v>100</v>
      </c>
      <c r="T34" s="705" t="s">
        <v>14</v>
      </c>
      <c r="U34" s="706">
        <f t="shared" si="11"/>
        <v>100</v>
      </c>
      <c r="V34" s="705" t="s">
        <v>14</v>
      </c>
      <c r="W34" s="706">
        <f t="shared" si="12"/>
        <v>100</v>
      </c>
      <c r="X34" s="1349"/>
      <c r="Y34" s="3774"/>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774"/>
      <c r="Q35" s="1346">
        <f t="shared" si="8"/>
        <v>111</v>
      </c>
      <c r="R35" s="705" t="s">
        <v>14</v>
      </c>
      <c r="S35" s="706">
        <f t="shared" si="10"/>
        <v>100</v>
      </c>
      <c r="T35" s="705" t="s">
        <v>14</v>
      </c>
      <c r="U35" s="706">
        <f t="shared" si="11"/>
        <v>100</v>
      </c>
      <c r="V35" s="705" t="s">
        <v>14</v>
      </c>
      <c r="W35" s="706">
        <f t="shared" si="12"/>
        <v>100</v>
      </c>
      <c r="X35" s="1349"/>
      <c r="Y35" s="3774"/>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775" t="s">
        <v>1696</v>
      </c>
      <c r="Q36" s="1346">
        <f t="shared" si="8"/>
        <v>111</v>
      </c>
      <c r="R36" s="705" t="s">
        <v>14</v>
      </c>
      <c r="S36" s="706">
        <f t="shared" si="10"/>
        <v>100</v>
      </c>
      <c r="T36" s="705" t="s">
        <v>14</v>
      </c>
      <c r="U36" s="706">
        <f t="shared" si="11"/>
        <v>100</v>
      </c>
      <c r="V36" s="705" t="s">
        <v>14</v>
      </c>
      <c r="W36" s="706">
        <f t="shared" si="12"/>
        <v>100</v>
      </c>
      <c r="X36" s="1349"/>
      <c r="Y36" s="3776"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776"/>
      <c r="Q37" s="1346">
        <f t="shared" si="8"/>
        <v>111</v>
      </c>
      <c r="R37" s="708" t="s">
        <v>14</v>
      </c>
      <c r="S37" s="709">
        <f t="shared" si="10"/>
        <v>100</v>
      </c>
      <c r="T37" s="708" t="s">
        <v>14</v>
      </c>
      <c r="U37" s="709">
        <f t="shared" si="11"/>
        <v>100</v>
      </c>
      <c r="V37" s="708" t="s">
        <v>14</v>
      </c>
      <c r="W37" s="709">
        <f t="shared" si="12"/>
        <v>100</v>
      </c>
      <c r="X37" s="710"/>
      <c r="Y37" s="3776"/>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776"/>
      <c r="Q38" s="1346" t="str">
        <f>B38</f>
        <v>宗地面积</v>
      </c>
      <c r="R38" s="705" t="s">
        <v>14</v>
      </c>
      <c r="S38" s="706">
        <f t="shared" si="10"/>
        <v>100</v>
      </c>
      <c r="T38" s="705" t="s">
        <v>14</v>
      </c>
      <c r="U38" s="706">
        <f t="shared" si="11"/>
        <v>102</v>
      </c>
      <c r="V38" s="705" t="s">
        <v>14</v>
      </c>
      <c r="W38" s="706">
        <f t="shared" si="12"/>
        <v>100</v>
      </c>
      <c r="X38" s="1349"/>
      <c r="Y38" s="3776"/>
      <c r="Z38" s="1350" t="str">
        <f t="shared" si="13"/>
        <v>宗地面积</v>
      </c>
      <c r="AA38" s="1347">
        <f t="shared" si="3"/>
        <v>1</v>
      </c>
      <c r="AB38" s="1347">
        <f t="shared" si="4"/>
        <v>0.98039215686274506</v>
      </c>
      <c r="AC38" s="1347">
        <f t="shared" si="5"/>
        <v>1</v>
      </c>
    </row>
    <row r="39" spans="1:29" ht="15">
      <c r="A39" s="423"/>
      <c r="B39" s="375" t="s">
        <v>1875</v>
      </c>
      <c r="C39" s="1900" t="s">
        <v>3943</v>
      </c>
      <c r="D39" s="386">
        <v>100</v>
      </c>
      <c r="E39" s="1900" t="s">
        <v>3943</v>
      </c>
      <c r="F39" s="386">
        <f>SUMIF(118:118,E39,119:119)-SUMIF(118:118,C39,119:119)+100</f>
        <v>100</v>
      </c>
      <c r="G39" s="1900" t="s">
        <v>3943</v>
      </c>
      <c r="H39" s="386">
        <f>SUMIF(118:118,G39,119:119)-SUMIF(118:118,C39,119:119)+100</f>
        <v>100</v>
      </c>
      <c r="I39" s="1900" t="s">
        <v>3943</v>
      </c>
      <c r="J39" s="386">
        <f>SUMIF(118:118,I39,119:119)-SUMIF(118:118,C39,119:119)+100</f>
        <v>100</v>
      </c>
      <c r="K39" s="561">
        <v>2</v>
      </c>
      <c r="L39" s="2708"/>
      <c r="M39" s="2702"/>
      <c r="N39" s="2702"/>
      <c r="O39" s="2760"/>
      <c r="P39" s="3776"/>
      <c r="Q39" s="1346" t="str">
        <f t="shared" ref="Q39:Q45" si="14">B39</f>
        <v>宗地形状</v>
      </c>
      <c r="R39" s="705" t="s">
        <v>14</v>
      </c>
      <c r="S39" s="706">
        <f t="shared" si="10"/>
        <v>100</v>
      </c>
      <c r="T39" s="705" t="s">
        <v>14</v>
      </c>
      <c r="U39" s="706">
        <f t="shared" si="11"/>
        <v>100</v>
      </c>
      <c r="V39" s="705" t="s">
        <v>14</v>
      </c>
      <c r="W39" s="706">
        <f t="shared" si="12"/>
        <v>100</v>
      </c>
      <c r="X39" s="1349"/>
      <c r="Y39" s="3776"/>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776"/>
      <c r="Q40" s="1346" t="str">
        <f t="shared" si="14"/>
        <v>临街宽度及深度</v>
      </c>
      <c r="R40" s="705" t="s">
        <v>14</v>
      </c>
      <c r="S40" s="706">
        <f t="shared" si="10"/>
        <v>100</v>
      </c>
      <c r="T40" s="705" t="s">
        <v>14</v>
      </c>
      <c r="U40" s="706">
        <f t="shared" si="11"/>
        <v>100</v>
      </c>
      <c r="V40" s="705" t="s">
        <v>14</v>
      </c>
      <c r="W40" s="706">
        <f t="shared" si="12"/>
        <v>100</v>
      </c>
      <c r="X40" s="1349"/>
      <c r="Y40" s="3776"/>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97.5</v>
      </c>
      <c r="I41" s="1972" t="s">
        <v>3637</v>
      </c>
      <c r="J41" s="386">
        <f>SUMIF(122:122,I41,123:123)-SUMIF(122:122,C41,123:123)+100</f>
        <v>95</v>
      </c>
      <c r="K41" s="561">
        <v>2.5</v>
      </c>
      <c r="L41" s="2703"/>
      <c r="M41" s="2704"/>
      <c r="N41" s="2704"/>
      <c r="O41" s="2758"/>
      <c r="P41" s="3776"/>
      <c r="Q41" s="1346" t="str">
        <f t="shared" si="14"/>
        <v>宗地开发程度</v>
      </c>
      <c r="R41" s="701" t="s">
        <v>14</v>
      </c>
      <c r="S41" s="702">
        <f t="shared" si="10"/>
        <v>100</v>
      </c>
      <c r="T41" s="701" t="s">
        <v>14</v>
      </c>
      <c r="U41" s="702">
        <f t="shared" si="11"/>
        <v>97.5</v>
      </c>
      <c r="V41" s="701" t="s">
        <v>14</v>
      </c>
      <c r="W41" s="702">
        <f t="shared" si="12"/>
        <v>95</v>
      </c>
      <c r="X41" s="703"/>
      <c r="Y41" s="3776"/>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776" t="s">
        <v>1696</v>
      </c>
      <c r="Q42" s="1346" t="str">
        <f t="shared" si="14"/>
        <v>工程地质条件</v>
      </c>
      <c r="R42" s="705" t="s">
        <v>14</v>
      </c>
      <c r="S42" s="706">
        <f t="shared" si="10"/>
        <v>100</v>
      </c>
      <c r="T42" s="705" t="s">
        <v>14</v>
      </c>
      <c r="U42" s="706">
        <f t="shared" si="11"/>
        <v>100</v>
      </c>
      <c r="V42" s="705" t="s">
        <v>14</v>
      </c>
      <c r="W42" s="706">
        <f t="shared" si="12"/>
        <v>100</v>
      </c>
      <c r="X42" s="1349"/>
      <c r="Y42" s="3776"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776"/>
      <c r="Q43" s="1346">
        <f t="shared" si="14"/>
        <v>111</v>
      </c>
      <c r="R43" s="705" t="s">
        <v>14</v>
      </c>
      <c r="S43" s="706">
        <f t="shared" si="10"/>
        <v>100</v>
      </c>
      <c r="T43" s="705" t="s">
        <v>14</v>
      </c>
      <c r="U43" s="706">
        <f t="shared" si="11"/>
        <v>100</v>
      </c>
      <c r="V43" s="705" t="s">
        <v>14</v>
      </c>
      <c r="W43" s="706">
        <f t="shared" si="12"/>
        <v>100</v>
      </c>
      <c r="X43" s="1349"/>
      <c r="Y43" s="3776"/>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776"/>
      <c r="Q44" s="1346">
        <f t="shared" si="14"/>
        <v>111</v>
      </c>
      <c r="R44" s="705" t="s">
        <v>14</v>
      </c>
      <c r="S44" s="706">
        <f t="shared" si="10"/>
        <v>100</v>
      </c>
      <c r="T44" s="705" t="s">
        <v>14</v>
      </c>
      <c r="U44" s="706">
        <f t="shared" si="11"/>
        <v>100</v>
      </c>
      <c r="V44" s="705" t="s">
        <v>14</v>
      </c>
      <c r="W44" s="706">
        <f t="shared" si="12"/>
        <v>100</v>
      </c>
      <c r="X44" s="1349"/>
      <c r="Y44" s="3776"/>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776"/>
      <c r="Q45" s="1346">
        <f t="shared" si="14"/>
        <v>111</v>
      </c>
      <c r="R45" s="708" t="s">
        <v>14</v>
      </c>
      <c r="S45" s="709">
        <f t="shared" si="10"/>
        <v>100</v>
      </c>
      <c r="T45" s="708" t="s">
        <v>14</v>
      </c>
      <c r="U45" s="709">
        <f t="shared" si="11"/>
        <v>100</v>
      </c>
      <c r="V45" s="708" t="s">
        <v>14</v>
      </c>
      <c r="W45" s="709">
        <f t="shared" si="12"/>
        <v>100</v>
      </c>
      <c r="X45" s="710"/>
      <c r="Y45" s="3776"/>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72" t="str">
        <f>A46</f>
        <v>成交单价</v>
      </c>
      <c r="Q46" s="3772"/>
      <c r="R46" s="3777">
        <f>E46</f>
        <v>10561</v>
      </c>
      <c r="S46" s="3777"/>
      <c r="T46" s="3777">
        <f>G46</f>
        <v>10110</v>
      </c>
      <c r="U46" s="3777"/>
      <c r="V46" s="3777">
        <f>I46</f>
        <v>12825</v>
      </c>
      <c r="W46" s="3777"/>
      <c r="X46" s="690"/>
      <c r="Y46" s="712"/>
      <c r="Z46" s="690"/>
      <c r="AA46" s="690"/>
      <c r="AB46" s="690"/>
      <c r="AC46" s="690"/>
    </row>
    <row r="47" spans="1:29" ht="15.75" thickBot="1">
      <c r="A47" s="437" t="s">
        <v>1793</v>
      </c>
      <c r="B47" s="631"/>
      <c r="C47" s="440">
        <f>R48</f>
        <v>11060</v>
      </c>
      <c r="D47" s="2309" t="s">
        <v>2138</v>
      </c>
      <c r="E47" s="440">
        <f>R47</f>
        <v>10513</v>
      </c>
      <c r="F47" s="2310"/>
      <c r="G47" s="439">
        <f>T47</f>
        <v>10103</v>
      </c>
      <c r="H47" s="2310"/>
      <c r="I47" s="440">
        <f>V47</f>
        <v>12563</v>
      </c>
      <c r="J47" s="2310"/>
      <c r="K47" s="2312">
        <f>F47+H47+J47</f>
        <v>0</v>
      </c>
      <c r="L47" s="2710"/>
      <c r="M47" s="2711"/>
      <c r="N47" s="2711"/>
      <c r="O47" s="2711"/>
      <c r="P47" s="3772" t="str">
        <f>A47</f>
        <v>比较价值（元/平方米）</v>
      </c>
      <c r="Q47" s="3772"/>
      <c r="R47" s="3765">
        <f>ROUND(PRODUCT(R46,AA7:AA45),0)</f>
        <v>10513</v>
      </c>
      <c r="S47" s="3765"/>
      <c r="T47" s="3765">
        <f>ROUND(PRODUCT(T46,AB7:AB45),0)</f>
        <v>10103</v>
      </c>
      <c r="U47" s="3765"/>
      <c r="V47" s="3765">
        <f>ROUND(PRODUCT(V46,AC7:AC45),0)</f>
        <v>12563</v>
      </c>
      <c r="W47" s="3765"/>
      <c r="X47" s="690"/>
      <c r="Y47" s="690"/>
      <c r="Z47" s="690"/>
      <c r="AA47" s="690"/>
      <c r="AB47" s="690"/>
      <c r="AC47" s="690"/>
    </row>
    <row r="48" spans="1:29" ht="15.75" thickBot="1">
      <c r="A48" s="441" t="s">
        <v>1880</v>
      </c>
      <c r="B48" s="442"/>
      <c r="C48" s="443">
        <f>R48</f>
        <v>11060</v>
      </c>
      <c r="D48" s="443"/>
      <c r="E48" s="443"/>
      <c r="F48" s="443"/>
      <c r="G48" s="443"/>
      <c r="H48" s="443"/>
      <c r="I48" s="443"/>
      <c r="J48" s="443"/>
      <c r="K48" s="715"/>
      <c r="L48" s="2710"/>
      <c r="M48" s="2711"/>
      <c r="N48" s="2711"/>
      <c r="O48" s="2711"/>
      <c r="P48" s="3766" t="str">
        <f>A48</f>
        <v>估价对象XX用房的比较价值（楼面单价，元/平方米）</v>
      </c>
      <c r="Q48" s="3767"/>
      <c r="R48" s="3768">
        <f>ROUND(IF(D47="简单平均",AVERAGE(R47:W47),R47*F47+T47*H47+V47*J47),0)</f>
        <v>11060</v>
      </c>
      <c r="S48" s="3768"/>
      <c r="T48" s="3768"/>
      <c r="U48" s="3768"/>
      <c r="V48" s="3768"/>
      <c r="W48" s="3768"/>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4.5657757062684823E-3</v>
      </c>
      <c r="F51" s="449" t="str">
        <f>IF(OR(E51&gt;=0.3,E51&lt;=-0.3),"超过30%","")</f>
        <v/>
      </c>
      <c r="G51" s="448">
        <f>IF(G46&lt;G47,G47/G46-1,G46/G47-1)</f>
        <v>6.9286350588937395E-4</v>
      </c>
      <c r="H51" s="449" t="str">
        <f>IF(OR(G51&gt;=0.3,G51&lt;=-0.3),"超过30%","")</f>
        <v/>
      </c>
      <c r="I51" s="448">
        <f>IF(I46&lt;I47,I47/I46-1,I46/I47-1)</f>
        <v>2.0854891347608095E-2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4.0582005344947047E-2</v>
      </c>
      <c r="F52" s="449" t="str">
        <f>IF(OR(E52&gt;=0.2,E52&lt;=-0.2),"超过20%","")</f>
        <v/>
      </c>
      <c r="G52" s="448">
        <f>IF(G47&lt;I47,I47/G47-1,G47/I47-1)</f>
        <v>0.24349203206968228</v>
      </c>
      <c r="H52" s="449" t="str">
        <f>IF(OR(G52&gt;=0.2,G52&lt;=-0.2),"超过20%","")</f>
        <v>超过20%</v>
      </c>
      <c r="I52" s="448">
        <f>IF(I47&lt;E47,E47/I47-1,I47/E47-1)</f>
        <v>0.19499667078854754</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69" t="s">
        <v>1887</v>
      </c>
      <c r="H55" s="3770"/>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11060</v>
      </c>
      <c r="C56" s="638">
        <v>1</v>
      </c>
      <c r="D56" s="939">
        <v>1</v>
      </c>
      <c r="E56" s="638">
        <f>'数据-汇总表'!E8+'数据-汇总表'!E9</f>
        <v>34690.01</v>
      </c>
      <c r="F56" s="881">
        <f t="shared" ref="F56:F64" si="15">ROUND(B56*E56/10000,0)</f>
        <v>38367</v>
      </c>
      <c r="G56" s="3771"/>
      <c r="H56" s="3772"/>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1659</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830</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691</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691</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691</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415</v>
      </c>
      <c r="C62" s="171">
        <f t="shared" si="16"/>
        <v>0.15</v>
      </c>
      <c r="D62" s="940">
        <v>0.25</v>
      </c>
      <c r="E62" s="217">
        <f>'数据-汇总表'!E13</f>
        <v>0</v>
      </c>
      <c r="F62" s="881">
        <f t="shared" si="15"/>
        <v>0</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415</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415</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34690.01</v>
      </c>
      <c r="F65" s="645">
        <f>IF(B46="楼面地价",SUM(F56:F64),ROUND(C48*E65/10000,0))</f>
        <v>38367</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2024-2</v>
      </c>
      <c r="D69" s="1176" t="str">
        <f>YEAR(D67)&amp;"-"&amp;ROUNDUP(MONTH(D67)/3,0)</f>
        <v>2024-1</v>
      </c>
      <c r="E69" s="1176" t="str">
        <f t="shared" ref="E69:O69" si="19">YEAR(E67)&amp;"-"&amp;ROUNDUP(MONTH(E67)/3,0)</f>
        <v>2023-4</v>
      </c>
      <c r="F69" s="1176" t="str">
        <f t="shared" si="19"/>
        <v>2023-3</v>
      </c>
      <c r="G69" s="1176" t="str">
        <f t="shared" si="19"/>
        <v>2023-2</v>
      </c>
      <c r="H69" s="1176" t="str">
        <f t="shared" si="19"/>
        <v>2023-1</v>
      </c>
      <c r="I69" s="1176" t="str">
        <f t="shared" si="19"/>
        <v>2022-4</v>
      </c>
      <c r="J69" s="1176" t="str">
        <f t="shared" si="19"/>
        <v>2022-3</v>
      </c>
      <c r="K69" s="1176" t="str">
        <f t="shared" si="19"/>
        <v>2022-2</v>
      </c>
      <c r="L69" s="1176" t="str">
        <f t="shared" si="19"/>
        <v>2022-1</v>
      </c>
      <c r="M69" s="1176" t="str">
        <f t="shared" si="19"/>
        <v>2021-4</v>
      </c>
      <c r="N69" s="1176" t="str">
        <f t="shared" si="19"/>
        <v>2021-3</v>
      </c>
      <c r="O69" s="1176" t="str">
        <f t="shared" si="19"/>
        <v>2021-2</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3944</v>
      </c>
      <c r="E74" s="3575" t="s">
        <v>3948</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34690.01</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3908</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16"/>
      <c r="B4" s="3817"/>
      <c r="C4" s="3817"/>
      <c r="D4" s="3818"/>
      <c r="E4" s="3818"/>
      <c r="F4" s="3818"/>
      <c r="G4" s="3818"/>
      <c r="H4" s="3818"/>
      <c r="I4" s="3818"/>
      <c r="J4" s="3819"/>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13" t="s">
        <v>1960</v>
      </c>
      <c r="X8" s="3814"/>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15"/>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15"/>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20" t="s">
        <v>3226</v>
      </c>
      <c r="B20" s="167" t="s">
        <v>1994</v>
      </c>
      <c r="C20" s="3245">
        <f>ROUND(IF(F21="与级别开发程度一致",0,(G21-E21)/C21),0)</f>
        <v>-16</v>
      </c>
      <c r="D20" s="3261" t="s">
        <v>1998</v>
      </c>
      <c r="E20" s="3262"/>
      <c r="F20" s="3826" t="s">
        <v>1995</v>
      </c>
      <c r="G20" s="3827"/>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21"/>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45429</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13</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0.97689999999999999</v>
      </c>
      <c r="D24" s="2052" t="s">
        <v>2007</v>
      </c>
      <c r="E24" s="1329">
        <f>存贷款利率!E24/100</f>
        <v>4.3499999999999997E-2</v>
      </c>
      <c r="F24" s="2052" t="s">
        <v>1999</v>
      </c>
      <c r="G24" s="763">
        <f>SUMIF(M30:Q30,E2,M33:Q33)</f>
        <v>5.5E-2</v>
      </c>
      <c r="H24" s="2052" t="s">
        <v>2008</v>
      </c>
      <c r="I24" s="764">
        <f>SUMIF('数据-取费表'!C6:C15,E2,'数据-取费表'!F6:F15)/COUNTIF('数据-取费表'!C6:C15,E2)</f>
        <v>37.01</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34690.01</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24"/>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25"/>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25"/>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22" t="s">
        <v>3265</v>
      </c>
      <c r="B103" s="3822"/>
      <c r="C103" s="3822"/>
      <c r="D103" s="3822"/>
      <c r="E103" s="3822"/>
      <c r="F103" s="3822"/>
      <c r="G103" s="3822"/>
      <c r="H103" s="3822"/>
      <c r="I103" s="3822"/>
      <c r="J103" s="3822"/>
      <c r="K103" s="3310"/>
      <c r="L103" s="3310"/>
      <c r="M103" s="3310"/>
      <c r="N103" s="3310"/>
    </row>
    <row r="104" spans="1:14">
      <c r="A104" s="3823" t="s">
        <v>3266</v>
      </c>
      <c r="B104" s="3823" t="s">
        <v>3267</v>
      </c>
      <c r="C104" s="3311" t="s">
        <v>3268</v>
      </c>
      <c r="D104" s="3312"/>
      <c r="E104" s="3312"/>
      <c r="F104" s="3312"/>
      <c r="G104" s="3312"/>
      <c r="H104" s="3312"/>
      <c r="I104" s="3312"/>
      <c r="J104" s="3313"/>
      <c r="K104" s="3314"/>
      <c r="L104" s="3314"/>
      <c r="M104" s="3314"/>
      <c r="N104" s="3314"/>
    </row>
    <row r="105" spans="1:14">
      <c r="A105" s="3823"/>
      <c r="B105" s="3823"/>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09"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10"/>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10"/>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10"/>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10"/>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10"/>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11"/>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12" t="s">
        <v>3282</v>
      </c>
      <c r="B113" s="3812"/>
      <c r="C113" s="3812"/>
      <c r="D113" s="3812"/>
      <c r="E113" s="3812"/>
      <c r="F113" s="3812"/>
      <c r="G113" s="3812"/>
      <c r="H113" s="3812"/>
      <c r="I113" s="3812"/>
      <c r="J113" s="3812"/>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J10" sqref="J1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90143</v>
      </c>
      <c r="C2" s="1866" t="s">
        <v>1651</v>
      </c>
      <c r="D2" s="1867" t="s">
        <v>1652</v>
      </c>
      <c r="E2" s="2593">
        <f>SUM(E6:E13)</f>
        <v>34690.01</v>
      </c>
      <c r="F2" s="2693"/>
      <c r="G2" s="1483"/>
      <c r="H2" s="1483"/>
      <c r="I2" s="1483"/>
      <c r="J2" s="1483"/>
      <c r="K2" s="1483"/>
      <c r="L2" s="1483"/>
      <c r="M2" s="1483"/>
      <c r="N2" s="1483"/>
      <c r="O2" s="1483"/>
      <c r="P2" s="1483"/>
      <c r="Q2" s="1483"/>
      <c r="R2" s="1483"/>
      <c r="S2" s="1483"/>
    </row>
    <row r="3" spans="1:22" ht="15.75">
      <c r="A3" s="1864" t="s">
        <v>686</v>
      </c>
      <c r="B3" s="2587">
        <f ca="1">ROUND(B2*10000/E2,0)</f>
        <v>25985</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28" t="s">
        <v>1654</v>
      </c>
      <c r="C5" s="3829"/>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85762</v>
      </c>
      <c r="C6" s="1866" t="s">
        <v>1651</v>
      </c>
      <c r="D6" s="2695"/>
      <c r="E6" s="2592">
        <f>IF(OR(A6=0,F6="否"),0,'数据-取费表'!K6+'数据-取费表'!S6)</f>
        <v>33097.4</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4381</v>
      </c>
      <c r="C7" s="1866" t="s">
        <v>1651</v>
      </c>
      <c r="D7" s="2695"/>
      <c r="E7" s="2592">
        <f>IF(OR(A7=0,F7="否"),0,'数据-取费表'!K7+'数据-取费表'!S7)</f>
        <v>1592.61</v>
      </c>
      <c r="F7" s="1870" t="s">
        <v>1657</v>
      </c>
      <c r="G7" s="1483"/>
      <c r="H7" s="1483"/>
      <c r="I7" s="1483"/>
      <c r="J7" s="1483"/>
      <c r="K7" s="1483"/>
      <c r="L7" s="1483"/>
      <c r="M7" s="1483"/>
      <c r="N7" s="1483"/>
      <c r="O7" s="1483"/>
      <c r="P7" s="1483"/>
      <c r="Q7" s="1483"/>
      <c r="R7" s="1483"/>
      <c r="S7" s="1483"/>
    </row>
    <row r="8" spans="1:22">
      <c r="A8" s="2590">
        <f>'数据-取费表'!AN8</f>
        <v>0</v>
      </c>
      <c r="B8" s="2588">
        <f>IF(F8="是",'数据-取费表'!AO8,0)</f>
        <v>0</v>
      </c>
      <c r="C8" s="1866" t="s">
        <v>1651</v>
      </c>
      <c r="D8" s="2695"/>
      <c r="E8" s="2592">
        <f>IF(OR(A8=0,F8="否"),0,'数据-取费表'!K8+'数据-取费表'!S8)</f>
        <v>0</v>
      </c>
      <c r="F8" s="1870"/>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37.01</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85762</v>
      </c>
      <c r="C2" s="1381" t="s">
        <v>805</v>
      </c>
      <c r="D2" s="1381"/>
      <c r="E2" s="1382"/>
      <c r="F2" s="1383"/>
      <c r="G2" s="2692"/>
      <c r="H2" s="2681"/>
      <c r="I2" s="2681"/>
      <c r="J2" s="2681"/>
      <c r="K2" s="2682"/>
      <c r="L2" s="2681"/>
      <c r="M2" s="2681"/>
    </row>
    <row r="3" spans="1:37" ht="18" customHeight="1" thickBot="1">
      <c r="A3" s="1384" t="s">
        <v>806</v>
      </c>
      <c r="B3" s="1385">
        <f ca="1">IF(ISERROR(B2*10000/F43),0,ROUND(B2*10000/F43,0))</f>
        <v>25912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5107</v>
      </c>
      <c r="D5" s="1358" t="s">
        <v>693</v>
      </c>
      <c r="E5" s="1066"/>
      <c r="F5" s="1067"/>
      <c r="G5" s="1378"/>
      <c r="H5" s="299">
        <v>1</v>
      </c>
      <c r="I5" s="300" t="s">
        <v>692</v>
      </c>
      <c r="J5" s="1065">
        <f ca="1">J6+J10+J12</f>
        <v>0</v>
      </c>
      <c r="K5" s="1358" t="s">
        <v>693</v>
      </c>
      <c r="L5" s="1066"/>
      <c r="M5" s="1067"/>
    </row>
    <row r="6" spans="1:37" ht="18" customHeight="1">
      <c r="A6" s="1064" t="s">
        <v>398</v>
      </c>
      <c r="B6" s="3832" t="s">
        <v>694</v>
      </c>
      <c r="C6" s="1069">
        <f ca="1">ROUND(F6*F8*F7*(1-F9)/10000,0)</f>
        <v>5101</v>
      </c>
      <c r="D6" s="155" t="s">
        <v>2109</v>
      </c>
      <c r="E6" s="302" t="s">
        <v>696</v>
      </c>
      <c r="F6" s="303">
        <f ca="1">INDIRECT("'数据-取费表'!u"&amp;$G$1)</f>
        <v>3300</v>
      </c>
      <c r="G6" s="1378"/>
      <c r="H6" s="1064" t="s">
        <v>398</v>
      </c>
      <c r="I6" s="3832" t="s">
        <v>694</v>
      </c>
      <c r="J6" s="301">
        <f ca="1">ROUND(M6*M8*M7*(1-M9)/10000,0)</f>
        <v>0</v>
      </c>
      <c r="K6" s="155" t="s">
        <v>2108</v>
      </c>
      <c r="L6" s="302" t="s">
        <v>696</v>
      </c>
      <c r="M6" s="303">
        <f ca="1">INDIRECT("'数据-取费表'!z"&amp;$G$1)</f>
        <v>0</v>
      </c>
    </row>
    <row r="7" spans="1:37" ht="18" customHeight="1">
      <c r="A7" s="1068"/>
      <c r="B7" s="3833"/>
      <c r="C7" s="1070"/>
      <c r="D7" s="307"/>
      <c r="E7" s="1071" t="s">
        <v>697</v>
      </c>
      <c r="F7" s="303">
        <f ca="1">IF(INDIRECT("'数据-取费表'!ah"&amp;$G$1)="",INDIRECT("'数据-取费表'!k"&amp;$G$1),INDIRECT("'数据-取费表'!ah"&amp;$G$1))</f>
        <v>1356</v>
      </c>
      <c r="G7" s="1378"/>
      <c r="H7" s="304"/>
      <c r="I7" s="3833"/>
      <c r="J7" s="306"/>
      <c r="K7" s="307"/>
      <c r="L7" s="302" t="s">
        <v>697</v>
      </c>
      <c r="M7" s="303">
        <f ca="1">F7</f>
        <v>1356</v>
      </c>
    </row>
    <row r="8" spans="1:37" ht="18" customHeight="1">
      <c r="A8" s="304"/>
      <c r="B8" s="3833"/>
      <c r="C8" s="306"/>
      <c r="D8" s="307"/>
      <c r="E8" s="302" t="s">
        <v>698</v>
      </c>
      <c r="F8" s="303">
        <f ca="1">INDIRECT("'数据-取费表'!ai"&amp;$G$1)</f>
        <v>12</v>
      </c>
      <c r="G8" s="1378"/>
      <c r="H8" s="304"/>
      <c r="I8" s="3833"/>
      <c r="J8" s="306"/>
      <c r="K8" s="307"/>
      <c r="L8" s="302" t="s">
        <v>698</v>
      </c>
      <c r="M8" s="303">
        <f ca="1">INDIRECT("'数据-取费表'!ai"&amp;$G$1)</f>
        <v>12</v>
      </c>
    </row>
    <row r="9" spans="1:37" ht="18" customHeight="1">
      <c r="A9" s="304"/>
      <c r="B9" s="3834"/>
      <c r="C9" s="306"/>
      <c r="D9" s="307"/>
      <c r="E9" s="302" t="s">
        <v>699</v>
      </c>
      <c r="F9" s="312">
        <f ca="1">INDIRECT("'数据-取费表'!w"&amp;$G$1)</f>
        <v>0.05</v>
      </c>
      <c r="G9" s="1378"/>
      <c r="H9" s="304"/>
      <c r="I9" s="3834"/>
      <c r="J9" s="306"/>
      <c r="K9" s="307"/>
      <c r="L9" s="313" t="s">
        <v>699</v>
      </c>
      <c r="M9" s="314">
        <f ca="1">INDIRECT("'数据-取费表'!ab"&amp;$G$1)</f>
        <v>0</v>
      </c>
    </row>
    <row r="10" spans="1:37" ht="18" customHeight="1">
      <c r="A10" s="1064" t="s">
        <v>402</v>
      </c>
      <c r="B10" s="1359" t="s">
        <v>700</v>
      </c>
      <c r="C10" s="316">
        <f ca="1">ROUND(IF(F10="押一",C6/12*F11,IF(F10="押二",C6/12*2*F11,IF(F10="押三",C6/12*3*F11,C11*F11))),0)</f>
        <v>6</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29014</v>
      </c>
      <c r="D13" s="1076" t="s">
        <v>705</v>
      </c>
      <c r="E13" s="1076"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19858</v>
      </c>
      <c r="D14" s="1339" t="s">
        <v>708</v>
      </c>
      <c r="E14" s="1336"/>
      <c r="F14" s="319"/>
      <c r="G14" s="1378"/>
      <c r="H14" s="977" t="s">
        <v>398</v>
      </c>
      <c r="I14" s="302" t="s">
        <v>709</v>
      </c>
      <c r="J14" s="21">
        <f ca="1">C29</f>
        <v>29307</v>
      </c>
      <c r="K14" s="12"/>
      <c r="L14" s="802"/>
      <c r="M14" s="803"/>
    </row>
    <row r="15" spans="1:37" s="1391" customFormat="1" ht="18" customHeight="1" thickBot="1">
      <c r="A15" s="977" t="s">
        <v>399</v>
      </c>
      <c r="B15" s="302" t="s">
        <v>710</v>
      </c>
      <c r="C15" s="21">
        <f ca="1">ROUND(C14*F15,0)</f>
        <v>993</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293</v>
      </c>
      <c r="K16" s="1082" t="s">
        <v>715</v>
      </c>
      <c r="L16" s="1083"/>
      <c r="M16" s="1067"/>
    </row>
    <row r="17" spans="1:37" s="1391" customFormat="1" ht="18" customHeight="1">
      <c r="A17" s="977" t="s">
        <v>681</v>
      </c>
      <c r="B17" s="302" t="s">
        <v>716</v>
      </c>
      <c r="C17" s="21">
        <f ca="1">ROUND(F17*(F43+INDIRECT("'数据-取费表'!S"&amp;$G$1))/10000,0)</f>
        <v>662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397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21910</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657</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293.07</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779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-293</v>
      </c>
      <c r="K25" s="1090" t="s">
        <v>753</v>
      </c>
      <c r="L25" s="1091"/>
      <c r="M25" s="1092"/>
    </row>
    <row r="26" spans="1:37">
      <c r="A26" s="977" t="s">
        <v>397</v>
      </c>
      <c r="B26" s="302" t="s">
        <v>754</v>
      </c>
      <c r="C26" s="21">
        <f ca="1">ROUND((C19+C20)*F26,0)</f>
        <v>3385</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29307</v>
      </c>
      <c r="D29" s="1087"/>
      <c r="E29" s="1085"/>
      <c r="F29" s="1088"/>
      <c r="G29" s="1390"/>
      <c r="H29" s="334" t="s">
        <v>396</v>
      </c>
      <c r="I29" s="335" t="s">
        <v>768</v>
      </c>
      <c r="J29" s="336">
        <f ca="1">ROUND(J26/(1+F40)^F41,0)</f>
        <v>0</v>
      </c>
      <c r="K29" s="337" t="s">
        <v>769</v>
      </c>
      <c r="L29" s="338"/>
      <c r="M29" s="339">
        <f ca="1">INDIRECT("'数据-取费表'!k"&amp;$G$1)</f>
        <v>33097.4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1223</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850.17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267.2</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582.97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293.07</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29.01</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51.07</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3884</v>
      </c>
      <c r="D39" s="1090" t="s">
        <v>773</v>
      </c>
      <c r="E39" s="1091"/>
      <c r="F39" s="1092"/>
      <c r="G39" s="1378"/>
      <c r="H39" s="2686"/>
      <c r="I39" s="1392"/>
      <c r="J39" s="1393"/>
      <c r="K39" s="2690"/>
      <c r="L39" s="2686"/>
      <c r="M39" s="2686"/>
    </row>
    <row r="40" spans="1:18" ht="18" customHeight="1">
      <c r="A40" s="299" t="s">
        <v>395</v>
      </c>
      <c r="B40" s="300" t="s">
        <v>774</v>
      </c>
      <c r="C40" s="301">
        <f ca="1">ROUND(C39*(1-((1+F42)/(1+F40))^F41)/(F40-F42),0)</f>
        <v>84955</v>
      </c>
      <c r="D40" s="324" t="s">
        <v>758</v>
      </c>
      <c r="E40" s="302" t="s">
        <v>759</v>
      </c>
      <c r="F40" s="312">
        <f ca="1">INDIRECT("'数据-取费表'!I"&amp;$G$1)</f>
        <v>5.5E-2</v>
      </c>
      <c r="G40" s="1378"/>
      <c r="H40" s="1455">
        <f ca="1">C39/C5</f>
        <v>0.76052476992363427</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37.01</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25668</v>
      </c>
      <c r="D43" s="337" t="s">
        <v>777</v>
      </c>
      <c r="E43" s="338" t="s">
        <v>778</v>
      </c>
      <c r="F43" s="339">
        <f ca="1">INDIRECT("'数据-取费表'!k"&amp;$G$1)</f>
        <v>33097.4</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-90002</v>
      </c>
      <c r="D46" s="1400" t="str">
        <f>C2</f>
        <v>万元</v>
      </c>
      <c r="E46" s="1394"/>
      <c r="F46" s="1394"/>
      <c r="I46" s="1401" t="s">
        <v>810</v>
      </c>
      <c r="J46" s="1402"/>
      <c r="K46" s="1403"/>
      <c r="L46" s="1404">
        <f ca="1">IF(M47="住宅",0,IF(L48&gt;J51,L60,J60))</f>
        <v>807</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84955</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37.01</v>
      </c>
      <c r="O48" s="1412" t="s">
        <v>404</v>
      </c>
      <c r="P48" s="1413" t="s">
        <v>821</v>
      </c>
      <c r="Q48" s="1414">
        <f ca="1">J60</f>
        <v>807</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f>'数据-取费表'!N18</f>
        <v>2023</v>
      </c>
      <c r="K49" s="1417" t="s">
        <v>824</v>
      </c>
      <c r="L49" s="1421"/>
      <c r="O49" s="1422" t="s">
        <v>405</v>
      </c>
      <c r="P49" s="1413" t="s">
        <v>825</v>
      </c>
      <c r="Q49" s="1414">
        <f ca="1">C29</f>
        <v>29307</v>
      </c>
      <c r="R49" s="1414" t="s">
        <v>818</v>
      </c>
    </row>
    <row r="50" spans="1:18" s="1378" customFormat="1" ht="13.5" thickBot="1">
      <c r="A50" s="971"/>
      <c r="B50" s="974"/>
      <c r="C50" s="1113"/>
      <c r="D50" s="948"/>
      <c r="E50" s="1051" t="s">
        <v>697</v>
      </c>
      <c r="F50" s="1052">
        <f ca="1">F7</f>
        <v>1356</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34977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37.01</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37.01</v>
      </c>
      <c r="K53" s="3830" t="s">
        <v>837</v>
      </c>
      <c r="L53" s="3831"/>
      <c r="O53" s="1412" t="s">
        <v>409</v>
      </c>
      <c r="P53" s="1413" t="s">
        <v>838</v>
      </c>
      <c r="Q53" s="1414">
        <f ca="1">Q47+Q48</f>
        <v>85762</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0.36699999999999999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29014</v>
      </c>
      <c r="D56" s="1441"/>
      <c r="E56" s="1442"/>
      <c r="F56" s="1434"/>
      <c r="I56" s="1443" t="s">
        <v>842</v>
      </c>
      <c r="J56" s="1444" t="s">
        <v>3372</v>
      </c>
      <c r="K56" s="1415" t="s">
        <v>843</v>
      </c>
      <c r="L56" s="1418" t="str">
        <f ca="1">IF(L48&lt;J51,"——",L48-J53)</f>
        <v>——</v>
      </c>
      <c r="O56" s="1412" t="s">
        <v>403</v>
      </c>
      <c r="P56" s="1413" t="s">
        <v>817</v>
      </c>
      <c r="Q56" s="1414">
        <f ca="1">C40+J29</f>
        <v>84955</v>
      </c>
      <c r="R56" s="1414" t="s">
        <v>818</v>
      </c>
    </row>
    <row r="57" spans="1:18" s="1378" customFormat="1" ht="24.75" thickBot="1">
      <c r="A57" s="1445"/>
      <c r="B57" s="945" t="s">
        <v>767</v>
      </c>
      <c r="C57" s="238">
        <f ca="1">C29</f>
        <v>29307</v>
      </c>
      <c r="D57" s="1446"/>
      <c r="E57" s="1447"/>
      <c r="F57" s="1448"/>
      <c r="I57" s="1449" t="s">
        <v>844</v>
      </c>
      <c r="J57" s="1450">
        <f ca="1">IF(OR(M47="住宅",J51&lt;L48,J56="是"),"——",J51-L48)</f>
        <v>21.990000000000002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322</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11723</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807</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84955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293.07</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29.01</v>
      </c>
      <c r="D65" s="959" t="s">
        <v>743</v>
      </c>
      <c r="E65" s="945" t="s">
        <v>744</v>
      </c>
      <c r="F65" s="330">
        <f t="shared" ca="1" si="0"/>
        <v>1E-3</v>
      </c>
      <c r="I65" s="1456" t="s">
        <v>867</v>
      </c>
      <c r="J65" s="1457">
        <v>40</v>
      </c>
      <c r="K65" s="1457">
        <v>30</v>
      </c>
      <c r="L65" s="1457">
        <v>50</v>
      </c>
      <c r="M65" s="1459">
        <v>0.02</v>
      </c>
      <c r="O65" s="1412" t="s">
        <v>403</v>
      </c>
      <c r="P65" s="1413" t="s">
        <v>868</v>
      </c>
      <c r="Q65" s="1414">
        <f ca="1">C40+J29</f>
        <v>84955</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-322</v>
      </c>
      <c r="D67" s="958" t="s">
        <v>753</v>
      </c>
      <c r="E67" s="963"/>
      <c r="F67" s="964"/>
      <c r="O67" s="1422" t="s">
        <v>405</v>
      </c>
      <c r="P67" s="1413" t="s">
        <v>850</v>
      </c>
      <c r="Q67" s="1460">
        <f ca="1">L51</f>
        <v>34977</v>
      </c>
      <c r="R67" s="1414" t="s">
        <v>870</v>
      </c>
    </row>
    <row r="68" spans="1:18" s="1378" customFormat="1" ht="16.5" thickBot="1">
      <c r="A68" s="942" t="s">
        <v>395</v>
      </c>
      <c r="B68" s="943" t="s">
        <v>774</v>
      </c>
      <c r="C68" s="301">
        <f ca="1">ROUND(C67*(1-((1+F70)/(1+F68))^F69)/(F68-F70),0)</f>
        <v>-5047</v>
      </c>
      <c r="D68" s="960" t="s">
        <v>758</v>
      </c>
      <c r="E68" s="945" t="s">
        <v>759</v>
      </c>
      <c r="F68" s="312">
        <f ca="1">F40</f>
        <v>5.5E-2</v>
      </c>
      <c r="O68" s="1422" t="s">
        <v>406</v>
      </c>
      <c r="P68" s="1461" t="s">
        <v>871</v>
      </c>
      <c r="Q68" s="1414">
        <f ca="1">ROUND(Q69-Q70*Q71,0)</f>
        <v>1853</v>
      </c>
      <c r="R68" s="1414" t="s">
        <v>414</v>
      </c>
    </row>
    <row r="69" spans="1:18" s="1378" customFormat="1" ht="13.5" thickBot="1">
      <c r="A69" s="946"/>
      <c r="B69" s="947"/>
      <c r="C69" s="306"/>
      <c r="D69" s="965" t="s">
        <v>762</v>
      </c>
      <c r="E69" s="945" t="s">
        <v>763</v>
      </c>
      <c r="F69" s="333">
        <f ca="1">F41</f>
        <v>37.01</v>
      </c>
      <c r="O69" s="1422" t="s">
        <v>411</v>
      </c>
      <c r="P69" s="1461" t="s">
        <v>872</v>
      </c>
      <c r="Q69" s="1414">
        <f ca="1">C39</f>
        <v>3884</v>
      </c>
      <c r="R69" s="1414" t="s">
        <v>818</v>
      </c>
    </row>
    <row r="70" spans="1:18" s="1378" customFormat="1" ht="13.5" thickBot="1">
      <c r="A70" s="949"/>
      <c r="B70" s="950"/>
      <c r="C70" s="310"/>
      <c r="D70" s="961"/>
      <c r="E70" s="945" t="s">
        <v>766</v>
      </c>
      <c r="F70" s="1049"/>
      <c r="O70" s="1422" t="s">
        <v>412</v>
      </c>
      <c r="P70" s="1461" t="s">
        <v>873</v>
      </c>
      <c r="Q70" s="1414">
        <f ca="1">C13</f>
        <v>29014</v>
      </c>
      <c r="R70" s="1414" t="s">
        <v>818</v>
      </c>
    </row>
    <row r="71" spans="1:18" s="1378" customFormat="1" ht="13.5" thickBot="1">
      <c r="A71" s="966" t="s">
        <v>396</v>
      </c>
      <c r="B71" s="967" t="s">
        <v>776</v>
      </c>
      <c r="C71" s="336">
        <f ca="1">ROUND(C68*10000/F71,0)</f>
        <v>-1525</v>
      </c>
      <c r="D71" s="968" t="s">
        <v>777</v>
      </c>
      <c r="E71" s="969" t="s">
        <v>778</v>
      </c>
      <c r="F71" s="339">
        <f ca="1">F43</f>
        <v>33097.4</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2031</v>
      </c>
      <c r="D75" s="1378"/>
      <c r="E75" s="1378"/>
      <c r="F75" s="1378"/>
      <c r="K75" s="1396"/>
      <c r="L75" s="1378"/>
      <c r="O75" s="1412" t="s">
        <v>409</v>
      </c>
      <c r="P75" s="1413" t="s">
        <v>838</v>
      </c>
      <c r="Q75" s="1414">
        <f ca="1">Q65+Q66</f>
        <v>84955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0.47699999999999998</v>
      </c>
    </row>
    <row r="80" spans="1:18">
      <c r="B80" s="340" t="s">
        <v>800</v>
      </c>
      <c r="C80" s="274">
        <f ca="1">ROUND(C75/C39,3)</f>
        <v>0.52300000000000002</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32" t="s">
        <v>694</v>
      </c>
      <c r="C6" s="1069">
        <f ca="1">ROUND(F6*F8*F7*(1-F9),0)</f>
        <v>0</v>
      </c>
      <c r="D6" s="155" t="s">
        <v>2106</v>
      </c>
      <c r="E6" s="302" t="s">
        <v>696</v>
      </c>
      <c r="F6" s="303">
        <f ca="1">INDIRECT("'数据-取费表'!u"&amp;$G$1)</f>
        <v>0</v>
      </c>
      <c r="G6" s="1378"/>
      <c r="H6" s="1064" t="s">
        <v>398</v>
      </c>
      <c r="I6" s="3832" t="s">
        <v>694</v>
      </c>
      <c r="J6" s="301">
        <f ca="1">ROUND(M6*M8*M7*(1-M9),0)</f>
        <v>0</v>
      </c>
      <c r="K6" s="1370" t="s">
        <v>2107</v>
      </c>
      <c r="L6" s="302" t="s">
        <v>696</v>
      </c>
      <c r="M6" s="303">
        <f ca="1">INDIRECT("'数据-取费表'!z"&amp;$G$1)</f>
        <v>0</v>
      </c>
    </row>
    <row r="7" spans="1:37" ht="18" customHeight="1">
      <c r="A7" s="1068"/>
      <c r="B7" s="3833"/>
      <c r="C7" s="1070"/>
      <c r="D7" s="307"/>
      <c r="E7" s="1071" t="s">
        <v>697</v>
      </c>
      <c r="F7" s="303">
        <f ca="1">IF(INDIRECT("'数据-取费表'!ah"&amp;$G$1)="",INDIRECT("'数据-取费表'!k"&amp;$G$1),INDIRECT("'数据-取费表'!ah"&amp;$G$1))</f>
        <v>0</v>
      </c>
      <c r="G7" s="1378"/>
      <c r="H7" s="304"/>
      <c r="I7" s="3833"/>
      <c r="J7" s="306"/>
      <c r="K7" s="307"/>
      <c r="L7" s="302" t="s">
        <v>697</v>
      </c>
      <c r="M7" s="303">
        <f ca="1">F7</f>
        <v>0</v>
      </c>
    </row>
    <row r="8" spans="1:37" ht="18" customHeight="1">
      <c r="A8" s="304"/>
      <c r="B8" s="3833"/>
      <c r="C8" s="306"/>
      <c r="D8" s="307"/>
      <c r="E8" s="302" t="s">
        <v>698</v>
      </c>
      <c r="F8" s="303">
        <f ca="1">INDIRECT("'数据-取费表'!ai"&amp;$G$1)</f>
        <v>0</v>
      </c>
      <c r="G8" s="1378"/>
      <c r="H8" s="304"/>
      <c r="I8" s="3833"/>
      <c r="J8" s="306"/>
      <c r="K8" s="307"/>
      <c r="L8" s="302" t="s">
        <v>698</v>
      </c>
      <c r="M8" s="303">
        <f ca="1">INDIRECT("'数据-取费表'!ai"&amp;$G$1)</f>
        <v>0</v>
      </c>
    </row>
    <row r="9" spans="1:37" ht="18" customHeight="1">
      <c r="A9" s="304"/>
      <c r="B9" s="3834"/>
      <c r="C9" s="306"/>
      <c r="D9" s="307"/>
      <c r="E9" s="302" t="s">
        <v>699</v>
      </c>
      <c r="F9" s="312">
        <f ca="1">INDIRECT("'数据-取费表'!w"&amp;$G$1)</f>
        <v>0</v>
      </c>
      <c r="G9" s="1378"/>
      <c r="H9" s="304"/>
      <c r="I9" s="3834"/>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30" t="s">
        <v>837</v>
      </c>
      <c r="L53" s="3831"/>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41" t="s">
        <v>2312</v>
      </c>
      <c r="K2" s="3842"/>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43" t="s">
        <v>2322</v>
      </c>
      <c r="K3" s="3844"/>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43" t="s">
        <v>2324</v>
      </c>
      <c r="K4" s="3844"/>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49" t="s">
        <v>2328</v>
      </c>
      <c r="B6" s="3850"/>
      <c r="C6" s="3851"/>
      <c r="D6" s="2856"/>
      <c r="E6" s="2857"/>
      <c r="F6" s="2858"/>
      <c r="G6" s="2859"/>
      <c r="H6" s="2834"/>
      <c r="I6" s="2835"/>
      <c r="J6" s="3835">
        <v>1</v>
      </c>
      <c r="K6" s="3836"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35"/>
      <c r="K7" s="3837"/>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52" t="s">
        <v>2342</v>
      </c>
      <c r="C8" s="3853"/>
      <c r="D8" s="2875" t="s">
        <v>2343</v>
      </c>
      <c r="E8" s="2876" t="s">
        <v>2344</v>
      </c>
      <c r="F8" s="2877" t="s">
        <v>2345</v>
      </c>
      <c r="G8" s="2878"/>
      <c r="H8" s="2834"/>
      <c r="I8" s="2835"/>
      <c r="J8" s="3835"/>
      <c r="K8" s="3837"/>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52" t="s">
        <v>2348</v>
      </c>
      <c r="C9" s="3853"/>
      <c r="D9" s="2875">
        <f>ROUND(D6*E9,0)</f>
        <v>0</v>
      </c>
      <c r="E9" s="2879"/>
      <c r="F9" s="2880" t="s">
        <v>2349</v>
      </c>
      <c r="G9" s="2859"/>
      <c r="H9" s="2834"/>
      <c r="I9" s="2835"/>
      <c r="J9" s="3835"/>
      <c r="K9" s="3837"/>
      <c r="L9" s="2869" t="s">
        <v>2350</v>
      </c>
      <c r="M9" s="2870"/>
      <c r="N9" s="2846"/>
      <c r="O9" s="2871"/>
      <c r="P9" s="2871"/>
      <c r="Q9" s="2872">
        <v>365</v>
      </c>
      <c r="R9" s="2873">
        <f t="shared" si="0"/>
        <v>0</v>
      </c>
      <c r="S9" s="2827"/>
      <c r="T9" s="2827"/>
      <c r="U9" s="2827"/>
      <c r="V9" s="2835"/>
    </row>
    <row r="10" spans="1:22" s="2839" customFormat="1" ht="13.15" customHeight="1">
      <c r="A10" s="2874">
        <v>2</v>
      </c>
      <c r="B10" s="3852" t="s">
        <v>2351</v>
      </c>
      <c r="C10" s="3853"/>
      <c r="D10" s="2875">
        <f>ROUND(D6*E10,0)</f>
        <v>0</v>
      </c>
      <c r="E10" s="2879"/>
      <c r="F10" s="2880" t="s">
        <v>2352</v>
      </c>
      <c r="G10" s="2859"/>
      <c r="H10" s="2834"/>
      <c r="I10" s="2835"/>
      <c r="J10" s="3835"/>
      <c r="K10" s="3837"/>
      <c r="L10" s="2869" t="s">
        <v>2353</v>
      </c>
      <c r="M10" s="2870"/>
      <c r="N10" s="2846"/>
      <c r="O10" s="2871"/>
      <c r="P10" s="2871"/>
      <c r="Q10" s="2872">
        <v>365</v>
      </c>
      <c r="R10" s="2873">
        <f t="shared" si="0"/>
        <v>0</v>
      </c>
      <c r="S10" s="2827"/>
      <c r="T10" s="2827"/>
      <c r="U10" s="2827"/>
      <c r="V10" s="2835"/>
    </row>
    <row r="11" spans="1:22" s="2839" customFormat="1" ht="13.15" customHeight="1">
      <c r="A11" s="2874">
        <v>3</v>
      </c>
      <c r="B11" s="3852" t="s">
        <v>2354</v>
      </c>
      <c r="C11" s="3853"/>
      <c r="D11" s="2875">
        <f>D12+D14+D15+D16</f>
        <v>0</v>
      </c>
      <c r="E11" s="2881" t="e">
        <f>D11/D6</f>
        <v>#DIV/0!</v>
      </c>
      <c r="F11" s="2877"/>
      <c r="G11" s="2878"/>
      <c r="H11" s="2834"/>
      <c r="I11" s="2835"/>
      <c r="J11" s="3835"/>
      <c r="K11" s="3837"/>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45" t="s">
        <v>2357</v>
      </c>
      <c r="C12" s="3846"/>
      <c r="D12" s="2883">
        <f>ROUND(D13*1.2%*(1-30%),0)</f>
        <v>0</v>
      </c>
      <c r="E12" s="2884">
        <v>1.2E-2</v>
      </c>
      <c r="F12" s="2877" t="s">
        <v>2358</v>
      </c>
      <c r="G12" s="2878"/>
      <c r="H12" s="2834"/>
      <c r="I12" s="2835"/>
      <c r="J12" s="3835"/>
      <c r="K12" s="3837"/>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35"/>
      <c r="K13" s="3837"/>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45" t="s">
        <v>2363</v>
      </c>
      <c r="C14" s="3846"/>
      <c r="D14" s="2883">
        <f>ROUND(E14*B5/10000,0)</f>
        <v>0</v>
      </c>
      <c r="E14" s="2872"/>
      <c r="F14" s="2877" t="s">
        <v>2364</v>
      </c>
      <c r="G14" s="2878"/>
      <c r="H14" s="2834"/>
      <c r="I14" s="2835"/>
      <c r="J14" s="3835"/>
      <c r="K14" s="3838"/>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45" t="s">
        <v>2367</v>
      </c>
      <c r="C15" s="3846"/>
      <c r="D15" s="2883">
        <f>ROUND(D6*E15,0)</f>
        <v>0</v>
      </c>
      <c r="E15" s="2884">
        <v>5.5E-2</v>
      </c>
      <c r="F15" s="2877" t="s">
        <v>2368</v>
      </c>
      <c r="G15" s="2859"/>
      <c r="H15" s="2834"/>
      <c r="I15" s="2835"/>
      <c r="J15" s="3835">
        <v>2</v>
      </c>
      <c r="K15" s="3836"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45" t="s">
        <v>2376</v>
      </c>
      <c r="C16" s="3846"/>
      <c r="D16" s="2894">
        <f>D6*E16</f>
        <v>0</v>
      </c>
      <c r="E16" s="2895"/>
      <c r="F16" s="2880" t="s">
        <v>2377</v>
      </c>
      <c r="G16" s="2859"/>
      <c r="H16" s="2834"/>
      <c r="I16" s="2835"/>
      <c r="J16" s="3835"/>
      <c r="K16" s="3837"/>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47" t="s">
        <v>2379</v>
      </c>
      <c r="C17" s="3848"/>
      <c r="D17" s="2897">
        <f>ROUND(D6*E17,0)</f>
        <v>0</v>
      </c>
      <c r="E17" s="2898"/>
      <c r="F17" s="2899" t="s">
        <v>2380</v>
      </c>
      <c r="G17" s="2859"/>
      <c r="H17" s="2834"/>
      <c r="I17" s="2835"/>
      <c r="J17" s="3835"/>
      <c r="K17" s="3837"/>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35"/>
      <c r="K18" s="3837"/>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35"/>
      <c r="K19" s="3838"/>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35">
        <v>3</v>
      </c>
      <c r="K20" s="3836"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35"/>
      <c r="K21" s="3837"/>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35"/>
      <c r="K22" s="3837"/>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35"/>
      <c r="K23" s="3837"/>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35"/>
      <c r="K24" s="3838"/>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39">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40"/>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41" t="s">
        <v>2312</v>
      </c>
      <c r="K32" s="3842"/>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43" t="s">
        <v>2322</v>
      </c>
      <c r="K33" s="3844"/>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43" t="s">
        <v>2324</v>
      </c>
      <c r="K34" s="3844"/>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35">
        <v>1</v>
      </c>
      <c r="K36" s="3836"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35"/>
      <c r="K37" s="3837"/>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35"/>
      <c r="K38" s="3837"/>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35"/>
      <c r="K39" s="3837"/>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35"/>
      <c r="K40" s="3838"/>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39">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40"/>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3666</v>
      </c>
      <c r="M46" s="3404" t="s">
        <v>3667</v>
      </c>
      <c r="N46" s="3404" t="s">
        <v>3668</v>
      </c>
    </row>
    <row r="47" spans="1:23" ht="13.15" customHeight="1">
      <c r="K47" s="3404" t="s">
        <v>3663</v>
      </c>
      <c r="L47" s="2988">
        <f>'数据-汇总表'!E19</f>
        <v>33097.4</v>
      </c>
      <c r="M47" s="2988">
        <f>L47</f>
        <v>33097.4</v>
      </c>
    </row>
    <row r="48" spans="1:23" ht="13.15" customHeight="1">
      <c r="K48" s="3404" t="s">
        <v>3664</v>
      </c>
      <c r="L48" s="2988">
        <f>'数据-汇总表'!E20</f>
        <v>1592.61</v>
      </c>
      <c r="M48" s="2988">
        <f>'数据-取费表'!U21</f>
        <v>1274.088</v>
      </c>
    </row>
    <row r="49" spans="11:13" ht="13.15" customHeight="1">
      <c r="K49" s="3404" t="s">
        <v>3665</v>
      </c>
      <c r="L49" s="2988">
        <f>'数据-汇总表'!E21</f>
        <v>0</v>
      </c>
      <c r="M49" s="2988">
        <v>120</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2024年5月17日（评估专业人员实地查勘之日）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34690.01</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69" t="s">
        <v>1667</v>
      </c>
      <c r="D4" s="3781"/>
      <c r="E4" s="3782" t="s">
        <v>1668</v>
      </c>
      <c r="F4" s="3783"/>
      <c r="G4" s="3769" t="s">
        <v>1669</v>
      </c>
      <c r="H4" s="3781"/>
      <c r="I4" s="3769" t="s">
        <v>1670</v>
      </c>
      <c r="J4" s="3781"/>
      <c r="K4" s="1883" t="s">
        <v>1671</v>
      </c>
      <c r="L4" s="2701"/>
      <c r="M4" s="2702"/>
      <c r="N4" s="2702"/>
      <c r="O4" s="2702"/>
      <c r="P4" s="3784" t="s">
        <v>1672</v>
      </c>
      <c r="Q4" s="3785"/>
      <c r="R4" s="3790" t="s">
        <v>1668</v>
      </c>
      <c r="S4" s="3791"/>
      <c r="T4" s="3790" t="s">
        <v>1669</v>
      </c>
      <c r="U4" s="3791"/>
      <c r="V4" s="3777" t="s">
        <v>1670</v>
      </c>
      <c r="W4" s="3777"/>
      <c r="X4" s="1349"/>
      <c r="Y4" s="3790" t="s">
        <v>1672</v>
      </c>
      <c r="Z4" s="3791"/>
      <c r="AA4" s="3778" t="s">
        <v>1668</v>
      </c>
      <c r="AB4" s="3778" t="s">
        <v>1669</v>
      </c>
      <c r="AC4" s="3778" t="s">
        <v>1670</v>
      </c>
    </row>
    <row r="5" spans="1:29" ht="15">
      <c r="A5" s="358"/>
      <c r="B5" s="359"/>
      <c r="C5" s="3798" t="s">
        <v>1673</v>
      </c>
      <c r="D5" s="3799"/>
      <c r="E5" s="3807" t="s">
        <v>1674</v>
      </c>
      <c r="F5" s="3808"/>
      <c r="G5" s="3798" t="s">
        <v>1675</v>
      </c>
      <c r="H5" s="3799"/>
      <c r="I5" s="3798" t="s">
        <v>1676</v>
      </c>
      <c r="J5" s="3799"/>
      <c r="K5" s="1884"/>
      <c r="L5" s="2701"/>
      <c r="M5" s="2702"/>
      <c r="N5" s="2702"/>
      <c r="O5" s="2702"/>
      <c r="P5" s="3786"/>
      <c r="Q5" s="3787"/>
      <c r="R5" s="3792"/>
      <c r="S5" s="3793"/>
      <c r="T5" s="3792"/>
      <c r="U5" s="3793"/>
      <c r="V5" s="3777"/>
      <c r="W5" s="3777"/>
      <c r="X5" s="1349"/>
      <c r="Y5" s="3792"/>
      <c r="Z5" s="3793"/>
      <c r="AA5" s="3779"/>
      <c r="AB5" s="3779"/>
      <c r="AC5" s="3779"/>
    </row>
    <row r="6" spans="1:29" ht="15.75" thickBot="1">
      <c r="A6" s="360"/>
      <c r="B6" s="361"/>
      <c r="C6" s="3796" t="s">
        <v>1677</v>
      </c>
      <c r="D6" s="3797"/>
      <c r="E6" s="3805" t="s">
        <v>1677</v>
      </c>
      <c r="F6" s="3806"/>
      <c r="G6" s="3796" t="s">
        <v>1677</v>
      </c>
      <c r="H6" s="3797"/>
      <c r="I6" s="3796" t="s">
        <v>1677</v>
      </c>
      <c r="J6" s="3797"/>
      <c r="K6" s="1884" t="s">
        <v>1678</v>
      </c>
      <c r="L6" s="2701"/>
      <c r="M6" s="2702"/>
      <c r="N6" s="2702"/>
      <c r="O6" s="2702"/>
      <c r="P6" s="3788"/>
      <c r="Q6" s="3789"/>
      <c r="R6" s="3792"/>
      <c r="S6" s="3793"/>
      <c r="T6" s="3794"/>
      <c r="U6" s="3795"/>
      <c r="V6" s="3777"/>
      <c r="W6" s="3777"/>
      <c r="X6" s="1349"/>
      <c r="Y6" s="3794"/>
      <c r="Z6" s="3795"/>
      <c r="AA6" s="3780"/>
      <c r="AB6" s="3780"/>
      <c r="AC6" s="3780"/>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800" t="s">
        <v>1680</v>
      </c>
      <c r="Q7" s="3802"/>
      <c r="R7" s="701" t="s">
        <v>20</v>
      </c>
      <c r="S7" s="702">
        <f t="shared" ref="S7:S15" si="0">F7</f>
        <v>0</v>
      </c>
      <c r="T7" s="701" t="s">
        <v>20</v>
      </c>
      <c r="U7" s="702">
        <f t="shared" ref="U7:U15" si="1">H7</f>
        <v>0</v>
      </c>
      <c r="V7" s="701" t="s">
        <v>20</v>
      </c>
      <c r="W7" s="702">
        <f t="shared" ref="W7:W15" si="2">J7</f>
        <v>0</v>
      </c>
      <c r="X7" s="703"/>
      <c r="Y7" s="3800" t="s">
        <v>1680</v>
      </c>
      <c r="Z7" s="3801"/>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800" t="s">
        <v>1683</v>
      </c>
      <c r="Q8" s="3801"/>
      <c r="R8" s="701" t="s">
        <v>20</v>
      </c>
      <c r="S8" s="702">
        <f t="shared" si="0"/>
        <v>100</v>
      </c>
      <c r="T8" s="701" t="s">
        <v>20</v>
      </c>
      <c r="U8" s="702">
        <f t="shared" si="1"/>
        <v>100</v>
      </c>
      <c r="V8" s="701" t="s">
        <v>20</v>
      </c>
      <c r="W8" s="702">
        <f t="shared" si="2"/>
        <v>100</v>
      </c>
      <c r="X8" s="703"/>
      <c r="Y8" s="3800" t="s">
        <v>1683</v>
      </c>
      <c r="Z8" s="38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771" t="s">
        <v>1686</v>
      </c>
      <c r="Q9" s="1337"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771"/>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771"/>
      <c r="Q11" s="1337" t="str">
        <f t="shared" si="6"/>
        <v>容积率</v>
      </c>
      <c r="R11" s="701" t="s">
        <v>18</v>
      </c>
      <c r="S11" s="702" t="e">
        <f t="shared" si="0"/>
        <v>#N/A</v>
      </c>
      <c r="T11" s="701" t="s">
        <v>18</v>
      </c>
      <c r="U11" s="702" t="e">
        <f t="shared" si="1"/>
        <v>#N/A</v>
      </c>
      <c r="V11" s="701" t="s">
        <v>18</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771"/>
      <c r="Q12" s="1337">
        <f t="shared" si="6"/>
        <v>111</v>
      </c>
      <c r="R12" s="701" t="s">
        <v>18</v>
      </c>
      <c r="S12" s="702">
        <f t="shared" si="0"/>
        <v>100</v>
      </c>
      <c r="T12" s="701" t="s">
        <v>18</v>
      </c>
      <c r="U12" s="702">
        <f t="shared" si="1"/>
        <v>100</v>
      </c>
      <c r="V12" s="701" t="s">
        <v>18</v>
      </c>
      <c r="W12" s="702">
        <f t="shared" si="2"/>
        <v>100</v>
      </c>
      <c r="X12" s="703"/>
      <c r="Y12" s="3669"/>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771"/>
      <c r="Q13" s="1337">
        <f t="shared" si="6"/>
        <v>111</v>
      </c>
      <c r="R13" s="701" t="s">
        <v>18</v>
      </c>
      <c r="S13" s="702">
        <f t="shared" si="0"/>
        <v>100</v>
      </c>
      <c r="T13" s="701" t="s">
        <v>18</v>
      </c>
      <c r="U13" s="702">
        <f t="shared" si="1"/>
        <v>100</v>
      </c>
      <c r="V13" s="701" t="s">
        <v>18</v>
      </c>
      <c r="W13" s="702">
        <f t="shared" si="2"/>
        <v>100</v>
      </c>
      <c r="X13" s="703"/>
      <c r="Y13" s="3669"/>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771"/>
      <c r="Q14" s="1337">
        <f t="shared" si="6"/>
        <v>111</v>
      </c>
      <c r="R14" s="701" t="s">
        <v>18</v>
      </c>
      <c r="S14" s="702">
        <f t="shared" si="0"/>
        <v>100</v>
      </c>
      <c r="T14" s="701" t="s">
        <v>18</v>
      </c>
      <c r="U14" s="702">
        <f t="shared" si="1"/>
        <v>100</v>
      </c>
      <c r="V14" s="701" t="s">
        <v>18</v>
      </c>
      <c r="W14" s="702">
        <f t="shared" si="2"/>
        <v>100</v>
      </c>
      <c r="X14" s="703"/>
      <c r="Y14" s="3669"/>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60" t="s">
        <v>1691</v>
      </c>
      <c r="Q15" s="1346" t="str">
        <f t="shared" si="6"/>
        <v>居住社区成熟度</v>
      </c>
      <c r="R15" s="705" t="s">
        <v>18</v>
      </c>
      <c r="S15" s="706">
        <f t="shared" si="0"/>
        <v>100</v>
      </c>
      <c r="T15" s="705" t="s">
        <v>18</v>
      </c>
      <c r="U15" s="706">
        <f t="shared" si="1"/>
        <v>100</v>
      </c>
      <c r="V15" s="705" t="s">
        <v>18</v>
      </c>
      <c r="W15" s="706">
        <f t="shared" si="2"/>
        <v>100</v>
      </c>
      <c r="X15" s="1349"/>
      <c r="Y15" s="3773"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61"/>
      <c r="Q16" s="1346"/>
      <c r="R16" s="705"/>
      <c r="S16" s="706"/>
      <c r="T16" s="705"/>
      <c r="U16" s="706"/>
      <c r="V16" s="705"/>
      <c r="W16" s="706"/>
      <c r="X16" s="1349"/>
      <c r="Y16" s="3774"/>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61"/>
      <c r="Q17" s="1346" t="str">
        <f>B17</f>
        <v>交通便捷度</v>
      </c>
      <c r="R17" s="705" t="s">
        <v>18</v>
      </c>
      <c r="S17" s="706">
        <f>F17</f>
        <v>100</v>
      </c>
      <c r="T17" s="705" t="s">
        <v>18</v>
      </c>
      <c r="U17" s="706">
        <f>H17</f>
        <v>100</v>
      </c>
      <c r="V17" s="705" t="s">
        <v>18</v>
      </c>
      <c r="W17" s="706">
        <f>J17</f>
        <v>100</v>
      </c>
      <c r="X17" s="1349"/>
      <c r="Y17" s="3774"/>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61"/>
      <c r="Q18" s="1346"/>
      <c r="R18" s="705"/>
      <c r="S18" s="706"/>
      <c r="T18" s="705"/>
      <c r="U18" s="706"/>
      <c r="V18" s="705"/>
      <c r="W18" s="706"/>
      <c r="X18" s="1349"/>
      <c r="Y18" s="3774"/>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61"/>
      <c r="Q19" s="1346" t="str">
        <f>B19</f>
        <v>公共配套设施</v>
      </c>
      <c r="R19" s="705" t="s">
        <v>18</v>
      </c>
      <c r="S19" s="706">
        <f>F19</f>
        <v>100</v>
      </c>
      <c r="T19" s="705" t="s">
        <v>18</v>
      </c>
      <c r="U19" s="706">
        <f>H19</f>
        <v>100</v>
      </c>
      <c r="V19" s="705" t="s">
        <v>18</v>
      </c>
      <c r="W19" s="706">
        <f>J19</f>
        <v>100</v>
      </c>
      <c r="X19" s="1349"/>
      <c r="Y19" s="3774"/>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61"/>
      <c r="Q20" s="1346"/>
      <c r="R20" s="705"/>
      <c r="S20" s="706"/>
      <c r="T20" s="705"/>
      <c r="U20" s="706"/>
      <c r="V20" s="705"/>
      <c r="W20" s="706"/>
      <c r="X20" s="1349"/>
      <c r="Y20" s="3774"/>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61"/>
      <c r="Q21" s="1346" t="str">
        <f>B21</f>
        <v>基础设施水平</v>
      </c>
      <c r="R21" s="705" t="s">
        <v>14</v>
      </c>
      <c r="S21" s="706">
        <f>F21</f>
        <v>100</v>
      </c>
      <c r="T21" s="705" t="s">
        <v>14</v>
      </c>
      <c r="U21" s="706">
        <f>H21</f>
        <v>100</v>
      </c>
      <c r="V21" s="705" t="s">
        <v>14</v>
      </c>
      <c r="W21" s="706">
        <f>J21</f>
        <v>100</v>
      </c>
      <c r="X21" s="1349"/>
      <c r="Y21" s="3774"/>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61"/>
      <c r="Q22" s="1346"/>
      <c r="R22" s="705"/>
      <c r="S22" s="706"/>
      <c r="T22" s="705"/>
      <c r="U22" s="706"/>
      <c r="V22" s="705"/>
      <c r="W22" s="706"/>
      <c r="X22" s="1349"/>
      <c r="Y22" s="3774"/>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61"/>
      <c r="Q23" s="1346" t="str">
        <f>B23</f>
        <v>自然及人文环境</v>
      </c>
      <c r="R23" s="705" t="s">
        <v>18</v>
      </c>
      <c r="S23" s="706">
        <f>F23</f>
        <v>100</v>
      </c>
      <c r="T23" s="705" t="s">
        <v>18</v>
      </c>
      <c r="U23" s="706">
        <f>H23</f>
        <v>100</v>
      </c>
      <c r="V23" s="705" t="s">
        <v>18</v>
      </c>
      <c r="W23" s="706">
        <f>J23</f>
        <v>100</v>
      </c>
      <c r="X23" s="1349"/>
      <c r="Y23" s="3774"/>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61"/>
      <c r="Q24" s="1346"/>
      <c r="R24" s="705"/>
      <c r="S24" s="706"/>
      <c r="T24" s="705"/>
      <c r="U24" s="706"/>
      <c r="V24" s="705"/>
      <c r="W24" s="706"/>
      <c r="X24" s="1349"/>
      <c r="Y24" s="3774"/>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61"/>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774"/>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61"/>
      <c r="Q26" s="1346" t="str">
        <f t="shared" si="11"/>
        <v>朝向</v>
      </c>
      <c r="R26" s="705" t="s">
        <v>18</v>
      </c>
      <c r="S26" s="706">
        <f t="shared" si="12"/>
        <v>100</v>
      </c>
      <c r="T26" s="705" t="s">
        <v>18</v>
      </c>
      <c r="U26" s="706">
        <f t="shared" si="13"/>
        <v>100</v>
      </c>
      <c r="V26" s="705" t="s">
        <v>18</v>
      </c>
      <c r="W26" s="706">
        <f t="shared" si="14"/>
        <v>100</v>
      </c>
      <c r="X26" s="1349"/>
      <c r="Y26" s="3774"/>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61"/>
      <c r="Q27" s="1337">
        <f t="shared" si="11"/>
        <v>111</v>
      </c>
      <c r="R27" s="701" t="s">
        <v>18</v>
      </c>
      <c r="S27" s="702">
        <f t="shared" si="12"/>
        <v>100</v>
      </c>
      <c r="T27" s="701" t="s">
        <v>18</v>
      </c>
      <c r="U27" s="702">
        <f t="shared" si="13"/>
        <v>100</v>
      </c>
      <c r="V27" s="701" t="s">
        <v>18</v>
      </c>
      <c r="W27" s="702">
        <f t="shared" si="14"/>
        <v>100</v>
      </c>
      <c r="X27" s="703"/>
      <c r="Y27" s="3774"/>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61"/>
      <c r="Q28" s="1346">
        <f t="shared" si="11"/>
        <v>111</v>
      </c>
      <c r="R28" s="705" t="s">
        <v>18</v>
      </c>
      <c r="S28" s="706">
        <f t="shared" si="12"/>
        <v>100</v>
      </c>
      <c r="T28" s="705" t="s">
        <v>18</v>
      </c>
      <c r="U28" s="706">
        <f t="shared" si="13"/>
        <v>100</v>
      </c>
      <c r="V28" s="705" t="s">
        <v>18</v>
      </c>
      <c r="W28" s="706">
        <f t="shared" si="14"/>
        <v>100</v>
      </c>
      <c r="X28" s="1349"/>
      <c r="Y28" s="3774"/>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61"/>
      <c r="Q29" s="1346">
        <f t="shared" si="11"/>
        <v>111</v>
      </c>
      <c r="R29" s="705" t="s">
        <v>18</v>
      </c>
      <c r="S29" s="706">
        <f t="shared" si="12"/>
        <v>100</v>
      </c>
      <c r="T29" s="705" t="s">
        <v>18</v>
      </c>
      <c r="U29" s="706">
        <f t="shared" si="13"/>
        <v>100</v>
      </c>
      <c r="V29" s="705" t="s">
        <v>18</v>
      </c>
      <c r="W29" s="706">
        <f t="shared" si="14"/>
        <v>100</v>
      </c>
      <c r="X29" s="1349"/>
      <c r="Y29" s="3774"/>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61"/>
      <c r="Q30" s="1346">
        <f t="shared" si="11"/>
        <v>111</v>
      </c>
      <c r="R30" s="705" t="s">
        <v>18</v>
      </c>
      <c r="S30" s="706">
        <f t="shared" si="12"/>
        <v>100</v>
      </c>
      <c r="T30" s="705" t="s">
        <v>18</v>
      </c>
      <c r="U30" s="706">
        <f t="shared" si="13"/>
        <v>100</v>
      </c>
      <c r="V30" s="705" t="s">
        <v>18</v>
      </c>
      <c r="W30" s="706">
        <f t="shared" si="14"/>
        <v>100</v>
      </c>
      <c r="X30" s="1349"/>
      <c r="Y30" s="3774"/>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61"/>
      <c r="Q31" s="1346">
        <f t="shared" si="11"/>
        <v>111</v>
      </c>
      <c r="R31" s="705" t="s">
        <v>18</v>
      </c>
      <c r="S31" s="706">
        <f t="shared" si="12"/>
        <v>100</v>
      </c>
      <c r="T31" s="705" t="s">
        <v>18</v>
      </c>
      <c r="U31" s="706">
        <f t="shared" si="13"/>
        <v>100</v>
      </c>
      <c r="V31" s="705" t="s">
        <v>18</v>
      </c>
      <c r="W31" s="706">
        <f t="shared" si="14"/>
        <v>100</v>
      </c>
      <c r="X31" s="1349"/>
      <c r="Y31" s="3774"/>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56" t="s">
        <v>1696</v>
      </c>
      <c r="Q32" s="1346" t="str">
        <f t="shared" si="11"/>
        <v>建筑类型</v>
      </c>
      <c r="R32" s="705" t="s">
        <v>18</v>
      </c>
      <c r="S32" s="706">
        <f t="shared" si="12"/>
        <v>100</v>
      </c>
      <c r="T32" s="705" t="s">
        <v>18</v>
      </c>
      <c r="U32" s="706">
        <f t="shared" si="13"/>
        <v>100</v>
      </c>
      <c r="V32" s="705" t="s">
        <v>18</v>
      </c>
      <c r="W32" s="706">
        <f t="shared" si="14"/>
        <v>100</v>
      </c>
      <c r="X32" s="1349"/>
      <c r="Y32" s="3776"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57"/>
      <c r="Q33" s="707" t="str">
        <f t="shared" si="11"/>
        <v>项目建筑规模</v>
      </c>
      <c r="R33" s="708" t="s">
        <v>18</v>
      </c>
      <c r="S33" s="709" t="e">
        <f t="shared" si="12"/>
        <v>#N/A</v>
      </c>
      <c r="T33" s="708" t="s">
        <v>18</v>
      </c>
      <c r="U33" s="709" t="e">
        <f t="shared" si="13"/>
        <v>#N/A</v>
      </c>
      <c r="V33" s="708" t="s">
        <v>18</v>
      </c>
      <c r="W33" s="709" t="e">
        <f t="shared" si="14"/>
        <v>#N/A</v>
      </c>
      <c r="X33" s="710"/>
      <c r="Y33" s="3776"/>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57"/>
      <c r="Q34" s="1346" t="str">
        <f t="shared" si="11"/>
        <v>建筑结构</v>
      </c>
      <c r="R34" s="705" t="s">
        <v>18</v>
      </c>
      <c r="S34" s="706">
        <f t="shared" si="12"/>
        <v>100</v>
      </c>
      <c r="T34" s="705" t="s">
        <v>18</v>
      </c>
      <c r="U34" s="706">
        <f t="shared" si="13"/>
        <v>100</v>
      </c>
      <c r="V34" s="705" t="s">
        <v>18</v>
      </c>
      <c r="W34" s="706">
        <f t="shared" si="14"/>
        <v>100</v>
      </c>
      <c r="X34" s="1349"/>
      <c r="Y34" s="3776"/>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57"/>
      <c r="Q35" s="1346" t="str">
        <f t="shared" si="11"/>
        <v>建筑品质</v>
      </c>
      <c r="R35" s="705" t="s">
        <v>18</v>
      </c>
      <c r="S35" s="706">
        <f t="shared" si="12"/>
        <v>100</v>
      </c>
      <c r="T35" s="705" t="s">
        <v>18</v>
      </c>
      <c r="U35" s="706">
        <f t="shared" si="13"/>
        <v>100</v>
      </c>
      <c r="V35" s="705" t="s">
        <v>18</v>
      </c>
      <c r="W35" s="706">
        <f t="shared" si="14"/>
        <v>100</v>
      </c>
      <c r="X35" s="1349"/>
      <c r="Y35" s="3776"/>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57"/>
      <c r="Q36" s="1346" t="str">
        <f t="shared" si="11"/>
        <v>公共部分装修</v>
      </c>
      <c r="R36" s="705" t="s">
        <v>18</v>
      </c>
      <c r="S36" s="706">
        <f t="shared" si="12"/>
        <v>100</v>
      </c>
      <c r="T36" s="705" t="s">
        <v>18</v>
      </c>
      <c r="U36" s="706">
        <f t="shared" si="13"/>
        <v>100</v>
      </c>
      <c r="V36" s="705" t="s">
        <v>18</v>
      </c>
      <c r="W36" s="706">
        <f t="shared" si="14"/>
        <v>100</v>
      </c>
      <c r="X36" s="1349"/>
      <c r="Y36" s="3776"/>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57"/>
      <c r="Q37" s="1337" t="str">
        <f t="shared" si="11"/>
        <v>成新度</v>
      </c>
      <c r="R37" s="701" t="s">
        <v>18</v>
      </c>
      <c r="S37" s="702" t="e">
        <f t="shared" si="12"/>
        <v>#N/A</v>
      </c>
      <c r="T37" s="701" t="s">
        <v>18</v>
      </c>
      <c r="U37" s="702" t="e">
        <f t="shared" si="13"/>
        <v>#N/A</v>
      </c>
      <c r="V37" s="701" t="s">
        <v>18</v>
      </c>
      <c r="W37" s="702" t="e">
        <f t="shared" si="14"/>
        <v>#N/A</v>
      </c>
      <c r="X37" s="703"/>
      <c r="Y37" s="3776"/>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57" t="s">
        <v>1696</v>
      </c>
      <c r="Q38" s="1346" t="str">
        <f t="shared" si="11"/>
        <v>物业管理</v>
      </c>
      <c r="R38" s="705" t="s">
        <v>18</v>
      </c>
      <c r="S38" s="706">
        <f t="shared" si="12"/>
        <v>100</v>
      </c>
      <c r="T38" s="705" t="s">
        <v>18</v>
      </c>
      <c r="U38" s="706">
        <f t="shared" si="13"/>
        <v>100</v>
      </c>
      <c r="V38" s="705" t="s">
        <v>18</v>
      </c>
      <c r="W38" s="706">
        <f t="shared" si="14"/>
        <v>100</v>
      </c>
      <c r="X38" s="1349"/>
      <c r="Y38" s="3776"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57"/>
      <c r="Q39" s="1346" t="str">
        <f t="shared" si="11"/>
        <v>市政基础设施</v>
      </c>
      <c r="R39" s="705" t="s">
        <v>18</v>
      </c>
      <c r="S39" s="706">
        <f t="shared" si="12"/>
        <v>100</v>
      </c>
      <c r="T39" s="705" t="s">
        <v>18</v>
      </c>
      <c r="U39" s="706">
        <f t="shared" si="13"/>
        <v>100</v>
      </c>
      <c r="V39" s="705" t="s">
        <v>18</v>
      </c>
      <c r="W39" s="706">
        <f t="shared" si="14"/>
        <v>100</v>
      </c>
      <c r="X39" s="1349"/>
      <c r="Y39" s="3776"/>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57"/>
      <c r="Q40" s="1346" t="str">
        <f t="shared" si="11"/>
        <v>房型</v>
      </c>
      <c r="R40" s="705" t="s">
        <v>18</v>
      </c>
      <c r="S40" s="706">
        <f t="shared" si="12"/>
        <v>100</v>
      </c>
      <c r="T40" s="705" t="s">
        <v>18</v>
      </c>
      <c r="U40" s="706">
        <f t="shared" si="13"/>
        <v>100</v>
      </c>
      <c r="V40" s="705" t="s">
        <v>18</v>
      </c>
      <c r="W40" s="706">
        <f t="shared" si="14"/>
        <v>100</v>
      </c>
      <c r="X40" s="1349"/>
      <c r="Y40" s="3776"/>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57"/>
      <c r="Q41" s="707" t="str">
        <f t="shared" si="11"/>
        <v>单套/主力户型建筑面积</v>
      </c>
      <c r="R41" s="708" t="s">
        <v>18</v>
      </c>
      <c r="S41" s="709">
        <f t="shared" si="12"/>
        <v>100</v>
      </c>
      <c r="T41" s="708" t="s">
        <v>18</v>
      </c>
      <c r="U41" s="709">
        <f t="shared" si="13"/>
        <v>100</v>
      </c>
      <c r="V41" s="708" t="s">
        <v>18</v>
      </c>
      <c r="W41" s="709">
        <f t="shared" si="14"/>
        <v>100</v>
      </c>
      <c r="X41" s="710"/>
      <c r="Y41" s="3776"/>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57"/>
      <c r="Q42" s="1346" t="str">
        <f t="shared" si="11"/>
        <v>内部装修</v>
      </c>
      <c r="R42" s="705" t="s">
        <v>18</v>
      </c>
      <c r="S42" s="706">
        <f t="shared" si="12"/>
        <v>100</v>
      </c>
      <c r="T42" s="705" t="s">
        <v>18</v>
      </c>
      <c r="U42" s="706">
        <f t="shared" si="13"/>
        <v>100</v>
      </c>
      <c r="V42" s="705" t="s">
        <v>18</v>
      </c>
      <c r="W42" s="706">
        <f t="shared" si="14"/>
        <v>100</v>
      </c>
      <c r="X42" s="1349"/>
      <c r="Y42" s="3776"/>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57"/>
      <c r="Q43" s="1346" t="str">
        <f t="shared" si="11"/>
        <v>内部装修维护情况</v>
      </c>
      <c r="R43" s="705" t="s">
        <v>18</v>
      </c>
      <c r="S43" s="706">
        <f t="shared" si="12"/>
        <v>100</v>
      </c>
      <c r="T43" s="705" t="s">
        <v>18</v>
      </c>
      <c r="U43" s="706">
        <f t="shared" si="13"/>
        <v>100</v>
      </c>
      <c r="V43" s="705" t="s">
        <v>18</v>
      </c>
      <c r="W43" s="706">
        <f t="shared" si="14"/>
        <v>100</v>
      </c>
      <c r="X43" s="1349"/>
      <c r="Y43" s="3776"/>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57"/>
      <c r="Q44" s="1337">
        <f t="shared" si="11"/>
        <v>111</v>
      </c>
      <c r="R44" s="701" t="s">
        <v>18</v>
      </c>
      <c r="S44" s="702">
        <f t="shared" si="12"/>
        <v>100</v>
      </c>
      <c r="T44" s="701" t="s">
        <v>18</v>
      </c>
      <c r="U44" s="702">
        <f t="shared" si="13"/>
        <v>100</v>
      </c>
      <c r="V44" s="701" t="s">
        <v>18</v>
      </c>
      <c r="W44" s="702">
        <f t="shared" si="14"/>
        <v>100</v>
      </c>
      <c r="X44" s="703"/>
      <c r="Y44" s="3776"/>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57"/>
      <c r="Q45" s="1346">
        <f t="shared" si="11"/>
        <v>111</v>
      </c>
      <c r="R45" s="705" t="s">
        <v>18</v>
      </c>
      <c r="S45" s="706">
        <f t="shared" si="12"/>
        <v>100</v>
      </c>
      <c r="T45" s="705" t="s">
        <v>18</v>
      </c>
      <c r="U45" s="706">
        <f t="shared" si="13"/>
        <v>100</v>
      </c>
      <c r="V45" s="705" t="s">
        <v>18</v>
      </c>
      <c r="W45" s="706">
        <f t="shared" si="14"/>
        <v>100</v>
      </c>
      <c r="X45" s="1349"/>
      <c r="Y45" s="3776"/>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58"/>
      <c r="Q46" s="1346">
        <f t="shared" si="11"/>
        <v>111</v>
      </c>
      <c r="R46" s="705" t="s">
        <v>17</v>
      </c>
      <c r="S46" s="706">
        <f t="shared" si="12"/>
        <v>100</v>
      </c>
      <c r="T46" s="705" t="s">
        <v>17</v>
      </c>
      <c r="U46" s="706">
        <f t="shared" si="13"/>
        <v>100</v>
      </c>
      <c r="V46" s="705" t="s">
        <v>17</v>
      </c>
      <c r="W46" s="706">
        <f t="shared" si="14"/>
        <v>100</v>
      </c>
      <c r="X46" s="1349"/>
      <c r="Y46" s="3859"/>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72" t="str">
        <f>A47</f>
        <v>成交单价（元/平方米）</v>
      </c>
      <c r="Q47" s="3772"/>
      <c r="R47" s="3855">
        <f>E47</f>
        <v>0</v>
      </c>
      <c r="S47" s="3855"/>
      <c r="T47" s="3855">
        <f>G47</f>
        <v>0</v>
      </c>
      <c r="U47" s="3855"/>
      <c r="V47" s="3855">
        <f>I47</f>
        <v>0</v>
      </c>
      <c r="W47" s="3855"/>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72" t="str">
        <f>A48</f>
        <v>比较价值（元/平方米）</v>
      </c>
      <c r="Q48" s="3772"/>
      <c r="R48" s="3855" t="e">
        <f>IF(F1="售价",ROUND(PRODUCT(R47,AA7:AA46),0),ROUND(PRODUCT(R47,AA7:AA46),1))</f>
        <v>#DIV/0!</v>
      </c>
      <c r="S48" s="3855"/>
      <c r="T48" s="3855" t="e">
        <f>IF(F1="售价",ROUND(PRODUCT(T47,AB7:AB46),0),ROUND(PRODUCT(T47,AB7:AB46),1))</f>
        <v>#DIV/0!</v>
      </c>
      <c r="U48" s="3855"/>
      <c r="V48" s="3855" t="e">
        <f>IF(F1="售价",ROUND(PRODUCT(V47,AC7:AC46),0),ROUND(PRODUCT(V47,AC7:AC46),1))</f>
        <v>#DIV/0!</v>
      </c>
      <c r="W48" s="3855"/>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766" t="str">
        <f>A49</f>
        <v>估价对象XX用房的比较价值（楼面单价，元/平方米）</v>
      </c>
      <c r="Q49" s="3767"/>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2024-5</v>
      </c>
      <c r="D58" s="1179">
        <f>EDATE(C58,-1)</f>
        <v>45383</v>
      </c>
      <c r="E58" s="1179">
        <f>EDATE(D58,-1)</f>
        <v>45352</v>
      </c>
      <c r="F58" s="1179">
        <f t="shared" ref="F58:O58" si="19">EDATE(E58,-1)</f>
        <v>45323</v>
      </c>
      <c r="G58" s="1179">
        <f t="shared" si="19"/>
        <v>45292</v>
      </c>
      <c r="H58" s="1179">
        <f t="shared" si="19"/>
        <v>45261</v>
      </c>
      <c r="I58" s="1179">
        <f t="shared" si="19"/>
        <v>45231</v>
      </c>
      <c r="J58" s="1179">
        <f t="shared" si="19"/>
        <v>45200</v>
      </c>
      <c r="K58" s="1179">
        <f t="shared" si="19"/>
        <v>45170</v>
      </c>
      <c r="L58" s="1179">
        <f t="shared" si="19"/>
        <v>45139</v>
      </c>
      <c r="M58" s="1179">
        <f t="shared" si="19"/>
        <v>45108</v>
      </c>
      <c r="N58" s="1179">
        <f t="shared" si="19"/>
        <v>45078</v>
      </c>
      <c r="O58" s="1179">
        <f t="shared" si="19"/>
        <v>45047</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34690.01</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69" t="s">
        <v>1770</v>
      </c>
      <c r="D4" s="3781"/>
      <c r="E4" s="3782" t="s">
        <v>1771</v>
      </c>
      <c r="F4" s="3783"/>
      <c r="G4" s="3769" t="s">
        <v>1772</v>
      </c>
      <c r="H4" s="3781"/>
      <c r="I4" s="3769" t="s">
        <v>1773</v>
      </c>
      <c r="J4" s="3781"/>
      <c r="K4" s="559" t="s">
        <v>1774</v>
      </c>
      <c r="L4" s="2701"/>
      <c r="M4" s="2702"/>
      <c r="N4" s="2702"/>
      <c r="O4" s="2702"/>
      <c r="P4" s="3784" t="s">
        <v>1775</v>
      </c>
      <c r="Q4" s="3785"/>
      <c r="R4" s="3790" t="s">
        <v>1771</v>
      </c>
      <c r="S4" s="3791"/>
      <c r="T4" s="3790" t="s">
        <v>1772</v>
      </c>
      <c r="U4" s="3791"/>
      <c r="V4" s="3777" t="s">
        <v>1773</v>
      </c>
      <c r="W4" s="3777"/>
      <c r="X4" s="1349"/>
      <c r="Y4" s="3790" t="s">
        <v>1775</v>
      </c>
      <c r="Z4" s="3791"/>
      <c r="AA4" s="3778" t="s">
        <v>1771</v>
      </c>
      <c r="AB4" s="3777" t="s">
        <v>1772</v>
      </c>
      <c r="AC4" s="3778" t="s">
        <v>1773</v>
      </c>
    </row>
    <row r="5" spans="1:29" ht="15">
      <c r="A5" s="358"/>
      <c r="B5" s="359"/>
      <c r="C5" s="3798" t="s">
        <v>1673</v>
      </c>
      <c r="D5" s="3799"/>
      <c r="E5" s="3807" t="s">
        <v>1674</v>
      </c>
      <c r="F5" s="3808"/>
      <c r="G5" s="3798" t="s">
        <v>1675</v>
      </c>
      <c r="H5" s="3799"/>
      <c r="I5" s="3798" t="s">
        <v>1676</v>
      </c>
      <c r="J5" s="3799"/>
      <c r="K5" s="559"/>
      <c r="L5" s="2701"/>
      <c r="M5" s="2702"/>
      <c r="N5" s="2702"/>
      <c r="O5" s="2702"/>
      <c r="P5" s="3786"/>
      <c r="Q5" s="3787"/>
      <c r="R5" s="3792"/>
      <c r="S5" s="3793"/>
      <c r="T5" s="3792"/>
      <c r="U5" s="3793"/>
      <c r="V5" s="3777"/>
      <c r="W5" s="3777"/>
      <c r="X5" s="1349"/>
      <c r="Y5" s="3792"/>
      <c r="Z5" s="3793"/>
      <c r="AA5" s="3779"/>
      <c r="AB5" s="3777"/>
      <c r="AC5" s="3779"/>
    </row>
    <row r="6" spans="1:29" ht="15.75" thickBot="1">
      <c r="A6" s="360"/>
      <c r="B6" s="361"/>
      <c r="C6" s="3796" t="s">
        <v>1677</v>
      </c>
      <c r="D6" s="3797"/>
      <c r="E6" s="3805" t="s">
        <v>1677</v>
      </c>
      <c r="F6" s="3806"/>
      <c r="G6" s="3796" t="s">
        <v>1677</v>
      </c>
      <c r="H6" s="3797"/>
      <c r="I6" s="3796" t="s">
        <v>1677</v>
      </c>
      <c r="J6" s="3797"/>
      <c r="K6" s="559" t="s">
        <v>1678</v>
      </c>
      <c r="L6" s="2701"/>
      <c r="M6" s="2702"/>
      <c r="N6" s="2702"/>
      <c r="O6" s="2702"/>
      <c r="P6" s="3788"/>
      <c r="Q6" s="3789"/>
      <c r="R6" s="3792"/>
      <c r="S6" s="3793"/>
      <c r="T6" s="3794"/>
      <c r="U6" s="3795"/>
      <c r="V6" s="3777"/>
      <c r="W6" s="3777"/>
      <c r="X6" s="1349"/>
      <c r="Y6" s="3794"/>
      <c r="Z6" s="3795"/>
      <c r="AA6" s="3780"/>
      <c r="AB6" s="3777"/>
      <c r="AC6" s="3780"/>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560"/>
      <c r="L7" s="2703"/>
      <c r="M7" s="2704"/>
      <c r="N7" s="2704"/>
      <c r="O7" s="2704"/>
      <c r="P7" s="3800" t="s">
        <v>1680</v>
      </c>
      <c r="Q7" s="3802"/>
      <c r="R7" s="701" t="s">
        <v>14</v>
      </c>
      <c r="S7" s="702">
        <f t="shared" ref="S7:S15" si="0">F7</f>
        <v>0</v>
      </c>
      <c r="T7" s="701" t="s">
        <v>14</v>
      </c>
      <c r="U7" s="702">
        <f t="shared" ref="U7:U15" si="1">H7</f>
        <v>0</v>
      </c>
      <c r="V7" s="701" t="s">
        <v>14</v>
      </c>
      <c r="W7" s="702">
        <f t="shared" ref="W7:W15" si="2">J7</f>
        <v>0</v>
      </c>
      <c r="X7" s="703"/>
      <c r="Y7" s="3800" t="s">
        <v>1680</v>
      </c>
      <c r="Z7" s="38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800" t="s">
        <v>1683</v>
      </c>
      <c r="Q8" s="3801"/>
      <c r="R8" s="701" t="s">
        <v>14</v>
      </c>
      <c r="S8" s="702">
        <f t="shared" si="0"/>
        <v>100</v>
      </c>
      <c r="T8" s="701" t="s">
        <v>14</v>
      </c>
      <c r="U8" s="702">
        <f t="shared" si="1"/>
        <v>100</v>
      </c>
      <c r="V8" s="701" t="s">
        <v>14</v>
      </c>
      <c r="W8" s="702">
        <f t="shared" si="2"/>
        <v>100</v>
      </c>
      <c r="X8" s="703"/>
      <c r="Y8" s="3800" t="s">
        <v>1683</v>
      </c>
      <c r="Z8" s="38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771" t="s">
        <v>1686</v>
      </c>
      <c r="Q9" s="1337"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771"/>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771"/>
      <c r="Q11" s="1337"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771"/>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771"/>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771"/>
      <c r="Q14" s="1337">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60" t="s">
        <v>1691</v>
      </c>
      <c r="Q15" s="1346" t="str">
        <f t="shared" si="6"/>
        <v>商业繁华度</v>
      </c>
      <c r="R15" s="705" t="s">
        <v>14</v>
      </c>
      <c r="S15" s="706">
        <f t="shared" si="0"/>
        <v>100</v>
      </c>
      <c r="T15" s="705" t="s">
        <v>14</v>
      </c>
      <c r="U15" s="706">
        <f t="shared" si="1"/>
        <v>100</v>
      </c>
      <c r="V15" s="705" t="s">
        <v>14</v>
      </c>
      <c r="W15" s="706">
        <f t="shared" si="2"/>
        <v>100</v>
      </c>
      <c r="X15" s="1349"/>
      <c r="Y15" s="3773"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61"/>
      <c r="Q16" s="1346"/>
      <c r="R16" s="705"/>
      <c r="S16" s="706"/>
      <c r="T16" s="705"/>
      <c r="U16" s="706"/>
      <c r="V16" s="705"/>
      <c r="W16" s="706"/>
      <c r="X16" s="1349"/>
      <c r="Y16" s="3774"/>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61"/>
      <c r="Q17" s="1346" t="str">
        <f>B17</f>
        <v>交通便捷度</v>
      </c>
      <c r="R17" s="705" t="s">
        <v>14</v>
      </c>
      <c r="S17" s="706">
        <f>F17</f>
        <v>100</v>
      </c>
      <c r="T17" s="705" t="s">
        <v>14</v>
      </c>
      <c r="U17" s="706">
        <f>H17</f>
        <v>100</v>
      </c>
      <c r="V17" s="705" t="s">
        <v>14</v>
      </c>
      <c r="W17" s="706">
        <f>J17</f>
        <v>100</v>
      </c>
      <c r="X17" s="1349"/>
      <c r="Y17" s="3774"/>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61"/>
      <c r="Q18" s="1346"/>
      <c r="R18" s="705"/>
      <c r="S18" s="706"/>
      <c r="T18" s="705"/>
      <c r="U18" s="706"/>
      <c r="V18" s="705"/>
      <c r="W18" s="706"/>
      <c r="X18" s="1349"/>
      <c r="Y18" s="3774"/>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61"/>
      <c r="Q19" s="1346" t="str">
        <f>B19</f>
        <v>公共配套设施</v>
      </c>
      <c r="R19" s="705" t="s">
        <v>14</v>
      </c>
      <c r="S19" s="706">
        <f>F19</f>
        <v>100</v>
      </c>
      <c r="T19" s="705" t="s">
        <v>14</v>
      </c>
      <c r="U19" s="706">
        <f>H19</f>
        <v>100</v>
      </c>
      <c r="V19" s="705" t="s">
        <v>14</v>
      </c>
      <c r="W19" s="706">
        <f>J19</f>
        <v>100</v>
      </c>
      <c r="X19" s="1349"/>
      <c r="Y19" s="3774"/>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61"/>
      <c r="Q20" s="1346"/>
      <c r="R20" s="705"/>
      <c r="S20" s="706"/>
      <c r="T20" s="705"/>
      <c r="U20" s="706"/>
      <c r="V20" s="705"/>
      <c r="W20" s="706"/>
      <c r="X20" s="1349"/>
      <c r="Y20" s="3774"/>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61"/>
      <c r="Q21" s="1346" t="str">
        <f>B21</f>
        <v>基础设施水平</v>
      </c>
      <c r="R21" s="705" t="s">
        <v>14</v>
      </c>
      <c r="S21" s="706">
        <f>F21</f>
        <v>100</v>
      </c>
      <c r="T21" s="705" t="s">
        <v>14</v>
      </c>
      <c r="U21" s="706">
        <f>H21</f>
        <v>100</v>
      </c>
      <c r="V21" s="705" t="s">
        <v>14</v>
      </c>
      <c r="W21" s="706">
        <f>J21</f>
        <v>100</v>
      </c>
      <c r="X21" s="1349"/>
      <c r="Y21" s="3774"/>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61"/>
      <c r="Q22" s="1346"/>
      <c r="R22" s="705"/>
      <c r="S22" s="706"/>
      <c r="T22" s="705"/>
      <c r="U22" s="706"/>
      <c r="V22" s="705"/>
      <c r="W22" s="706"/>
      <c r="X22" s="1349"/>
      <c r="Y22" s="3774"/>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61"/>
      <c r="Q23" s="1346" t="str">
        <f>B23</f>
        <v>自然及人文环境</v>
      </c>
      <c r="R23" s="705" t="s">
        <v>14</v>
      </c>
      <c r="S23" s="706">
        <f>F23</f>
        <v>100</v>
      </c>
      <c r="T23" s="705" t="s">
        <v>14</v>
      </c>
      <c r="U23" s="706">
        <f>H23</f>
        <v>100</v>
      </c>
      <c r="V23" s="705" t="s">
        <v>14</v>
      </c>
      <c r="W23" s="706">
        <f>J23</f>
        <v>100</v>
      </c>
      <c r="X23" s="1349"/>
      <c r="Y23" s="3774"/>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61"/>
      <c r="Q24" s="1346"/>
      <c r="R24" s="705"/>
      <c r="S24" s="706"/>
      <c r="T24" s="705"/>
      <c r="U24" s="706"/>
      <c r="V24" s="705"/>
      <c r="W24" s="706"/>
      <c r="X24" s="1349"/>
      <c r="Y24" s="3774"/>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61"/>
      <c r="Q25" s="1346" t="str">
        <f t="shared" ref="Q25:Q46" si="11">B25</f>
        <v>临街状况</v>
      </c>
      <c r="R25" s="705" t="s">
        <v>14</v>
      </c>
      <c r="S25" s="706">
        <f>F25</f>
        <v>100</v>
      </c>
      <c r="T25" s="705" t="s">
        <v>14</v>
      </c>
      <c r="U25" s="706">
        <f>H25</f>
        <v>100</v>
      </c>
      <c r="V25" s="705" t="s">
        <v>14</v>
      </c>
      <c r="W25" s="706">
        <f>J25</f>
        <v>100</v>
      </c>
      <c r="X25" s="1349"/>
      <c r="Y25" s="3774"/>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61"/>
      <c r="Q26" s="1346" t="str">
        <f t="shared" si="11"/>
        <v>平面位置/可视性</v>
      </c>
      <c r="R26" s="705" t="s">
        <v>14</v>
      </c>
      <c r="S26" s="706">
        <f>F26</f>
        <v>100</v>
      </c>
      <c r="T26" s="705" t="s">
        <v>14</v>
      </c>
      <c r="U26" s="706">
        <f>H26</f>
        <v>100</v>
      </c>
      <c r="V26" s="705" t="s">
        <v>14</v>
      </c>
      <c r="W26" s="706">
        <f>J26</f>
        <v>100</v>
      </c>
      <c r="X26" s="1349"/>
      <c r="Y26" s="3774"/>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61"/>
      <c r="Q27" s="1337" t="str">
        <f t="shared" si="11"/>
        <v>人流量</v>
      </c>
      <c r="R27" s="701" t="s">
        <v>14</v>
      </c>
      <c r="S27" s="702">
        <f>F27</f>
        <v>100</v>
      </c>
      <c r="T27" s="701" t="s">
        <v>14</v>
      </c>
      <c r="U27" s="702">
        <f>H27</f>
        <v>100</v>
      </c>
      <c r="V27" s="701" t="s">
        <v>14</v>
      </c>
      <c r="W27" s="702">
        <f>J27</f>
        <v>100</v>
      </c>
      <c r="X27" s="703"/>
      <c r="Y27" s="3774"/>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61"/>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774"/>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61"/>
      <c r="Q29" s="1346">
        <f t="shared" si="11"/>
        <v>111</v>
      </c>
      <c r="R29" s="705" t="s">
        <v>14</v>
      </c>
      <c r="S29" s="706">
        <f t="shared" si="12"/>
        <v>100</v>
      </c>
      <c r="T29" s="705" t="s">
        <v>14</v>
      </c>
      <c r="U29" s="706">
        <f t="shared" si="13"/>
        <v>100</v>
      </c>
      <c r="V29" s="705" t="s">
        <v>14</v>
      </c>
      <c r="W29" s="706">
        <f t="shared" si="14"/>
        <v>100</v>
      </c>
      <c r="X29" s="1349"/>
      <c r="Y29" s="3774"/>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61"/>
      <c r="Q30" s="1346">
        <f t="shared" si="11"/>
        <v>111</v>
      </c>
      <c r="R30" s="705" t="s">
        <v>14</v>
      </c>
      <c r="S30" s="706">
        <f t="shared" si="12"/>
        <v>100</v>
      </c>
      <c r="T30" s="705" t="s">
        <v>14</v>
      </c>
      <c r="U30" s="706">
        <f t="shared" si="13"/>
        <v>100</v>
      </c>
      <c r="V30" s="705" t="s">
        <v>14</v>
      </c>
      <c r="W30" s="706">
        <f t="shared" si="14"/>
        <v>100</v>
      </c>
      <c r="X30" s="1349"/>
      <c r="Y30" s="3774"/>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61"/>
      <c r="Q31" s="1346">
        <f t="shared" si="11"/>
        <v>111</v>
      </c>
      <c r="R31" s="705" t="s">
        <v>14</v>
      </c>
      <c r="S31" s="706">
        <f t="shared" si="12"/>
        <v>100</v>
      </c>
      <c r="T31" s="705" t="s">
        <v>14</v>
      </c>
      <c r="U31" s="706">
        <f t="shared" si="13"/>
        <v>100</v>
      </c>
      <c r="V31" s="705" t="s">
        <v>14</v>
      </c>
      <c r="W31" s="706">
        <f t="shared" si="14"/>
        <v>100</v>
      </c>
      <c r="X31" s="1349"/>
      <c r="Y31" s="3774"/>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56" t="s">
        <v>1696</v>
      </c>
      <c r="Q32" s="1346" t="str">
        <f t="shared" si="11"/>
        <v>商业类型</v>
      </c>
      <c r="R32" s="705" t="s">
        <v>14</v>
      </c>
      <c r="S32" s="706">
        <f t="shared" si="12"/>
        <v>100</v>
      </c>
      <c r="T32" s="705" t="s">
        <v>14</v>
      </c>
      <c r="U32" s="706">
        <f t="shared" si="13"/>
        <v>100</v>
      </c>
      <c r="V32" s="705" t="s">
        <v>14</v>
      </c>
      <c r="W32" s="706">
        <f t="shared" si="14"/>
        <v>100</v>
      </c>
      <c r="X32" s="1349"/>
      <c r="Y32" s="3776"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57"/>
      <c r="Q33" s="707" t="str">
        <f t="shared" si="11"/>
        <v>项目建筑规模</v>
      </c>
      <c r="R33" s="708" t="s">
        <v>14</v>
      </c>
      <c r="S33" s="709" t="e">
        <f t="shared" si="12"/>
        <v>#N/A</v>
      </c>
      <c r="T33" s="708" t="s">
        <v>14</v>
      </c>
      <c r="U33" s="709" t="e">
        <f t="shared" si="13"/>
        <v>#N/A</v>
      </c>
      <c r="V33" s="708" t="s">
        <v>14</v>
      </c>
      <c r="W33" s="709" t="e">
        <f t="shared" si="14"/>
        <v>#N/A</v>
      </c>
      <c r="X33" s="710"/>
      <c r="Y33" s="3776"/>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57"/>
      <c r="Q34" s="1346" t="str">
        <f t="shared" si="11"/>
        <v>建筑结构</v>
      </c>
      <c r="R34" s="705" t="s">
        <v>14</v>
      </c>
      <c r="S34" s="706">
        <f t="shared" si="12"/>
        <v>100</v>
      </c>
      <c r="T34" s="705" t="s">
        <v>14</v>
      </c>
      <c r="U34" s="706">
        <f t="shared" si="13"/>
        <v>100</v>
      </c>
      <c r="V34" s="705" t="s">
        <v>14</v>
      </c>
      <c r="W34" s="706">
        <f t="shared" si="14"/>
        <v>100</v>
      </c>
      <c r="X34" s="1349"/>
      <c r="Y34" s="3776"/>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57"/>
      <c r="Q35" s="1346" t="str">
        <f t="shared" si="11"/>
        <v>公共部分装修</v>
      </c>
      <c r="R35" s="705" t="s">
        <v>14</v>
      </c>
      <c r="S35" s="706">
        <f t="shared" si="12"/>
        <v>100</v>
      </c>
      <c r="T35" s="705" t="s">
        <v>14</v>
      </c>
      <c r="U35" s="706">
        <f t="shared" si="13"/>
        <v>100</v>
      </c>
      <c r="V35" s="705" t="s">
        <v>14</v>
      </c>
      <c r="W35" s="706">
        <f t="shared" si="14"/>
        <v>100</v>
      </c>
      <c r="X35" s="1349"/>
      <c r="Y35" s="3776"/>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57"/>
      <c r="Q36" s="1346" t="str">
        <f t="shared" si="11"/>
        <v>成新度</v>
      </c>
      <c r="R36" s="705" t="s">
        <v>14</v>
      </c>
      <c r="S36" s="706" t="e">
        <f t="shared" si="12"/>
        <v>#N/A</v>
      </c>
      <c r="T36" s="705" t="s">
        <v>14</v>
      </c>
      <c r="U36" s="706" t="e">
        <f t="shared" si="13"/>
        <v>#N/A</v>
      </c>
      <c r="V36" s="705" t="s">
        <v>14</v>
      </c>
      <c r="W36" s="706" t="e">
        <f t="shared" si="14"/>
        <v>#N/A</v>
      </c>
      <c r="X36" s="1349"/>
      <c r="Y36" s="3776"/>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57"/>
      <c r="Q37" s="1337" t="str">
        <f t="shared" si="11"/>
        <v>市政基础设施</v>
      </c>
      <c r="R37" s="701" t="s">
        <v>14</v>
      </c>
      <c r="S37" s="702">
        <f t="shared" si="12"/>
        <v>100</v>
      </c>
      <c r="T37" s="701" t="s">
        <v>14</v>
      </c>
      <c r="U37" s="702">
        <f t="shared" si="13"/>
        <v>100</v>
      </c>
      <c r="V37" s="701" t="s">
        <v>14</v>
      </c>
      <c r="W37" s="702">
        <f t="shared" si="14"/>
        <v>100</v>
      </c>
      <c r="X37" s="703"/>
      <c r="Y37" s="3776"/>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57" t="s">
        <v>1696</v>
      </c>
      <c r="Q38" s="1346" t="str">
        <f t="shared" si="11"/>
        <v>业态</v>
      </c>
      <c r="R38" s="705" t="s">
        <v>14</v>
      </c>
      <c r="S38" s="706">
        <f t="shared" si="12"/>
        <v>100</v>
      </c>
      <c r="T38" s="705" t="s">
        <v>14</v>
      </c>
      <c r="U38" s="706">
        <f t="shared" si="13"/>
        <v>100</v>
      </c>
      <c r="V38" s="705" t="s">
        <v>14</v>
      </c>
      <c r="W38" s="706">
        <f t="shared" si="14"/>
        <v>100</v>
      </c>
      <c r="X38" s="1349"/>
      <c r="Y38" s="3776"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57"/>
      <c r="Q39" s="1346" t="str">
        <f t="shared" si="11"/>
        <v>层高</v>
      </c>
      <c r="R39" s="705" t="s">
        <v>14</v>
      </c>
      <c r="S39" s="706">
        <f t="shared" si="12"/>
        <v>100</v>
      </c>
      <c r="T39" s="705" t="s">
        <v>14</v>
      </c>
      <c r="U39" s="706">
        <f t="shared" si="13"/>
        <v>100</v>
      </c>
      <c r="V39" s="705" t="s">
        <v>14</v>
      </c>
      <c r="W39" s="706">
        <f t="shared" si="14"/>
        <v>100</v>
      </c>
      <c r="X39" s="1349"/>
      <c r="Y39" s="3776"/>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57"/>
      <c r="Q40" s="1346" t="str">
        <f t="shared" si="11"/>
        <v>单套建筑面积</v>
      </c>
      <c r="R40" s="705" t="s">
        <v>14</v>
      </c>
      <c r="S40" s="706">
        <f t="shared" si="12"/>
        <v>100</v>
      </c>
      <c r="T40" s="705" t="s">
        <v>14</v>
      </c>
      <c r="U40" s="706">
        <f t="shared" si="13"/>
        <v>100</v>
      </c>
      <c r="V40" s="705" t="s">
        <v>14</v>
      </c>
      <c r="W40" s="706">
        <f t="shared" si="14"/>
        <v>100</v>
      </c>
      <c r="X40" s="1349"/>
      <c r="Y40" s="3776"/>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57"/>
      <c r="Q41" s="707" t="str">
        <f t="shared" si="11"/>
        <v>进深比</v>
      </c>
      <c r="R41" s="708" t="s">
        <v>14</v>
      </c>
      <c r="S41" s="709">
        <f t="shared" si="12"/>
        <v>100</v>
      </c>
      <c r="T41" s="708" t="s">
        <v>14</v>
      </c>
      <c r="U41" s="709">
        <f t="shared" si="13"/>
        <v>100</v>
      </c>
      <c r="V41" s="708" t="s">
        <v>14</v>
      </c>
      <c r="W41" s="709">
        <f t="shared" si="14"/>
        <v>100</v>
      </c>
      <c r="X41" s="710"/>
      <c r="Y41" s="3776"/>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57"/>
      <c r="Q42" s="1346" t="str">
        <f t="shared" si="11"/>
        <v>内部装修</v>
      </c>
      <c r="R42" s="705" t="s">
        <v>14</v>
      </c>
      <c r="S42" s="706">
        <f t="shared" si="12"/>
        <v>100</v>
      </c>
      <c r="T42" s="705" t="s">
        <v>14</v>
      </c>
      <c r="U42" s="706">
        <f t="shared" si="13"/>
        <v>100</v>
      </c>
      <c r="V42" s="705" t="s">
        <v>14</v>
      </c>
      <c r="W42" s="706">
        <f t="shared" si="14"/>
        <v>100</v>
      </c>
      <c r="X42" s="1349"/>
      <c r="Y42" s="3776"/>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57"/>
      <c r="Q43" s="1346" t="str">
        <f t="shared" si="11"/>
        <v>内部装修维护情况</v>
      </c>
      <c r="R43" s="705" t="s">
        <v>14</v>
      </c>
      <c r="S43" s="706">
        <f t="shared" si="12"/>
        <v>100</v>
      </c>
      <c r="T43" s="705" t="s">
        <v>14</v>
      </c>
      <c r="U43" s="706">
        <f t="shared" si="13"/>
        <v>100</v>
      </c>
      <c r="V43" s="705" t="s">
        <v>14</v>
      </c>
      <c r="W43" s="706">
        <f t="shared" si="14"/>
        <v>100</v>
      </c>
      <c r="X43" s="1349"/>
      <c r="Y43" s="3776"/>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57"/>
      <c r="Q44" s="1337">
        <f t="shared" si="11"/>
        <v>111</v>
      </c>
      <c r="R44" s="701" t="s">
        <v>14</v>
      </c>
      <c r="S44" s="702">
        <f t="shared" si="12"/>
        <v>100</v>
      </c>
      <c r="T44" s="701" t="s">
        <v>14</v>
      </c>
      <c r="U44" s="702">
        <f t="shared" si="13"/>
        <v>100</v>
      </c>
      <c r="V44" s="701" t="s">
        <v>14</v>
      </c>
      <c r="W44" s="702">
        <f t="shared" si="14"/>
        <v>100</v>
      </c>
      <c r="X44" s="703"/>
      <c r="Y44" s="3776"/>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57"/>
      <c r="Q45" s="1346">
        <f t="shared" si="11"/>
        <v>111</v>
      </c>
      <c r="R45" s="705" t="s">
        <v>14</v>
      </c>
      <c r="S45" s="706">
        <f t="shared" si="12"/>
        <v>100</v>
      </c>
      <c r="T45" s="705" t="s">
        <v>14</v>
      </c>
      <c r="U45" s="706">
        <f t="shared" si="13"/>
        <v>100</v>
      </c>
      <c r="V45" s="705" t="s">
        <v>14</v>
      </c>
      <c r="W45" s="706">
        <f t="shared" si="14"/>
        <v>100</v>
      </c>
      <c r="X45" s="1349"/>
      <c r="Y45" s="3776"/>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58"/>
      <c r="Q46" s="1346">
        <f t="shared" si="11"/>
        <v>111</v>
      </c>
      <c r="R46" s="705" t="s">
        <v>14</v>
      </c>
      <c r="S46" s="706">
        <f t="shared" si="12"/>
        <v>100</v>
      </c>
      <c r="T46" s="705" t="s">
        <v>14</v>
      </c>
      <c r="U46" s="706">
        <f t="shared" si="13"/>
        <v>100</v>
      </c>
      <c r="V46" s="705" t="s">
        <v>14</v>
      </c>
      <c r="W46" s="706">
        <f t="shared" si="14"/>
        <v>100</v>
      </c>
      <c r="X46" s="1349"/>
      <c r="Y46" s="3859"/>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72" t="str">
        <f>A47</f>
        <v>成交单价（元/平方米）</v>
      </c>
      <c r="Q47" s="3772"/>
      <c r="R47" s="3777">
        <f>E47</f>
        <v>0</v>
      </c>
      <c r="S47" s="3777"/>
      <c r="T47" s="3777">
        <f>G47</f>
        <v>0</v>
      </c>
      <c r="U47" s="3777"/>
      <c r="V47" s="3777">
        <f>I47</f>
        <v>0</v>
      </c>
      <c r="W47" s="3777"/>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72" t="str">
        <f>A48</f>
        <v>比较价值（元/平方米）</v>
      </c>
      <c r="Q48" s="3772"/>
      <c r="R48" s="3855" t="e">
        <f>IF(F1="售价",ROUND(PRODUCT(R47,AA7:AA46),0),ROUND(PRODUCT(R47,AA7:AA46),1))</f>
        <v>#DIV/0!</v>
      </c>
      <c r="S48" s="3855"/>
      <c r="T48" s="3855" t="e">
        <f>IF(F1="售价",ROUND(PRODUCT(T47,AB7:AB46),0),ROUND(PRODUCT(T47,AB7:AB46),1))</f>
        <v>#DIV/0!</v>
      </c>
      <c r="U48" s="3855"/>
      <c r="V48" s="3855" t="e">
        <f>IF(F1="售价",ROUND(PRODUCT(V47,AC7:AC46),0),ROUND(PRODUCT(V47,AC7:AC46),1))</f>
        <v>#DIV/0!</v>
      </c>
      <c r="W48" s="3855"/>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766" t="str">
        <f>A49</f>
        <v>估价对象XX用房的比较价值（楼面单价，元/平方米）</v>
      </c>
      <c r="Q49" s="3767"/>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2024-5</v>
      </c>
      <c r="D58" s="1179">
        <f>EDATE(C58,-1)</f>
        <v>45383</v>
      </c>
      <c r="E58" s="1179">
        <f t="shared" ref="E58:N58" si="16">EDATE(D58,-1)</f>
        <v>45352</v>
      </c>
      <c r="F58" s="1179">
        <f t="shared" si="16"/>
        <v>45323</v>
      </c>
      <c r="G58" s="1179">
        <f t="shared" si="16"/>
        <v>45292</v>
      </c>
      <c r="H58" s="1179">
        <f t="shared" si="16"/>
        <v>45261</v>
      </c>
      <c r="I58" s="1179">
        <f t="shared" si="16"/>
        <v>45231</v>
      </c>
      <c r="J58" s="1179">
        <f t="shared" si="16"/>
        <v>45200</v>
      </c>
      <c r="K58" s="1179">
        <f t="shared" si="16"/>
        <v>45170</v>
      </c>
      <c r="L58" s="1179">
        <f t="shared" si="16"/>
        <v>45139</v>
      </c>
      <c r="M58" s="1179">
        <f t="shared" si="16"/>
        <v>45108</v>
      </c>
      <c r="N58" s="1179">
        <f t="shared" si="16"/>
        <v>45078</v>
      </c>
      <c r="O58" s="1179">
        <f>EDATE(N58,-1)</f>
        <v>45047</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34690.01</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69" t="s">
        <v>1770</v>
      </c>
      <c r="D4" s="3781"/>
      <c r="E4" s="3782" t="s">
        <v>1771</v>
      </c>
      <c r="F4" s="3783"/>
      <c r="G4" s="3769" t="s">
        <v>1772</v>
      </c>
      <c r="H4" s="3781"/>
      <c r="I4" s="3769" t="s">
        <v>1773</v>
      </c>
      <c r="J4" s="3781"/>
      <c r="K4" s="559" t="s">
        <v>1774</v>
      </c>
      <c r="L4" s="2701"/>
      <c r="M4" s="2702"/>
      <c r="N4" s="2702"/>
      <c r="O4" s="2702"/>
      <c r="P4" s="3868" t="s">
        <v>1775</v>
      </c>
      <c r="Q4" s="3869"/>
      <c r="R4" s="3872" t="s">
        <v>1771</v>
      </c>
      <c r="S4" s="3873"/>
      <c r="T4" s="3872" t="s">
        <v>1772</v>
      </c>
      <c r="U4" s="3873"/>
      <c r="V4" s="3874" t="s">
        <v>1773</v>
      </c>
      <c r="W4" s="3874"/>
      <c r="X4" s="1950"/>
      <c r="Y4" s="3872" t="s">
        <v>1775</v>
      </c>
      <c r="Z4" s="3873"/>
      <c r="AA4" s="3876" t="s">
        <v>1771</v>
      </c>
      <c r="AB4" s="3876" t="s">
        <v>1772</v>
      </c>
      <c r="AC4" s="3865" t="s">
        <v>1773</v>
      </c>
    </row>
    <row r="5" spans="1:29" ht="15">
      <c r="A5" s="358"/>
      <c r="B5" s="359"/>
      <c r="C5" s="3798" t="s">
        <v>1673</v>
      </c>
      <c r="D5" s="3799"/>
      <c r="E5" s="3807" t="s">
        <v>1674</v>
      </c>
      <c r="F5" s="3808"/>
      <c r="G5" s="3798" t="s">
        <v>1675</v>
      </c>
      <c r="H5" s="3799"/>
      <c r="I5" s="3798" t="s">
        <v>1676</v>
      </c>
      <c r="J5" s="3799"/>
      <c r="K5" s="559"/>
      <c r="L5" s="2701"/>
      <c r="M5" s="2702"/>
      <c r="N5" s="2702"/>
      <c r="O5" s="2702"/>
      <c r="P5" s="3870"/>
      <c r="Q5" s="3787"/>
      <c r="R5" s="3792"/>
      <c r="S5" s="3793"/>
      <c r="T5" s="3792"/>
      <c r="U5" s="3793"/>
      <c r="V5" s="3777"/>
      <c r="W5" s="3777"/>
      <c r="X5" s="1349"/>
      <c r="Y5" s="3792"/>
      <c r="Z5" s="3793"/>
      <c r="AA5" s="3779"/>
      <c r="AB5" s="3779"/>
      <c r="AC5" s="3866"/>
    </row>
    <row r="6" spans="1:29" ht="15.75" thickBot="1">
      <c r="A6" s="360"/>
      <c r="B6" s="361"/>
      <c r="C6" s="3796" t="s">
        <v>1677</v>
      </c>
      <c r="D6" s="3797"/>
      <c r="E6" s="3805" t="s">
        <v>1677</v>
      </c>
      <c r="F6" s="3806"/>
      <c r="G6" s="3796" t="s">
        <v>1677</v>
      </c>
      <c r="H6" s="3797"/>
      <c r="I6" s="3796" t="s">
        <v>1677</v>
      </c>
      <c r="J6" s="3797"/>
      <c r="K6" s="559" t="s">
        <v>1678</v>
      </c>
      <c r="L6" s="2701"/>
      <c r="M6" s="2702"/>
      <c r="N6" s="2702"/>
      <c r="O6" s="2702"/>
      <c r="P6" s="3871"/>
      <c r="Q6" s="3789"/>
      <c r="R6" s="3792"/>
      <c r="S6" s="3793"/>
      <c r="T6" s="3794"/>
      <c r="U6" s="3795"/>
      <c r="V6" s="3777"/>
      <c r="W6" s="3777"/>
      <c r="X6" s="1349"/>
      <c r="Y6" s="3794"/>
      <c r="Z6" s="3795"/>
      <c r="AA6" s="3780"/>
      <c r="AB6" s="3780"/>
      <c r="AC6" s="3867"/>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75" t="s">
        <v>1680</v>
      </c>
      <c r="Q7" s="3802"/>
      <c r="R7" s="701" t="s">
        <v>14</v>
      </c>
      <c r="S7" s="702">
        <f t="shared" ref="S7:S15" si="0">F7</f>
        <v>0</v>
      </c>
      <c r="T7" s="701" t="s">
        <v>14</v>
      </c>
      <c r="U7" s="702">
        <f t="shared" ref="U7:U15" si="1">H7</f>
        <v>0</v>
      </c>
      <c r="V7" s="701" t="s">
        <v>14</v>
      </c>
      <c r="W7" s="702">
        <f t="shared" ref="W7:W15" si="2">J7</f>
        <v>0</v>
      </c>
      <c r="X7" s="703"/>
      <c r="Y7" s="3800" t="s">
        <v>1680</v>
      </c>
      <c r="Z7" s="3801"/>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75" t="s">
        <v>1683</v>
      </c>
      <c r="Q8" s="3801"/>
      <c r="R8" s="701" t="s">
        <v>14</v>
      </c>
      <c r="S8" s="702">
        <f t="shared" si="0"/>
        <v>100</v>
      </c>
      <c r="T8" s="701" t="s">
        <v>14</v>
      </c>
      <c r="U8" s="702">
        <f t="shared" si="1"/>
        <v>100</v>
      </c>
      <c r="V8" s="701" t="s">
        <v>14</v>
      </c>
      <c r="W8" s="702">
        <f t="shared" si="2"/>
        <v>100</v>
      </c>
      <c r="X8" s="703"/>
      <c r="Y8" s="3800" t="s">
        <v>1683</v>
      </c>
      <c r="Z8" s="3801"/>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771" t="s">
        <v>1686</v>
      </c>
      <c r="Q9" s="1337"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771"/>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771"/>
      <c r="Q11" s="1337"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771"/>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771"/>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771"/>
      <c r="Q14" s="1337">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60" t="s">
        <v>1691</v>
      </c>
      <c r="Q15" s="1346" t="str">
        <f t="shared" si="6"/>
        <v>办公集聚程度</v>
      </c>
      <c r="R15" s="705" t="s">
        <v>14</v>
      </c>
      <c r="S15" s="706">
        <f t="shared" si="0"/>
        <v>100</v>
      </c>
      <c r="T15" s="705" t="s">
        <v>14</v>
      </c>
      <c r="U15" s="706">
        <f t="shared" si="1"/>
        <v>100</v>
      </c>
      <c r="V15" s="705" t="s">
        <v>14</v>
      </c>
      <c r="W15" s="706">
        <f t="shared" si="2"/>
        <v>100</v>
      </c>
      <c r="X15" s="1349"/>
      <c r="Y15" s="3773"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61"/>
      <c r="Q16" s="1346"/>
      <c r="R16" s="705"/>
      <c r="S16" s="706"/>
      <c r="T16" s="705"/>
      <c r="U16" s="706"/>
      <c r="V16" s="705"/>
      <c r="W16" s="706"/>
      <c r="X16" s="1349"/>
      <c r="Y16" s="3774"/>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61"/>
      <c r="Q17" s="1346" t="str">
        <f>B17</f>
        <v>交通便捷度</v>
      </c>
      <c r="R17" s="705" t="s">
        <v>14</v>
      </c>
      <c r="S17" s="706">
        <f>F17</f>
        <v>100</v>
      </c>
      <c r="T17" s="705" t="s">
        <v>14</v>
      </c>
      <c r="U17" s="706">
        <f>H17</f>
        <v>100</v>
      </c>
      <c r="V17" s="705" t="s">
        <v>14</v>
      </c>
      <c r="W17" s="706">
        <f>J17</f>
        <v>100</v>
      </c>
      <c r="X17" s="1349"/>
      <c r="Y17" s="3774"/>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61"/>
      <c r="Q18" s="1346"/>
      <c r="R18" s="705"/>
      <c r="S18" s="706"/>
      <c r="T18" s="705"/>
      <c r="U18" s="706"/>
      <c r="V18" s="705"/>
      <c r="W18" s="706"/>
      <c r="X18" s="1349"/>
      <c r="Y18" s="3774"/>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61"/>
      <c r="Q19" s="1346" t="str">
        <f>B19</f>
        <v>公共配套设施</v>
      </c>
      <c r="R19" s="705" t="s">
        <v>14</v>
      </c>
      <c r="S19" s="706">
        <f>F19</f>
        <v>100</v>
      </c>
      <c r="T19" s="705" t="s">
        <v>14</v>
      </c>
      <c r="U19" s="706">
        <f>H19</f>
        <v>100</v>
      </c>
      <c r="V19" s="705" t="s">
        <v>14</v>
      </c>
      <c r="W19" s="706">
        <f>J19</f>
        <v>100</v>
      </c>
      <c r="X19" s="1349"/>
      <c r="Y19" s="3774"/>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61"/>
      <c r="Q20" s="1346"/>
      <c r="R20" s="705"/>
      <c r="S20" s="706"/>
      <c r="T20" s="705"/>
      <c r="U20" s="706"/>
      <c r="V20" s="705"/>
      <c r="W20" s="706"/>
      <c r="X20" s="1349"/>
      <c r="Y20" s="3774"/>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61"/>
      <c r="Q21" s="1346" t="str">
        <f>B21</f>
        <v>基础设施水平</v>
      </c>
      <c r="R21" s="705" t="s">
        <v>14</v>
      </c>
      <c r="S21" s="706">
        <f>F21</f>
        <v>100</v>
      </c>
      <c r="T21" s="705" t="s">
        <v>14</v>
      </c>
      <c r="U21" s="706">
        <f>H21</f>
        <v>100</v>
      </c>
      <c r="V21" s="705" t="s">
        <v>14</v>
      </c>
      <c r="W21" s="706">
        <f>J21</f>
        <v>100</v>
      </c>
      <c r="X21" s="1349"/>
      <c r="Y21" s="3774"/>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61"/>
      <c r="Q22" s="1346"/>
      <c r="R22" s="705"/>
      <c r="S22" s="706"/>
      <c r="T22" s="705"/>
      <c r="U22" s="706"/>
      <c r="V22" s="705"/>
      <c r="W22" s="706"/>
      <c r="X22" s="1349"/>
      <c r="Y22" s="3774"/>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61"/>
      <c r="Q23" s="1346" t="str">
        <f>B23</f>
        <v>环境质量</v>
      </c>
      <c r="R23" s="705" t="s">
        <v>14</v>
      </c>
      <c r="S23" s="706">
        <f>F23</f>
        <v>100</v>
      </c>
      <c r="T23" s="705" t="s">
        <v>14</v>
      </c>
      <c r="U23" s="706">
        <f>H23</f>
        <v>100</v>
      </c>
      <c r="V23" s="705" t="s">
        <v>14</v>
      </c>
      <c r="W23" s="706">
        <f>J23</f>
        <v>100</v>
      </c>
      <c r="X23" s="1349"/>
      <c r="Y23" s="3774"/>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61"/>
      <c r="Q24" s="1346"/>
      <c r="R24" s="705"/>
      <c r="S24" s="706"/>
      <c r="T24" s="705"/>
      <c r="U24" s="706"/>
      <c r="V24" s="705"/>
      <c r="W24" s="706"/>
      <c r="X24" s="1349"/>
      <c r="Y24" s="3774"/>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61"/>
      <c r="Q25" s="1346" t="str">
        <f>B25</f>
        <v>毗邻道路的类型与等级</v>
      </c>
      <c r="R25" s="705" t="s">
        <v>14</v>
      </c>
      <c r="S25" s="706">
        <f>F25</f>
        <v>100</v>
      </c>
      <c r="T25" s="705" t="s">
        <v>14</v>
      </c>
      <c r="U25" s="706">
        <f>H25</f>
        <v>100</v>
      </c>
      <c r="V25" s="705" t="s">
        <v>14</v>
      </c>
      <c r="W25" s="706">
        <f>J25</f>
        <v>100</v>
      </c>
      <c r="X25" s="1349"/>
      <c r="Y25" s="3774"/>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61"/>
      <c r="Q26" s="1346"/>
      <c r="R26" s="705"/>
      <c r="S26" s="706"/>
      <c r="T26" s="705"/>
      <c r="U26" s="706"/>
      <c r="V26" s="705"/>
      <c r="W26" s="706"/>
      <c r="X26" s="1349"/>
      <c r="Y26" s="3774"/>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61"/>
      <c r="Q27" s="1346" t="str">
        <f t="shared" ref="Q27:Q47" si="11">B27</f>
        <v>楼层</v>
      </c>
      <c r="R27" s="705" t="s">
        <v>14</v>
      </c>
      <c r="S27" s="706">
        <f>F27</f>
        <v>100</v>
      </c>
      <c r="T27" s="705" t="s">
        <v>14</v>
      </c>
      <c r="U27" s="706">
        <f>H27</f>
        <v>100</v>
      </c>
      <c r="V27" s="705" t="s">
        <v>14</v>
      </c>
      <c r="W27" s="706">
        <f>J27</f>
        <v>100</v>
      </c>
      <c r="X27" s="1349"/>
      <c r="Y27" s="3774"/>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61"/>
      <c r="Q28" s="1337" t="str">
        <f t="shared" si="11"/>
        <v>朝向</v>
      </c>
      <c r="R28" s="701" t="s">
        <v>14</v>
      </c>
      <c r="S28" s="702">
        <f>F28</f>
        <v>100</v>
      </c>
      <c r="T28" s="701" t="s">
        <v>14</v>
      </c>
      <c r="U28" s="702">
        <f>H28</f>
        <v>100</v>
      </c>
      <c r="V28" s="701" t="s">
        <v>14</v>
      </c>
      <c r="W28" s="702">
        <f>J28</f>
        <v>100</v>
      </c>
      <c r="X28" s="703"/>
      <c r="Y28" s="3774"/>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61"/>
      <c r="Q29" s="1346">
        <f t="shared" si="11"/>
        <v>111</v>
      </c>
      <c r="R29" s="705" t="s">
        <v>14</v>
      </c>
      <c r="S29" s="706">
        <f t="shared" ref="S29:S47" si="12">F29</f>
        <v>100</v>
      </c>
      <c r="T29" s="705" t="s">
        <v>14</v>
      </c>
      <c r="U29" s="706">
        <f t="shared" ref="U29:U47" si="13">H29</f>
        <v>100</v>
      </c>
      <c r="V29" s="705" t="s">
        <v>14</v>
      </c>
      <c r="W29" s="706">
        <f t="shared" ref="W29:W47" si="14">J29</f>
        <v>100</v>
      </c>
      <c r="X29" s="1349"/>
      <c r="Y29" s="3774"/>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61"/>
      <c r="Q30" s="1346">
        <f t="shared" si="11"/>
        <v>111</v>
      </c>
      <c r="R30" s="705" t="s">
        <v>14</v>
      </c>
      <c r="S30" s="706">
        <f t="shared" si="12"/>
        <v>100</v>
      </c>
      <c r="T30" s="705" t="s">
        <v>14</v>
      </c>
      <c r="U30" s="706">
        <f t="shared" si="13"/>
        <v>100</v>
      </c>
      <c r="V30" s="705" t="s">
        <v>14</v>
      </c>
      <c r="W30" s="706">
        <f t="shared" si="14"/>
        <v>100</v>
      </c>
      <c r="X30" s="1349"/>
      <c r="Y30" s="3774"/>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61"/>
      <c r="Q31" s="1346">
        <f t="shared" si="11"/>
        <v>111</v>
      </c>
      <c r="R31" s="705" t="s">
        <v>14</v>
      </c>
      <c r="S31" s="706">
        <f t="shared" si="12"/>
        <v>100</v>
      </c>
      <c r="T31" s="705" t="s">
        <v>14</v>
      </c>
      <c r="U31" s="706">
        <f t="shared" si="13"/>
        <v>100</v>
      </c>
      <c r="V31" s="705" t="s">
        <v>14</v>
      </c>
      <c r="W31" s="706">
        <f t="shared" si="14"/>
        <v>100</v>
      </c>
      <c r="X31" s="1349"/>
      <c r="Y31" s="3774"/>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61"/>
      <c r="Q32" s="1346">
        <f t="shared" si="11"/>
        <v>111</v>
      </c>
      <c r="R32" s="705" t="s">
        <v>14</v>
      </c>
      <c r="S32" s="706">
        <f t="shared" si="12"/>
        <v>100</v>
      </c>
      <c r="T32" s="705" t="s">
        <v>14</v>
      </c>
      <c r="U32" s="706">
        <f t="shared" si="13"/>
        <v>100</v>
      </c>
      <c r="V32" s="705" t="s">
        <v>14</v>
      </c>
      <c r="W32" s="706">
        <f t="shared" si="14"/>
        <v>100</v>
      </c>
      <c r="X32" s="1349"/>
      <c r="Y32" s="3774"/>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56" t="s">
        <v>1696</v>
      </c>
      <c r="Q33" s="1346" t="str">
        <f t="shared" si="11"/>
        <v>建筑类型</v>
      </c>
      <c r="R33" s="705" t="s">
        <v>14</v>
      </c>
      <c r="S33" s="706">
        <f t="shared" si="12"/>
        <v>100</v>
      </c>
      <c r="T33" s="705" t="s">
        <v>14</v>
      </c>
      <c r="U33" s="706">
        <f t="shared" si="13"/>
        <v>100</v>
      </c>
      <c r="V33" s="705" t="s">
        <v>14</v>
      </c>
      <c r="W33" s="706">
        <f t="shared" si="14"/>
        <v>100</v>
      </c>
      <c r="X33" s="1349"/>
      <c r="Y33" s="3776"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57"/>
      <c r="Q34" s="707" t="str">
        <f t="shared" si="11"/>
        <v>项目建筑规模</v>
      </c>
      <c r="R34" s="708" t="s">
        <v>14</v>
      </c>
      <c r="S34" s="709" t="e">
        <f t="shared" si="12"/>
        <v>#N/A</v>
      </c>
      <c r="T34" s="708" t="s">
        <v>14</v>
      </c>
      <c r="U34" s="709" t="e">
        <f t="shared" si="13"/>
        <v>#N/A</v>
      </c>
      <c r="V34" s="708" t="s">
        <v>14</v>
      </c>
      <c r="W34" s="709" t="e">
        <f t="shared" si="14"/>
        <v>#N/A</v>
      </c>
      <c r="X34" s="710"/>
      <c r="Y34" s="3776"/>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57"/>
      <c r="Q35" s="1346" t="str">
        <f t="shared" si="11"/>
        <v>建筑结构</v>
      </c>
      <c r="R35" s="705" t="s">
        <v>14</v>
      </c>
      <c r="S35" s="706">
        <f t="shared" si="12"/>
        <v>100</v>
      </c>
      <c r="T35" s="705" t="s">
        <v>14</v>
      </c>
      <c r="U35" s="706">
        <f t="shared" si="13"/>
        <v>100</v>
      </c>
      <c r="V35" s="705" t="s">
        <v>14</v>
      </c>
      <c r="W35" s="706">
        <f t="shared" si="14"/>
        <v>100</v>
      </c>
      <c r="X35" s="1349"/>
      <c r="Y35" s="3776"/>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57"/>
      <c r="Q36" s="1346" t="str">
        <f t="shared" si="11"/>
        <v>公共部分装修</v>
      </c>
      <c r="R36" s="705" t="s">
        <v>14</v>
      </c>
      <c r="S36" s="706">
        <f t="shared" si="12"/>
        <v>100</v>
      </c>
      <c r="T36" s="705" t="s">
        <v>14</v>
      </c>
      <c r="U36" s="706">
        <f t="shared" si="13"/>
        <v>100</v>
      </c>
      <c r="V36" s="705" t="s">
        <v>14</v>
      </c>
      <c r="W36" s="706">
        <f t="shared" si="14"/>
        <v>100</v>
      </c>
      <c r="X36" s="1349"/>
      <c r="Y36" s="3776"/>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57"/>
      <c r="Q37" s="1346" t="str">
        <f t="shared" si="11"/>
        <v>成新度</v>
      </c>
      <c r="R37" s="705" t="s">
        <v>14</v>
      </c>
      <c r="S37" s="706" t="e">
        <f t="shared" si="12"/>
        <v>#N/A</v>
      </c>
      <c r="T37" s="705" t="s">
        <v>14</v>
      </c>
      <c r="U37" s="706" t="e">
        <f t="shared" si="13"/>
        <v>#N/A</v>
      </c>
      <c r="V37" s="705" t="s">
        <v>14</v>
      </c>
      <c r="W37" s="706" t="e">
        <f t="shared" si="14"/>
        <v>#N/A</v>
      </c>
      <c r="X37" s="1349"/>
      <c r="Y37" s="3776"/>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57"/>
      <c r="Q38" s="1337" t="str">
        <f t="shared" si="11"/>
        <v>写字楼等级</v>
      </c>
      <c r="R38" s="701" t="s">
        <v>14</v>
      </c>
      <c r="S38" s="702">
        <f t="shared" si="12"/>
        <v>100</v>
      </c>
      <c r="T38" s="701" t="s">
        <v>14</v>
      </c>
      <c r="U38" s="702">
        <f t="shared" si="13"/>
        <v>100</v>
      </c>
      <c r="V38" s="701" t="s">
        <v>14</v>
      </c>
      <c r="W38" s="702">
        <f t="shared" si="14"/>
        <v>100</v>
      </c>
      <c r="X38" s="703"/>
      <c r="Y38" s="3776"/>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57" t="s">
        <v>1696</v>
      </c>
      <c r="Q39" s="1346" t="str">
        <f t="shared" si="11"/>
        <v>物业管理</v>
      </c>
      <c r="R39" s="705" t="s">
        <v>14</v>
      </c>
      <c r="S39" s="706">
        <f t="shared" si="12"/>
        <v>100</v>
      </c>
      <c r="T39" s="705" t="s">
        <v>14</v>
      </c>
      <c r="U39" s="706">
        <f t="shared" si="13"/>
        <v>100</v>
      </c>
      <c r="V39" s="705" t="s">
        <v>14</v>
      </c>
      <c r="W39" s="706">
        <f t="shared" si="14"/>
        <v>100</v>
      </c>
      <c r="X39" s="1349"/>
      <c r="Y39" s="3776"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57"/>
      <c r="Q40" s="1346" t="str">
        <f t="shared" si="11"/>
        <v>市政基础设施</v>
      </c>
      <c r="R40" s="705" t="s">
        <v>14</v>
      </c>
      <c r="S40" s="706">
        <f t="shared" si="12"/>
        <v>100</v>
      </c>
      <c r="T40" s="705" t="s">
        <v>14</v>
      </c>
      <c r="U40" s="706">
        <f t="shared" si="13"/>
        <v>100</v>
      </c>
      <c r="V40" s="705" t="s">
        <v>14</v>
      </c>
      <c r="W40" s="706">
        <f t="shared" si="14"/>
        <v>100</v>
      </c>
      <c r="X40" s="1349"/>
      <c r="Y40" s="3776"/>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57"/>
      <c r="Q41" s="1346" t="str">
        <f t="shared" si="11"/>
        <v>层高</v>
      </c>
      <c r="R41" s="705" t="s">
        <v>14</v>
      </c>
      <c r="S41" s="706">
        <f t="shared" si="12"/>
        <v>100</v>
      </c>
      <c r="T41" s="705" t="s">
        <v>14</v>
      </c>
      <c r="U41" s="706">
        <f t="shared" si="13"/>
        <v>100</v>
      </c>
      <c r="V41" s="705" t="s">
        <v>14</v>
      </c>
      <c r="W41" s="706">
        <f t="shared" si="14"/>
        <v>100</v>
      </c>
      <c r="X41" s="1349"/>
      <c r="Y41" s="3776"/>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57"/>
      <c r="Q42" s="707" t="str">
        <f t="shared" si="11"/>
        <v>单套建筑面积</v>
      </c>
      <c r="R42" s="708" t="s">
        <v>14</v>
      </c>
      <c r="S42" s="709">
        <f t="shared" si="12"/>
        <v>100</v>
      </c>
      <c r="T42" s="708" t="s">
        <v>14</v>
      </c>
      <c r="U42" s="709">
        <f t="shared" si="13"/>
        <v>100</v>
      </c>
      <c r="V42" s="708" t="s">
        <v>14</v>
      </c>
      <c r="W42" s="709">
        <f t="shared" si="14"/>
        <v>100</v>
      </c>
      <c r="X42" s="710"/>
      <c r="Y42" s="3776"/>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57"/>
      <c r="Q43" s="1346" t="str">
        <f t="shared" si="11"/>
        <v>内部装修</v>
      </c>
      <c r="R43" s="705" t="s">
        <v>14</v>
      </c>
      <c r="S43" s="706">
        <f t="shared" si="12"/>
        <v>100</v>
      </c>
      <c r="T43" s="705" t="s">
        <v>14</v>
      </c>
      <c r="U43" s="706">
        <f t="shared" si="13"/>
        <v>100</v>
      </c>
      <c r="V43" s="705" t="s">
        <v>14</v>
      </c>
      <c r="W43" s="706">
        <f t="shared" si="14"/>
        <v>100</v>
      </c>
      <c r="X43" s="1349"/>
      <c r="Y43" s="3776"/>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57"/>
      <c r="Q44" s="1346" t="str">
        <f t="shared" si="11"/>
        <v>内部装修维护情况</v>
      </c>
      <c r="R44" s="705" t="s">
        <v>14</v>
      </c>
      <c r="S44" s="706">
        <f t="shared" si="12"/>
        <v>100</v>
      </c>
      <c r="T44" s="705" t="s">
        <v>14</v>
      </c>
      <c r="U44" s="706">
        <f t="shared" si="13"/>
        <v>100</v>
      </c>
      <c r="V44" s="705" t="s">
        <v>14</v>
      </c>
      <c r="W44" s="706">
        <f t="shared" si="14"/>
        <v>100</v>
      </c>
      <c r="X44" s="1349"/>
      <c r="Y44" s="3776"/>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57"/>
      <c r="Q45" s="1337">
        <f t="shared" si="11"/>
        <v>111</v>
      </c>
      <c r="R45" s="701" t="s">
        <v>14</v>
      </c>
      <c r="S45" s="702">
        <f t="shared" si="12"/>
        <v>100</v>
      </c>
      <c r="T45" s="701" t="s">
        <v>14</v>
      </c>
      <c r="U45" s="702">
        <f t="shared" si="13"/>
        <v>100</v>
      </c>
      <c r="V45" s="701" t="s">
        <v>14</v>
      </c>
      <c r="W45" s="702">
        <f t="shared" si="14"/>
        <v>100</v>
      </c>
      <c r="X45" s="703"/>
      <c r="Y45" s="3776"/>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57"/>
      <c r="Q46" s="1346">
        <f t="shared" si="11"/>
        <v>111</v>
      </c>
      <c r="R46" s="705" t="s">
        <v>14</v>
      </c>
      <c r="S46" s="706">
        <f t="shared" si="12"/>
        <v>100</v>
      </c>
      <c r="T46" s="705" t="s">
        <v>14</v>
      </c>
      <c r="U46" s="706">
        <f t="shared" si="13"/>
        <v>100</v>
      </c>
      <c r="V46" s="705" t="s">
        <v>14</v>
      </c>
      <c r="W46" s="706">
        <f t="shared" si="14"/>
        <v>100</v>
      </c>
      <c r="X46" s="1349"/>
      <c r="Y46" s="3776"/>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58"/>
      <c r="Q47" s="1346">
        <f t="shared" si="11"/>
        <v>111</v>
      </c>
      <c r="R47" s="705" t="s">
        <v>14</v>
      </c>
      <c r="S47" s="706">
        <f t="shared" si="12"/>
        <v>100</v>
      </c>
      <c r="T47" s="705" t="s">
        <v>14</v>
      </c>
      <c r="U47" s="706">
        <f t="shared" si="13"/>
        <v>100</v>
      </c>
      <c r="V47" s="705" t="s">
        <v>14</v>
      </c>
      <c r="W47" s="706">
        <f t="shared" si="14"/>
        <v>100</v>
      </c>
      <c r="X47" s="1349"/>
      <c r="Y47" s="3859"/>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771" t="str">
        <f>A48</f>
        <v>成交单价（元/平方米）</v>
      </c>
      <c r="Q48" s="3772"/>
      <c r="R48" s="3855">
        <f>E48</f>
        <v>0</v>
      </c>
      <c r="S48" s="3855"/>
      <c r="T48" s="3855">
        <f>G48</f>
        <v>0</v>
      </c>
      <c r="U48" s="3855"/>
      <c r="V48" s="3855">
        <f>I48</f>
        <v>0</v>
      </c>
      <c r="W48" s="3855"/>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771" t="str">
        <f>A49</f>
        <v>比较价值（元/平方米）</v>
      </c>
      <c r="Q49" s="3772"/>
      <c r="R49" s="3855" t="e">
        <f>IF(F1="售价",ROUND(PRODUCT(R48,AA7:AA47),0),ROUND(PRODUCT(R48,AA7:AA47),1))</f>
        <v>#DIV/0!</v>
      </c>
      <c r="S49" s="3855"/>
      <c r="T49" s="3855" t="e">
        <f>IF(F1="售价",ROUND(PRODUCT(T48,AB7:AB47),0),ROUND(PRODUCT(T48,AB7:AB47),1))</f>
        <v>#DIV/0!</v>
      </c>
      <c r="U49" s="3855"/>
      <c r="V49" s="3855" t="e">
        <f>IF(F1="售价",ROUND(PRODUCT(V48,AC7:AC47),0),ROUND(PRODUCT(V48,AC7:AC47),1))</f>
        <v>#DIV/0!</v>
      </c>
      <c r="W49" s="3855"/>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62" t="str">
        <f>A50</f>
        <v>估价对象XX用房的比较价值（楼面单价，元/平方米）</v>
      </c>
      <c r="Q50" s="3863"/>
      <c r="R50" s="3864" t="e">
        <f>IF(F1="售价",ROUND(IF(D49="简单平均",AVERAGE(R49:V49),R49*F49+T49*H49+V49*J49),0),ROUND(IF(D49="简单平均",AVERAGE(R49:V49),R49*F49+T49*H49+V49*J49),1))</f>
        <v>#DIV/0!</v>
      </c>
      <c r="S50" s="3864"/>
      <c r="T50" s="3864"/>
      <c r="U50" s="3864"/>
      <c r="V50" s="3864"/>
      <c r="W50" s="3864"/>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2024-5</v>
      </c>
      <c r="D59" s="1179">
        <f>EDATE(C59,-1)</f>
        <v>45383</v>
      </c>
      <c r="E59" s="1179">
        <f>EDATE(D59,-1)</f>
        <v>45352</v>
      </c>
      <c r="F59" s="1179">
        <f t="shared" ref="F59:O59" si="16">EDATE(E59,-1)</f>
        <v>45323</v>
      </c>
      <c r="G59" s="1179">
        <f t="shared" si="16"/>
        <v>45292</v>
      </c>
      <c r="H59" s="1179">
        <f t="shared" si="16"/>
        <v>45261</v>
      </c>
      <c r="I59" s="1179">
        <f t="shared" si="16"/>
        <v>45231</v>
      </c>
      <c r="J59" s="1179">
        <f t="shared" si="16"/>
        <v>45200</v>
      </c>
      <c r="K59" s="1179">
        <f t="shared" si="16"/>
        <v>45170</v>
      </c>
      <c r="L59" s="1179">
        <f t="shared" si="16"/>
        <v>45139</v>
      </c>
      <c r="M59" s="1179">
        <f t="shared" si="16"/>
        <v>45108</v>
      </c>
      <c r="N59" s="1179">
        <f t="shared" si="16"/>
        <v>45078</v>
      </c>
      <c r="O59" s="1179">
        <f t="shared" si="16"/>
        <v>45047</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34690.01</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69" t="s">
        <v>1770</v>
      </c>
      <c r="D4" s="3781"/>
      <c r="E4" s="3782" t="s">
        <v>1771</v>
      </c>
      <c r="F4" s="3783"/>
      <c r="G4" s="3769" t="s">
        <v>1772</v>
      </c>
      <c r="H4" s="3781"/>
      <c r="I4" s="3769" t="s">
        <v>1773</v>
      </c>
      <c r="J4" s="3781"/>
      <c r="K4" s="559" t="s">
        <v>1774</v>
      </c>
      <c r="L4" s="908"/>
      <c r="M4" s="909"/>
      <c r="N4" s="909"/>
      <c r="O4" s="909"/>
      <c r="P4" s="3784" t="s">
        <v>1775</v>
      </c>
      <c r="Q4" s="3785"/>
      <c r="R4" s="3790" t="s">
        <v>1771</v>
      </c>
      <c r="S4" s="3791"/>
      <c r="T4" s="3790" t="s">
        <v>1772</v>
      </c>
      <c r="U4" s="3791"/>
      <c r="V4" s="3777" t="s">
        <v>1773</v>
      </c>
      <c r="W4" s="3777"/>
      <c r="X4" s="1349"/>
      <c r="Y4" s="3790" t="s">
        <v>1775</v>
      </c>
      <c r="Z4" s="3791"/>
      <c r="AA4" s="3778" t="s">
        <v>1771</v>
      </c>
      <c r="AB4" s="3779" t="s">
        <v>1772</v>
      </c>
      <c r="AC4" s="3778" t="s">
        <v>1773</v>
      </c>
    </row>
    <row r="5" spans="1:29" ht="15">
      <c r="A5" s="358"/>
      <c r="B5" s="359"/>
      <c r="C5" s="3798" t="s">
        <v>1673</v>
      </c>
      <c r="D5" s="3799"/>
      <c r="E5" s="3807" t="s">
        <v>1674</v>
      </c>
      <c r="F5" s="3808"/>
      <c r="G5" s="3798" t="s">
        <v>1675</v>
      </c>
      <c r="H5" s="3799"/>
      <c r="I5" s="3798" t="s">
        <v>1676</v>
      </c>
      <c r="J5" s="3799"/>
      <c r="K5" s="559"/>
      <c r="L5" s="908"/>
      <c r="M5" s="909"/>
      <c r="N5" s="909"/>
      <c r="O5" s="909"/>
      <c r="P5" s="3786"/>
      <c r="Q5" s="3787"/>
      <c r="R5" s="3792"/>
      <c r="S5" s="3793"/>
      <c r="T5" s="3792"/>
      <c r="U5" s="3793"/>
      <c r="V5" s="3777"/>
      <c r="W5" s="3777"/>
      <c r="X5" s="1349"/>
      <c r="Y5" s="3792"/>
      <c r="Z5" s="3793"/>
      <c r="AA5" s="3779"/>
      <c r="AB5" s="3779"/>
      <c r="AC5" s="3779"/>
    </row>
    <row r="6" spans="1:29" ht="15.75" thickBot="1">
      <c r="A6" s="360"/>
      <c r="B6" s="361"/>
      <c r="C6" s="3796" t="s">
        <v>1677</v>
      </c>
      <c r="D6" s="3797"/>
      <c r="E6" s="3805" t="s">
        <v>1677</v>
      </c>
      <c r="F6" s="3806"/>
      <c r="G6" s="3796" t="s">
        <v>1677</v>
      </c>
      <c r="H6" s="3797"/>
      <c r="I6" s="3796" t="s">
        <v>1677</v>
      </c>
      <c r="J6" s="3797"/>
      <c r="K6" s="559" t="s">
        <v>1678</v>
      </c>
      <c r="L6" s="908"/>
      <c r="M6" s="909"/>
      <c r="N6" s="909"/>
      <c r="O6" s="909"/>
      <c r="P6" s="3788"/>
      <c r="Q6" s="3789"/>
      <c r="R6" s="3792"/>
      <c r="S6" s="3793"/>
      <c r="T6" s="3794"/>
      <c r="U6" s="3795"/>
      <c r="V6" s="3777"/>
      <c r="W6" s="3777"/>
      <c r="X6" s="1349"/>
      <c r="Y6" s="3794"/>
      <c r="Z6" s="3795"/>
      <c r="AA6" s="3780"/>
      <c r="AB6" s="3780"/>
      <c r="AC6" s="3780"/>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0"/>
      <c r="M7" s="911"/>
      <c r="N7" s="911"/>
      <c r="O7" s="911"/>
      <c r="P7" s="3800" t="s">
        <v>1680</v>
      </c>
      <c r="Q7" s="3802"/>
      <c r="R7" s="701" t="s">
        <v>14</v>
      </c>
      <c r="S7" s="702">
        <f t="shared" ref="S7:S15" si="0">F7</f>
        <v>0</v>
      </c>
      <c r="T7" s="701" t="s">
        <v>14</v>
      </c>
      <c r="U7" s="702">
        <f t="shared" ref="U7:U15" si="1">H7</f>
        <v>0</v>
      </c>
      <c r="V7" s="701" t="s">
        <v>14</v>
      </c>
      <c r="W7" s="702">
        <f t="shared" ref="W7:W15" si="2">J7</f>
        <v>0</v>
      </c>
      <c r="X7" s="703"/>
      <c r="Y7" s="3800" t="s">
        <v>1680</v>
      </c>
      <c r="Z7" s="38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00" t="s">
        <v>1683</v>
      </c>
      <c r="Q8" s="3801"/>
      <c r="R8" s="701" t="s">
        <v>14</v>
      </c>
      <c r="S8" s="702">
        <f t="shared" si="0"/>
        <v>100</v>
      </c>
      <c r="T8" s="701" t="s">
        <v>14</v>
      </c>
      <c r="U8" s="702">
        <f t="shared" si="1"/>
        <v>100</v>
      </c>
      <c r="V8" s="701" t="s">
        <v>14</v>
      </c>
      <c r="W8" s="702">
        <f t="shared" si="2"/>
        <v>100</v>
      </c>
      <c r="X8" s="703"/>
      <c r="Y8" s="3800" t="s">
        <v>1683</v>
      </c>
      <c r="Z8" s="38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72" t="s">
        <v>1686</v>
      </c>
      <c r="Q9" s="1337"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72"/>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72"/>
      <c r="Q11" s="1337"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72"/>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72"/>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72"/>
      <c r="Q14" s="1337">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73" t="s">
        <v>1691</v>
      </c>
      <c r="Q15" s="1346" t="str">
        <f t="shared" si="6"/>
        <v>产业集聚程度</v>
      </c>
      <c r="R15" s="705" t="s">
        <v>14</v>
      </c>
      <c r="S15" s="706">
        <f t="shared" si="0"/>
        <v>100</v>
      </c>
      <c r="T15" s="705" t="s">
        <v>14</v>
      </c>
      <c r="U15" s="706">
        <f t="shared" si="1"/>
        <v>100</v>
      </c>
      <c r="V15" s="705" t="s">
        <v>14</v>
      </c>
      <c r="W15" s="706">
        <f t="shared" si="2"/>
        <v>100</v>
      </c>
      <c r="X15" s="1349"/>
      <c r="Y15" s="3773"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74"/>
      <c r="Q16" s="1346"/>
      <c r="R16" s="705"/>
      <c r="S16" s="706"/>
      <c r="T16" s="705"/>
      <c r="U16" s="706"/>
      <c r="V16" s="705"/>
      <c r="W16" s="706"/>
      <c r="X16" s="1349"/>
      <c r="Y16" s="3774"/>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74"/>
      <c r="Q17" s="1346" t="str">
        <f>B17</f>
        <v>交通便捷度</v>
      </c>
      <c r="R17" s="705" t="s">
        <v>14</v>
      </c>
      <c r="S17" s="706">
        <f>F17</f>
        <v>100</v>
      </c>
      <c r="T17" s="705" t="s">
        <v>14</v>
      </c>
      <c r="U17" s="706">
        <f>H17</f>
        <v>100</v>
      </c>
      <c r="V17" s="705" t="s">
        <v>14</v>
      </c>
      <c r="W17" s="706">
        <f>J17</f>
        <v>100</v>
      </c>
      <c r="X17" s="1349"/>
      <c r="Y17" s="3774"/>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74"/>
      <c r="Q18" s="1346"/>
      <c r="R18" s="705"/>
      <c r="S18" s="706"/>
      <c r="T18" s="705"/>
      <c r="U18" s="706"/>
      <c r="V18" s="705"/>
      <c r="W18" s="706"/>
      <c r="X18" s="1349"/>
      <c r="Y18" s="3774"/>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74"/>
      <c r="Q19" s="1346" t="str">
        <f>B19</f>
        <v>公共配套设施</v>
      </c>
      <c r="R19" s="705" t="s">
        <v>14</v>
      </c>
      <c r="S19" s="706">
        <f>F19</f>
        <v>100</v>
      </c>
      <c r="T19" s="705" t="s">
        <v>14</v>
      </c>
      <c r="U19" s="706">
        <f>H19</f>
        <v>100</v>
      </c>
      <c r="V19" s="705" t="s">
        <v>14</v>
      </c>
      <c r="W19" s="706">
        <f>J19</f>
        <v>100</v>
      </c>
      <c r="X19" s="1349"/>
      <c r="Y19" s="3774"/>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74"/>
      <c r="Q20" s="1346"/>
      <c r="R20" s="705"/>
      <c r="S20" s="706"/>
      <c r="T20" s="705"/>
      <c r="U20" s="706"/>
      <c r="V20" s="705"/>
      <c r="W20" s="706"/>
      <c r="X20" s="1349"/>
      <c r="Y20" s="3774"/>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74"/>
      <c r="Q21" s="1346" t="str">
        <f>B21</f>
        <v>基础设施水平</v>
      </c>
      <c r="R21" s="705" t="s">
        <v>14</v>
      </c>
      <c r="S21" s="706">
        <f>F21</f>
        <v>100</v>
      </c>
      <c r="T21" s="705" t="s">
        <v>14</v>
      </c>
      <c r="U21" s="706">
        <f>H21</f>
        <v>100</v>
      </c>
      <c r="V21" s="705" t="s">
        <v>14</v>
      </c>
      <c r="W21" s="706">
        <f>J21</f>
        <v>100</v>
      </c>
      <c r="X21" s="1349"/>
      <c r="Y21" s="3774"/>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74"/>
      <c r="Q22" s="1346"/>
      <c r="R22" s="705"/>
      <c r="S22" s="706"/>
      <c r="T22" s="705"/>
      <c r="U22" s="706"/>
      <c r="V22" s="705"/>
      <c r="W22" s="706"/>
      <c r="X22" s="1349"/>
      <c r="Y22" s="3774"/>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74"/>
      <c r="Q23" s="1346" t="str">
        <f>B23</f>
        <v>环境质量</v>
      </c>
      <c r="R23" s="705" t="s">
        <v>14</v>
      </c>
      <c r="S23" s="706">
        <f>F23</f>
        <v>100</v>
      </c>
      <c r="T23" s="705" t="s">
        <v>14</v>
      </c>
      <c r="U23" s="706">
        <f>H23</f>
        <v>100</v>
      </c>
      <c r="V23" s="705" t="s">
        <v>14</v>
      </c>
      <c r="W23" s="706">
        <f>J23</f>
        <v>100</v>
      </c>
      <c r="X23" s="1349"/>
      <c r="Y23" s="3774"/>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74"/>
      <c r="Q24" s="1346"/>
      <c r="R24" s="705"/>
      <c r="S24" s="706"/>
      <c r="T24" s="705"/>
      <c r="U24" s="706"/>
      <c r="V24" s="705"/>
      <c r="W24" s="706"/>
      <c r="X24" s="1349"/>
      <c r="Y24" s="3774"/>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74"/>
      <c r="Q25" s="1346">
        <f>B25</f>
        <v>111</v>
      </c>
      <c r="R25" s="705" t="s">
        <v>14</v>
      </c>
      <c r="S25" s="706">
        <f>F25</f>
        <v>100</v>
      </c>
      <c r="T25" s="705" t="s">
        <v>14</v>
      </c>
      <c r="U25" s="706">
        <f>H25</f>
        <v>100</v>
      </c>
      <c r="V25" s="705" t="s">
        <v>14</v>
      </c>
      <c r="W25" s="706">
        <f>J25</f>
        <v>100</v>
      </c>
      <c r="X25" s="1349"/>
      <c r="Y25" s="3774"/>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74"/>
      <c r="Q26" s="1346">
        <f t="shared" ref="Q26:Q40" si="11">B26</f>
        <v>111</v>
      </c>
      <c r="R26" s="705" t="s">
        <v>14</v>
      </c>
      <c r="S26" s="706">
        <f>F26</f>
        <v>100</v>
      </c>
      <c r="T26" s="705" t="s">
        <v>14</v>
      </c>
      <c r="U26" s="706">
        <f>H26</f>
        <v>100</v>
      </c>
      <c r="V26" s="705" t="s">
        <v>14</v>
      </c>
      <c r="W26" s="706">
        <f>J26</f>
        <v>100</v>
      </c>
      <c r="X26" s="1349"/>
      <c r="Y26" s="3774"/>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74"/>
      <c r="Q27" s="1337">
        <f t="shared" si="11"/>
        <v>111</v>
      </c>
      <c r="R27" s="701" t="s">
        <v>14</v>
      </c>
      <c r="S27" s="702">
        <f>F27</f>
        <v>100</v>
      </c>
      <c r="T27" s="701" t="s">
        <v>14</v>
      </c>
      <c r="U27" s="702">
        <f>H27</f>
        <v>100</v>
      </c>
      <c r="V27" s="701" t="s">
        <v>14</v>
      </c>
      <c r="W27" s="702">
        <f>J27</f>
        <v>100</v>
      </c>
      <c r="X27" s="703"/>
      <c r="Y27" s="3774"/>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74"/>
      <c r="Q28" s="1346">
        <f t="shared" si="11"/>
        <v>111</v>
      </c>
      <c r="R28" s="705" t="s">
        <v>14</v>
      </c>
      <c r="S28" s="706">
        <f t="shared" ref="S28:S40" si="12">F28</f>
        <v>100</v>
      </c>
      <c r="T28" s="705" t="s">
        <v>14</v>
      </c>
      <c r="U28" s="706">
        <f t="shared" ref="U28:U40" si="13">H28</f>
        <v>100</v>
      </c>
      <c r="V28" s="705" t="s">
        <v>14</v>
      </c>
      <c r="W28" s="706">
        <f t="shared" ref="W28:W40" si="14">J28</f>
        <v>100</v>
      </c>
      <c r="X28" s="1349"/>
      <c r="Y28" s="3774"/>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775" t="s">
        <v>1696</v>
      </c>
      <c r="Q29" s="1346" t="str">
        <f t="shared" si="11"/>
        <v>建筑类型</v>
      </c>
      <c r="R29" s="705" t="s">
        <v>14</v>
      </c>
      <c r="S29" s="706">
        <f t="shared" si="12"/>
        <v>100</v>
      </c>
      <c r="T29" s="705" t="s">
        <v>14</v>
      </c>
      <c r="U29" s="706">
        <f t="shared" si="13"/>
        <v>100</v>
      </c>
      <c r="V29" s="705" t="s">
        <v>14</v>
      </c>
      <c r="W29" s="706">
        <f t="shared" si="14"/>
        <v>100</v>
      </c>
      <c r="X29" s="1349"/>
      <c r="Y29" s="3776"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76"/>
      <c r="Q30" s="707" t="str">
        <f t="shared" si="11"/>
        <v>项目建筑规模</v>
      </c>
      <c r="R30" s="708" t="s">
        <v>14</v>
      </c>
      <c r="S30" s="709" t="e">
        <f t="shared" si="12"/>
        <v>#N/A</v>
      </c>
      <c r="T30" s="708" t="s">
        <v>14</v>
      </c>
      <c r="U30" s="709" t="e">
        <f t="shared" si="13"/>
        <v>#N/A</v>
      </c>
      <c r="V30" s="708" t="s">
        <v>14</v>
      </c>
      <c r="W30" s="709" t="e">
        <f t="shared" si="14"/>
        <v>#N/A</v>
      </c>
      <c r="X30" s="710"/>
      <c r="Y30" s="3776"/>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76"/>
      <c r="Q31" s="1346" t="str">
        <f t="shared" si="11"/>
        <v>建筑结构</v>
      </c>
      <c r="R31" s="705" t="s">
        <v>14</v>
      </c>
      <c r="S31" s="706">
        <f t="shared" si="12"/>
        <v>100</v>
      </c>
      <c r="T31" s="705" t="s">
        <v>14</v>
      </c>
      <c r="U31" s="706">
        <f t="shared" si="13"/>
        <v>100</v>
      </c>
      <c r="V31" s="705" t="s">
        <v>14</v>
      </c>
      <c r="W31" s="706">
        <f t="shared" si="14"/>
        <v>100</v>
      </c>
      <c r="X31" s="1349"/>
      <c r="Y31" s="3776"/>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76"/>
      <c r="Q32" s="1346" t="str">
        <f t="shared" si="11"/>
        <v>公共部分装修</v>
      </c>
      <c r="R32" s="705" t="s">
        <v>14</v>
      </c>
      <c r="S32" s="706">
        <f t="shared" si="12"/>
        <v>100</v>
      </c>
      <c r="T32" s="705" t="s">
        <v>14</v>
      </c>
      <c r="U32" s="706">
        <f t="shared" si="13"/>
        <v>100</v>
      </c>
      <c r="V32" s="705" t="s">
        <v>14</v>
      </c>
      <c r="W32" s="706">
        <f t="shared" si="14"/>
        <v>100</v>
      </c>
      <c r="X32" s="1349"/>
      <c r="Y32" s="3776"/>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76"/>
      <c r="Q33" s="1346" t="str">
        <f t="shared" si="11"/>
        <v>成新度</v>
      </c>
      <c r="R33" s="705" t="s">
        <v>14</v>
      </c>
      <c r="S33" s="706" t="e">
        <f t="shared" si="12"/>
        <v>#N/A</v>
      </c>
      <c r="T33" s="705" t="s">
        <v>14</v>
      </c>
      <c r="U33" s="706" t="e">
        <f t="shared" si="13"/>
        <v>#N/A</v>
      </c>
      <c r="V33" s="705" t="s">
        <v>14</v>
      </c>
      <c r="W33" s="706" t="e">
        <f t="shared" si="14"/>
        <v>#N/A</v>
      </c>
      <c r="X33" s="1349"/>
      <c r="Y33" s="3776"/>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76"/>
      <c r="Q34" s="1337" t="str">
        <f t="shared" si="11"/>
        <v>物业管理</v>
      </c>
      <c r="R34" s="701" t="s">
        <v>14</v>
      </c>
      <c r="S34" s="702">
        <f t="shared" si="12"/>
        <v>100</v>
      </c>
      <c r="T34" s="701" t="s">
        <v>14</v>
      </c>
      <c r="U34" s="702">
        <f t="shared" si="13"/>
        <v>100</v>
      </c>
      <c r="V34" s="701" t="s">
        <v>14</v>
      </c>
      <c r="W34" s="702">
        <f t="shared" si="14"/>
        <v>100</v>
      </c>
      <c r="X34" s="703"/>
      <c r="Y34" s="37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76" t="s">
        <v>1696</v>
      </c>
      <c r="Q35" s="1346" t="str">
        <f t="shared" si="11"/>
        <v>市政基础设施</v>
      </c>
      <c r="R35" s="705" t="s">
        <v>14</v>
      </c>
      <c r="S35" s="706">
        <f t="shared" si="12"/>
        <v>100</v>
      </c>
      <c r="T35" s="705" t="s">
        <v>14</v>
      </c>
      <c r="U35" s="706">
        <f t="shared" si="13"/>
        <v>100</v>
      </c>
      <c r="V35" s="705" t="s">
        <v>14</v>
      </c>
      <c r="W35" s="706">
        <f t="shared" si="14"/>
        <v>100</v>
      </c>
      <c r="X35" s="1349"/>
      <c r="Y35" s="3776"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76"/>
      <c r="Q36" s="1346" t="str">
        <f t="shared" si="11"/>
        <v>内部装修</v>
      </c>
      <c r="R36" s="705" t="s">
        <v>14</v>
      </c>
      <c r="S36" s="706">
        <f t="shared" si="12"/>
        <v>100</v>
      </c>
      <c r="T36" s="705" t="s">
        <v>14</v>
      </c>
      <c r="U36" s="706">
        <f t="shared" si="13"/>
        <v>100</v>
      </c>
      <c r="V36" s="705" t="s">
        <v>14</v>
      </c>
      <c r="W36" s="706">
        <f t="shared" si="14"/>
        <v>100</v>
      </c>
      <c r="X36" s="1349"/>
      <c r="Y36" s="3776"/>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76"/>
      <c r="Q37" s="1346" t="str">
        <f t="shared" si="11"/>
        <v>内部装修状况</v>
      </c>
      <c r="R37" s="705" t="s">
        <v>14</v>
      </c>
      <c r="S37" s="706">
        <f t="shared" si="12"/>
        <v>100</v>
      </c>
      <c r="T37" s="705" t="s">
        <v>14</v>
      </c>
      <c r="U37" s="706">
        <f t="shared" si="13"/>
        <v>100</v>
      </c>
      <c r="V37" s="705" t="s">
        <v>14</v>
      </c>
      <c r="W37" s="706">
        <f t="shared" si="14"/>
        <v>100</v>
      </c>
      <c r="X37" s="1349"/>
      <c r="Y37" s="3776"/>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76"/>
      <c r="Q38" s="707">
        <f t="shared" si="11"/>
        <v>111</v>
      </c>
      <c r="R38" s="708" t="s">
        <v>14</v>
      </c>
      <c r="S38" s="709">
        <f t="shared" si="12"/>
        <v>100</v>
      </c>
      <c r="T38" s="708" t="s">
        <v>14</v>
      </c>
      <c r="U38" s="709">
        <f t="shared" si="13"/>
        <v>100</v>
      </c>
      <c r="V38" s="708" t="s">
        <v>14</v>
      </c>
      <c r="W38" s="709">
        <f t="shared" si="14"/>
        <v>100</v>
      </c>
      <c r="X38" s="710"/>
      <c r="Y38" s="3776"/>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76"/>
      <c r="Q39" s="1346">
        <f t="shared" si="11"/>
        <v>111</v>
      </c>
      <c r="R39" s="705" t="s">
        <v>14</v>
      </c>
      <c r="S39" s="706">
        <f t="shared" si="12"/>
        <v>100</v>
      </c>
      <c r="T39" s="705" t="s">
        <v>14</v>
      </c>
      <c r="U39" s="706">
        <f t="shared" si="13"/>
        <v>100</v>
      </c>
      <c r="V39" s="705" t="s">
        <v>14</v>
      </c>
      <c r="W39" s="706">
        <f t="shared" si="14"/>
        <v>100</v>
      </c>
      <c r="X39" s="1349"/>
      <c r="Y39" s="3776"/>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59"/>
      <c r="Q40" s="1346">
        <f t="shared" si="11"/>
        <v>111</v>
      </c>
      <c r="R40" s="705" t="s">
        <v>14</v>
      </c>
      <c r="S40" s="706">
        <f t="shared" si="12"/>
        <v>100</v>
      </c>
      <c r="T40" s="705" t="s">
        <v>14</v>
      </c>
      <c r="U40" s="706">
        <f t="shared" si="13"/>
        <v>100</v>
      </c>
      <c r="V40" s="705" t="s">
        <v>14</v>
      </c>
      <c r="W40" s="706">
        <f t="shared" si="14"/>
        <v>100</v>
      </c>
      <c r="X40" s="1349"/>
      <c r="Y40" s="3859"/>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72" t="str">
        <f>A41</f>
        <v>成交单价（元/平方米）</v>
      </c>
      <c r="Q41" s="3772"/>
      <c r="R41" s="3855">
        <f>E41</f>
        <v>0</v>
      </c>
      <c r="S41" s="3855"/>
      <c r="T41" s="3855">
        <f>G41</f>
        <v>0</v>
      </c>
      <c r="U41" s="3855"/>
      <c r="V41" s="3855">
        <f>I41</f>
        <v>0</v>
      </c>
      <c r="W41" s="3855"/>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72" t="str">
        <f>A42</f>
        <v>比较价值（元/平方米）</v>
      </c>
      <c r="Q42" s="3772"/>
      <c r="R42" s="3855" t="e">
        <f>IF(F1="售价",ROUND(PRODUCT(R41,AA7:AA40),0),ROUND(PRODUCT(R41,AA7:AA40),1))</f>
        <v>#DIV/0!</v>
      </c>
      <c r="S42" s="3855"/>
      <c r="T42" s="3855" t="e">
        <f>IF(F1="售价",ROUND(PRODUCT(T41,AB7:AB40),0),ROUND(PRODUCT(T41,AB7:AB40),1))</f>
        <v>#DIV/0!</v>
      </c>
      <c r="U42" s="3855"/>
      <c r="V42" s="3855" t="e">
        <f>IF(F1="售价",ROUND(PRODUCT(V41,AC7:AC40),0),ROUND(PRODUCT(V41,AC7:AC40),1))</f>
        <v>#DIV/0!</v>
      </c>
      <c r="W42" s="3855"/>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66" t="str">
        <f>A43</f>
        <v>估价对象XX用房的比较价值（楼面单价，元/平方米）</v>
      </c>
      <c r="Q43" s="3767"/>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2024-5</v>
      </c>
      <c r="D52" s="1179">
        <f>EDATE(C52,-1)</f>
        <v>45383</v>
      </c>
      <c r="E52" s="1179">
        <f t="shared" ref="E52:O52" si="16">EDATE(D52,-1)</f>
        <v>45352</v>
      </c>
      <c r="F52" s="1179">
        <f t="shared" si="16"/>
        <v>45323</v>
      </c>
      <c r="G52" s="1179">
        <f t="shared" si="16"/>
        <v>45292</v>
      </c>
      <c r="H52" s="1179">
        <f t="shared" si="16"/>
        <v>45261</v>
      </c>
      <c r="I52" s="1179">
        <f t="shared" si="16"/>
        <v>45231</v>
      </c>
      <c r="J52" s="1179">
        <f t="shared" si="16"/>
        <v>45200</v>
      </c>
      <c r="K52" s="1179">
        <f t="shared" si="16"/>
        <v>45170</v>
      </c>
      <c r="L52" s="1179">
        <f t="shared" si="16"/>
        <v>45139</v>
      </c>
      <c r="M52" s="1179">
        <f t="shared" si="16"/>
        <v>45108</v>
      </c>
      <c r="N52" s="1179">
        <f t="shared" si="16"/>
        <v>45078</v>
      </c>
      <c r="O52" s="1179">
        <f t="shared" si="16"/>
        <v>45047</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69" t="s">
        <v>1770</v>
      </c>
      <c r="D4" s="3781"/>
      <c r="E4" s="3782" t="s">
        <v>1771</v>
      </c>
      <c r="F4" s="3783"/>
      <c r="G4" s="3769" t="s">
        <v>1772</v>
      </c>
      <c r="H4" s="3781"/>
      <c r="I4" s="3769" t="s">
        <v>1773</v>
      </c>
      <c r="J4" s="3781"/>
      <c r="K4" s="559" t="s">
        <v>1774</v>
      </c>
      <c r="L4" s="2701"/>
      <c r="M4" s="2702"/>
      <c r="N4" s="2702"/>
      <c r="O4" s="2702"/>
      <c r="P4" s="3784" t="s">
        <v>1775</v>
      </c>
      <c r="Q4" s="3785"/>
      <c r="R4" s="3790" t="s">
        <v>1771</v>
      </c>
      <c r="S4" s="3791"/>
      <c r="T4" s="3790" t="s">
        <v>1772</v>
      </c>
      <c r="U4" s="3791"/>
      <c r="V4" s="3777" t="s">
        <v>1773</v>
      </c>
      <c r="W4" s="3777"/>
      <c r="X4" s="1349"/>
      <c r="Y4" s="3790" t="s">
        <v>1775</v>
      </c>
      <c r="Z4" s="3791"/>
      <c r="AA4" s="3778" t="s">
        <v>1771</v>
      </c>
      <c r="AB4" s="3779" t="s">
        <v>1772</v>
      </c>
      <c r="AC4" s="3778" t="s">
        <v>1773</v>
      </c>
    </row>
    <row r="5" spans="1:29" ht="15">
      <c r="A5" s="358"/>
      <c r="B5" s="359"/>
      <c r="C5" s="3798" t="s">
        <v>1673</v>
      </c>
      <c r="D5" s="3799"/>
      <c r="E5" s="3807" t="s">
        <v>1674</v>
      </c>
      <c r="F5" s="3808"/>
      <c r="G5" s="3798" t="s">
        <v>1675</v>
      </c>
      <c r="H5" s="3799"/>
      <c r="I5" s="3798" t="s">
        <v>1676</v>
      </c>
      <c r="J5" s="3799"/>
      <c r="K5" s="559"/>
      <c r="L5" s="2701"/>
      <c r="M5" s="2702"/>
      <c r="N5" s="2702"/>
      <c r="O5" s="2702"/>
      <c r="P5" s="3786"/>
      <c r="Q5" s="3787"/>
      <c r="R5" s="3792"/>
      <c r="S5" s="3793"/>
      <c r="T5" s="3792"/>
      <c r="U5" s="3793"/>
      <c r="V5" s="3777"/>
      <c r="W5" s="3777"/>
      <c r="X5" s="1349"/>
      <c r="Y5" s="3792"/>
      <c r="Z5" s="3793"/>
      <c r="AA5" s="3779"/>
      <c r="AB5" s="3779"/>
      <c r="AC5" s="3779"/>
    </row>
    <row r="6" spans="1:29" ht="15.75" thickBot="1">
      <c r="A6" s="360"/>
      <c r="B6" s="361"/>
      <c r="C6" s="3796" t="s">
        <v>1677</v>
      </c>
      <c r="D6" s="3797"/>
      <c r="E6" s="3805" t="s">
        <v>1677</v>
      </c>
      <c r="F6" s="3806"/>
      <c r="G6" s="3796" t="s">
        <v>1677</v>
      </c>
      <c r="H6" s="3797"/>
      <c r="I6" s="3796" t="s">
        <v>1677</v>
      </c>
      <c r="J6" s="3797"/>
      <c r="K6" s="559" t="s">
        <v>1678</v>
      </c>
      <c r="L6" s="2701"/>
      <c r="M6" s="2702"/>
      <c r="N6" s="2702"/>
      <c r="O6" s="2702"/>
      <c r="P6" s="3788"/>
      <c r="Q6" s="3789"/>
      <c r="R6" s="3792"/>
      <c r="S6" s="3793"/>
      <c r="T6" s="3794"/>
      <c r="U6" s="3795"/>
      <c r="V6" s="3777"/>
      <c r="W6" s="3777"/>
      <c r="X6" s="1349"/>
      <c r="Y6" s="3794"/>
      <c r="Z6" s="3795"/>
      <c r="AA6" s="3780"/>
      <c r="AB6" s="3780"/>
      <c r="AC6" s="3780"/>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03"/>
      <c r="M7" s="2704"/>
      <c r="N7" s="2704"/>
      <c r="O7" s="2704"/>
      <c r="P7" s="3800" t="s">
        <v>1680</v>
      </c>
      <c r="Q7" s="3802"/>
      <c r="R7" s="701" t="s">
        <v>14</v>
      </c>
      <c r="S7" s="702">
        <f t="shared" ref="S7:S14" si="0">F7</f>
        <v>0</v>
      </c>
      <c r="T7" s="701" t="s">
        <v>14</v>
      </c>
      <c r="U7" s="702">
        <f t="shared" ref="U7:U14" si="1">H7</f>
        <v>0</v>
      </c>
      <c r="V7" s="701" t="s">
        <v>14</v>
      </c>
      <c r="W7" s="702">
        <f t="shared" ref="W7:W14" si="2">J7</f>
        <v>0</v>
      </c>
      <c r="X7" s="703"/>
      <c r="Y7" s="3800" t="s">
        <v>1680</v>
      </c>
      <c r="Z7" s="38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800" t="s">
        <v>1683</v>
      </c>
      <c r="Q8" s="3801"/>
      <c r="R8" s="701" t="s">
        <v>14</v>
      </c>
      <c r="S8" s="702">
        <f t="shared" si="0"/>
        <v>100</v>
      </c>
      <c r="T8" s="701" t="s">
        <v>14</v>
      </c>
      <c r="U8" s="702">
        <f t="shared" si="1"/>
        <v>100</v>
      </c>
      <c r="V8" s="701" t="s">
        <v>14</v>
      </c>
      <c r="W8" s="702">
        <f t="shared" si="2"/>
        <v>100</v>
      </c>
      <c r="X8" s="703"/>
      <c r="Y8" s="3800" t="s">
        <v>1683</v>
      </c>
      <c r="Z8" s="38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72" t="s">
        <v>1686</v>
      </c>
      <c r="Q9" s="1337"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72"/>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72"/>
      <c r="Q11" s="1337">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72"/>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72"/>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773" t="s">
        <v>1691</v>
      </c>
      <c r="Q14" s="1346" t="str">
        <f t="shared" si="6"/>
        <v>交通便捷度</v>
      </c>
      <c r="R14" s="705" t="s">
        <v>14</v>
      </c>
      <c r="S14" s="706">
        <f t="shared" si="0"/>
        <v>100</v>
      </c>
      <c r="T14" s="705" t="s">
        <v>14</v>
      </c>
      <c r="U14" s="706">
        <f t="shared" si="1"/>
        <v>100</v>
      </c>
      <c r="V14" s="705" t="s">
        <v>14</v>
      </c>
      <c r="W14" s="706">
        <f t="shared" si="2"/>
        <v>100</v>
      </c>
      <c r="X14" s="1349"/>
      <c r="Y14" s="3773"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774"/>
      <c r="Q15" s="1346"/>
      <c r="R15" s="705"/>
      <c r="S15" s="706"/>
      <c r="T15" s="705"/>
      <c r="U15" s="706"/>
      <c r="V15" s="705"/>
      <c r="W15" s="706"/>
      <c r="X15" s="1349"/>
      <c r="Y15" s="3774"/>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774"/>
      <c r="Q16" s="1346" t="str">
        <f>B16</f>
        <v>公共配套设施</v>
      </c>
      <c r="R16" s="705" t="s">
        <v>14</v>
      </c>
      <c r="S16" s="706">
        <f>F16</f>
        <v>100</v>
      </c>
      <c r="T16" s="705" t="s">
        <v>14</v>
      </c>
      <c r="U16" s="706">
        <f>H16</f>
        <v>100</v>
      </c>
      <c r="V16" s="705" t="s">
        <v>14</v>
      </c>
      <c r="W16" s="706">
        <f>J16</f>
        <v>100</v>
      </c>
      <c r="X16" s="1349"/>
      <c r="Y16" s="3774"/>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774"/>
      <c r="Q17" s="1346"/>
      <c r="R17" s="705"/>
      <c r="S17" s="706"/>
      <c r="T17" s="705"/>
      <c r="U17" s="706"/>
      <c r="V17" s="705"/>
      <c r="W17" s="706"/>
      <c r="X17" s="1349"/>
      <c r="Y17" s="3774"/>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774"/>
      <c r="Q18" s="1346" t="str">
        <f>B18</f>
        <v>基础设施水平</v>
      </c>
      <c r="R18" s="705" t="s">
        <v>14</v>
      </c>
      <c r="S18" s="706">
        <f>F18</f>
        <v>100</v>
      </c>
      <c r="T18" s="705" t="s">
        <v>14</v>
      </c>
      <c r="U18" s="706">
        <f>H18</f>
        <v>100</v>
      </c>
      <c r="V18" s="705" t="s">
        <v>14</v>
      </c>
      <c r="W18" s="706">
        <f>J18</f>
        <v>100</v>
      </c>
      <c r="X18" s="1349"/>
      <c r="Y18" s="3774"/>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774"/>
      <c r="Q19" s="1346"/>
      <c r="R19" s="705"/>
      <c r="S19" s="706"/>
      <c r="T19" s="705"/>
      <c r="U19" s="706"/>
      <c r="V19" s="705"/>
      <c r="W19" s="706"/>
      <c r="X19" s="1349"/>
      <c r="Y19" s="3774"/>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774"/>
      <c r="Q20" s="1346" t="str">
        <f>B20</f>
        <v>自然及人文环境</v>
      </c>
      <c r="R20" s="705" t="s">
        <v>14</v>
      </c>
      <c r="S20" s="706">
        <f>F20</f>
        <v>100</v>
      </c>
      <c r="T20" s="705" t="s">
        <v>14</v>
      </c>
      <c r="U20" s="706">
        <f>H20</f>
        <v>100</v>
      </c>
      <c r="V20" s="705" t="s">
        <v>14</v>
      </c>
      <c r="W20" s="706">
        <f>J20</f>
        <v>100</v>
      </c>
      <c r="X20" s="1349"/>
      <c r="Y20" s="3774"/>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774"/>
      <c r="Q21" s="1346"/>
      <c r="R21" s="705"/>
      <c r="S21" s="706"/>
      <c r="T21" s="705"/>
      <c r="U21" s="706"/>
      <c r="V21" s="705"/>
      <c r="W21" s="706"/>
      <c r="X21" s="1349"/>
      <c r="Y21" s="3774"/>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774"/>
      <c r="Q22" s="1346" t="str">
        <f>B22</f>
        <v>楼层</v>
      </c>
      <c r="R22" s="705" t="s">
        <v>14</v>
      </c>
      <c r="S22" s="706">
        <f>F22</f>
        <v>100</v>
      </c>
      <c r="T22" s="705" t="s">
        <v>14</v>
      </c>
      <c r="U22" s="706">
        <f>H22</f>
        <v>100</v>
      </c>
      <c r="V22" s="705" t="s">
        <v>14</v>
      </c>
      <c r="W22" s="706">
        <f>J22</f>
        <v>100</v>
      </c>
      <c r="X22" s="1349"/>
      <c r="Y22" s="3774"/>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774"/>
      <c r="Q23" s="1346">
        <f>B23</f>
        <v>111</v>
      </c>
      <c r="R23" s="705" t="s">
        <v>14</v>
      </c>
      <c r="S23" s="706">
        <f>F23</f>
        <v>100</v>
      </c>
      <c r="T23" s="705" t="s">
        <v>14</v>
      </c>
      <c r="U23" s="706">
        <f>H23</f>
        <v>100</v>
      </c>
      <c r="V23" s="705" t="s">
        <v>14</v>
      </c>
      <c r="W23" s="706">
        <f>J23</f>
        <v>100</v>
      </c>
      <c r="X23" s="1349"/>
      <c r="Y23" s="3774"/>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774"/>
      <c r="Q24" s="1346">
        <f t="shared" ref="Q24:Q36" si="11">B24</f>
        <v>111</v>
      </c>
      <c r="R24" s="705" t="s">
        <v>14</v>
      </c>
      <c r="S24" s="706">
        <f>F24</f>
        <v>100</v>
      </c>
      <c r="T24" s="705" t="s">
        <v>14</v>
      </c>
      <c r="U24" s="706">
        <f>H24</f>
        <v>100</v>
      </c>
      <c r="V24" s="705" t="s">
        <v>14</v>
      </c>
      <c r="W24" s="706">
        <f>J24</f>
        <v>100</v>
      </c>
      <c r="X24" s="1349"/>
      <c r="Y24" s="3774"/>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774"/>
      <c r="Q25" s="1337">
        <f t="shared" si="11"/>
        <v>111</v>
      </c>
      <c r="R25" s="701" t="s">
        <v>14</v>
      </c>
      <c r="S25" s="702">
        <f>F25</f>
        <v>100</v>
      </c>
      <c r="T25" s="701" t="s">
        <v>14</v>
      </c>
      <c r="U25" s="702">
        <f>H25</f>
        <v>100</v>
      </c>
      <c r="V25" s="701" t="s">
        <v>14</v>
      </c>
      <c r="W25" s="702">
        <f>J25</f>
        <v>100</v>
      </c>
      <c r="X25" s="703"/>
      <c r="Y25" s="3774"/>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775"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776"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776"/>
      <c r="Q27" s="707" t="str">
        <f t="shared" si="11"/>
        <v>项目停车位配比</v>
      </c>
      <c r="R27" s="708" t="s">
        <v>14</v>
      </c>
      <c r="S27" s="709">
        <f t="shared" si="12"/>
        <v>100</v>
      </c>
      <c r="T27" s="708" t="s">
        <v>14</v>
      </c>
      <c r="U27" s="709">
        <f t="shared" si="13"/>
        <v>100</v>
      </c>
      <c r="V27" s="708" t="s">
        <v>14</v>
      </c>
      <c r="W27" s="709">
        <f t="shared" si="14"/>
        <v>100</v>
      </c>
      <c r="X27" s="710"/>
      <c r="Y27" s="3776"/>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776"/>
      <c r="Q28" s="1346" t="str">
        <f t="shared" si="11"/>
        <v>公共部分装修</v>
      </c>
      <c r="R28" s="705" t="s">
        <v>14</v>
      </c>
      <c r="S28" s="706">
        <f t="shared" si="12"/>
        <v>100</v>
      </c>
      <c r="T28" s="705" t="s">
        <v>14</v>
      </c>
      <c r="U28" s="706">
        <f t="shared" si="13"/>
        <v>100</v>
      </c>
      <c r="V28" s="705" t="s">
        <v>14</v>
      </c>
      <c r="W28" s="706">
        <f t="shared" si="14"/>
        <v>100</v>
      </c>
      <c r="X28" s="1349"/>
      <c r="Y28" s="3776"/>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776"/>
      <c r="Q29" s="1346" t="str">
        <f t="shared" si="11"/>
        <v>成新率</v>
      </c>
      <c r="R29" s="705" t="s">
        <v>14</v>
      </c>
      <c r="S29" s="706" t="e">
        <f t="shared" si="12"/>
        <v>#N/A</v>
      </c>
      <c r="T29" s="705" t="s">
        <v>14</v>
      </c>
      <c r="U29" s="706" t="e">
        <f t="shared" si="13"/>
        <v>#N/A</v>
      </c>
      <c r="V29" s="705" t="s">
        <v>14</v>
      </c>
      <c r="W29" s="706" t="e">
        <f t="shared" si="14"/>
        <v>#N/A</v>
      </c>
      <c r="X29" s="1349"/>
      <c r="Y29" s="3776"/>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776"/>
      <c r="Q30" s="1346" t="str">
        <f t="shared" si="11"/>
        <v>物业等级</v>
      </c>
      <c r="R30" s="705" t="s">
        <v>14</v>
      </c>
      <c r="S30" s="706">
        <f t="shared" si="12"/>
        <v>100</v>
      </c>
      <c r="T30" s="705" t="s">
        <v>14</v>
      </c>
      <c r="U30" s="706">
        <f t="shared" si="13"/>
        <v>100</v>
      </c>
      <c r="V30" s="705" t="s">
        <v>14</v>
      </c>
      <c r="W30" s="706">
        <f t="shared" si="14"/>
        <v>100</v>
      </c>
      <c r="X30" s="1349"/>
      <c r="Y30" s="3776"/>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776"/>
      <c r="Q31" s="1337" t="str">
        <f t="shared" si="11"/>
        <v>停车位面积</v>
      </c>
      <c r="R31" s="701" t="s">
        <v>14</v>
      </c>
      <c r="S31" s="702" t="e">
        <f t="shared" si="12"/>
        <v>#N/A</v>
      </c>
      <c r="T31" s="701" t="s">
        <v>14</v>
      </c>
      <c r="U31" s="702" t="e">
        <f t="shared" si="13"/>
        <v>#N/A</v>
      </c>
      <c r="V31" s="701" t="s">
        <v>14</v>
      </c>
      <c r="W31" s="702" t="e">
        <f t="shared" si="14"/>
        <v>#N/A</v>
      </c>
      <c r="X31" s="703"/>
      <c r="Y31" s="37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776" t="s">
        <v>1696</v>
      </c>
      <c r="Q32" s="1346" t="str">
        <f t="shared" si="11"/>
        <v>车位类型</v>
      </c>
      <c r="R32" s="705" t="s">
        <v>14</v>
      </c>
      <c r="S32" s="706">
        <f t="shared" si="12"/>
        <v>100</v>
      </c>
      <c r="T32" s="705" t="s">
        <v>14</v>
      </c>
      <c r="U32" s="706">
        <f t="shared" si="13"/>
        <v>100</v>
      </c>
      <c r="V32" s="705" t="s">
        <v>14</v>
      </c>
      <c r="W32" s="706">
        <f t="shared" si="14"/>
        <v>100</v>
      </c>
      <c r="X32" s="1349"/>
      <c r="Y32" s="3776"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776"/>
      <c r="Q33" s="1346" t="str">
        <f t="shared" si="11"/>
        <v>是否直接入户</v>
      </c>
      <c r="R33" s="705" t="s">
        <v>14</v>
      </c>
      <c r="S33" s="706">
        <f t="shared" si="12"/>
        <v>100</v>
      </c>
      <c r="T33" s="705" t="s">
        <v>14</v>
      </c>
      <c r="U33" s="706">
        <f t="shared" si="13"/>
        <v>100</v>
      </c>
      <c r="V33" s="705" t="s">
        <v>14</v>
      </c>
      <c r="W33" s="706">
        <f t="shared" si="14"/>
        <v>100</v>
      </c>
      <c r="X33" s="1349"/>
      <c r="Y33" s="3776"/>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776"/>
      <c r="Q34" s="1346">
        <f t="shared" si="11"/>
        <v>111</v>
      </c>
      <c r="R34" s="705" t="s">
        <v>14</v>
      </c>
      <c r="S34" s="706">
        <f t="shared" si="12"/>
        <v>100</v>
      </c>
      <c r="T34" s="705" t="s">
        <v>14</v>
      </c>
      <c r="U34" s="706">
        <f t="shared" si="13"/>
        <v>100</v>
      </c>
      <c r="V34" s="705" t="s">
        <v>14</v>
      </c>
      <c r="W34" s="706">
        <f t="shared" si="14"/>
        <v>100</v>
      </c>
      <c r="X34" s="1349"/>
      <c r="Y34" s="3776"/>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776"/>
      <c r="Q35" s="707">
        <f t="shared" si="11"/>
        <v>111</v>
      </c>
      <c r="R35" s="708" t="s">
        <v>14</v>
      </c>
      <c r="S35" s="709">
        <f t="shared" si="12"/>
        <v>100</v>
      </c>
      <c r="T35" s="708" t="s">
        <v>14</v>
      </c>
      <c r="U35" s="709">
        <f t="shared" si="13"/>
        <v>100</v>
      </c>
      <c r="V35" s="708" t="s">
        <v>14</v>
      </c>
      <c r="W35" s="709">
        <f t="shared" si="14"/>
        <v>100</v>
      </c>
      <c r="X35" s="710"/>
      <c r="Y35" s="3776"/>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776"/>
      <c r="Q36" s="1346">
        <f t="shared" si="11"/>
        <v>111</v>
      </c>
      <c r="R36" s="705" t="s">
        <v>14</v>
      </c>
      <c r="S36" s="706">
        <f t="shared" si="12"/>
        <v>100</v>
      </c>
      <c r="T36" s="705" t="s">
        <v>14</v>
      </c>
      <c r="U36" s="706">
        <f t="shared" si="13"/>
        <v>100</v>
      </c>
      <c r="V36" s="705" t="s">
        <v>14</v>
      </c>
      <c r="W36" s="706">
        <f t="shared" si="14"/>
        <v>100</v>
      </c>
      <c r="X36" s="1349"/>
      <c r="Y36" s="3776"/>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772" t="str">
        <f>A37</f>
        <v>成交单价</v>
      </c>
      <c r="Q37" s="3772"/>
      <c r="R37" s="3855">
        <f>E37</f>
        <v>0</v>
      </c>
      <c r="S37" s="3855"/>
      <c r="T37" s="3855">
        <f>G37</f>
        <v>0</v>
      </c>
      <c r="U37" s="3855"/>
      <c r="V37" s="3855">
        <f>I37</f>
        <v>0</v>
      </c>
      <c r="W37" s="3855"/>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72" t="str">
        <f>A38</f>
        <v>比较价值（元/平方米）</v>
      </c>
      <c r="Q38" s="3772"/>
      <c r="R38" s="3855" t="e">
        <f>IF(F1="售价",ROUND(PRODUCT(R37,AA7:AA36),0),ROUND(PRODUCT(R37,AA7:AA36),1))</f>
        <v>#DIV/0!</v>
      </c>
      <c r="S38" s="3855"/>
      <c r="T38" s="3855" t="e">
        <f>IF(F1="售价",ROUND(PRODUCT(T37,AB7:AB36),0),ROUND(PRODUCT(T37,AB7:AB36),1))</f>
        <v>#DIV/0!</v>
      </c>
      <c r="U38" s="3855"/>
      <c r="V38" s="3855" t="e">
        <f>IF(F1="售价",ROUND(PRODUCT(V37,AC7:AC36),0),ROUND(PRODUCT(V37,AC7:AC36),1))</f>
        <v>#DIV/0!</v>
      </c>
      <c r="W38" s="3855"/>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766" t="str">
        <f>A39</f>
        <v>估价对象XX用房的比较价值（楼面单价，元/平方米）</v>
      </c>
      <c r="Q39" s="3767"/>
      <c r="R39" s="3877" t="e">
        <f>IF(F1="售价",ROUND(IF(D38="简单平均",AVERAGE(R38:W38),R38*F38+T38*H38+V38*J38),0),ROUND(IF(D38="简单平均",AVERAGE(R38:V38),R38*F38+T38*H38+V38*J38),1))</f>
        <v>#DIV/0!</v>
      </c>
      <c r="S39" s="3877"/>
      <c r="T39" s="3877"/>
      <c r="U39" s="3877"/>
      <c r="V39" s="3877"/>
      <c r="W39" s="3877"/>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2024-5</v>
      </c>
      <c r="D48" s="1179">
        <f>EDATE(C48,-1)</f>
        <v>45383</v>
      </c>
      <c r="E48" s="1179">
        <f t="shared" ref="E48:O48" si="16">EDATE(D48,-1)</f>
        <v>45352</v>
      </c>
      <c r="F48" s="1179">
        <f t="shared" si="16"/>
        <v>45323</v>
      </c>
      <c r="G48" s="1179">
        <f t="shared" si="16"/>
        <v>45292</v>
      </c>
      <c r="H48" s="1179">
        <f t="shared" si="16"/>
        <v>45261</v>
      </c>
      <c r="I48" s="1179">
        <f t="shared" si="16"/>
        <v>45231</v>
      </c>
      <c r="J48" s="1179">
        <f t="shared" si="16"/>
        <v>45200</v>
      </c>
      <c r="K48" s="1179">
        <f t="shared" si="16"/>
        <v>45170</v>
      </c>
      <c r="L48" s="1179">
        <f t="shared" si="16"/>
        <v>45139</v>
      </c>
      <c r="M48" s="1179">
        <f t="shared" si="16"/>
        <v>45108</v>
      </c>
      <c r="N48" s="1179">
        <f t="shared" si="16"/>
        <v>45078</v>
      </c>
      <c r="O48" s="1179">
        <f t="shared" si="16"/>
        <v>45047</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69" t="s">
        <v>1770</v>
      </c>
      <c r="D4" s="3781"/>
      <c r="E4" s="3782" t="s">
        <v>1771</v>
      </c>
      <c r="F4" s="3783"/>
      <c r="G4" s="3769" t="s">
        <v>1772</v>
      </c>
      <c r="H4" s="3781"/>
      <c r="I4" s="3769" t="s">
        <v>1773</v>
      </c>
      <c r="J4" s="3781"/>
      <c r="K4" s="559" t="s">
        <v>1774</v>
      </c>
      <c r="L4" s="2701"/>
      <c r="M4" s="2702"/>
      <c r="N4" s="2702"/>
      <c r="O4" s="2702"/>
      <c r="P4" s="3784" t="s">
        <v>1775</v>
      </c>
      <c r="Q4" s="3785"/>
      <c r="R4" s="3790" t="s">
        <v>1771</v>
      </c>
      <c r="S4" s="3791"/>
      <c r="T4" s="3790" t="s">
        <v>1772</v>
      </c>
      <c r="U4" s="3791"/>
      <c r="V4" s="3777" t="s">
        <v>1773</v>
      </c>
      <c r="W4" s="3777"/>
      <c r="X4" s="1349"/>
      <c r="Y4" s="3790" t="s">
        <v>1775</v>
      </c>
      <c r="Z4" s="3791"/>
      <c r="AA4" s="3778" t="s">
        <v>1771</v>
      </c>
      <c r="AB4" s="3779" t="s">
        <v>1772</v>
      </c>
      <c r="AC4" s="3778" t="s">
        <v>1773</v>
      </c>
    </row>
    <row r="5" spans="1:29" ht="15">
      <c r="A5" s="358"/>
      <c r="B5" s="359"/>
      <c r="C5" s="3798" t="s">
        <v>1673</v>
      </c>
      <c r="D5" s="3799"/>
      <c r="E5" s="3807" t="s">
        <v>1674</v>
      </c>
      <c r="F5" s="3808"/>
      <c r="G5" s="3798" t="s">
        <v>1675</v>
      </c>
      <c r="H5" s="3799"/>
      <c r="I5" s="3798" t="s">
        <v>1676</v>
      </c>
      <c r="J5" s="3799"/>
      <c r="K5" s="559"/>
      <c r="L5" s="2701"/>
      <c r="M5" s="2702"/>
      <c r="N5" s="2702"/>
      <c r="O5" s="2702"/>
      <c r="P5" s="3786"/>
      <c r="Q5" s="3787"/>
      <c r="R5" s="3792"/>
      <c r="S5" s="3793"/>
      <c r="T5" s="3792"/>
      <c r="U5" s="3793"/>
      <c r="V5" s="3777"/>
      <c r="W5" s="3777"/>
      <c r="X5" s="1349"/>
      <c r="Y5" s="3792"/>
      <c r="Z5" s="3793"/>
      <c r="AA5" s="3779"/>
      <c r="AB5" s="3779"/>
      <c r="AC5" s="3779"/>
    </row>
    <row r="6" spans="1:29" ht="15.75" thickBot="1">
      <c r="A6" s="360"/>
      <c r="B6" s="361"/>
      <c r="C6" s="3796" t="s">
        <v>1677</v>
      </c>
      <c r="D6" s="3797"/>
      <c r="E6" s="3805" t="s">
        <v>1677</v>
      </c>
      <c r="F6" s="3806"/>
      <c r="G6" s="3796" t="s">
        <v>1677</v>
      </c>
      <c r="H6" s="3797"/>
      <c r="I6" s="3796" t="s">
        <v>1677</v>
      </c>
      <c r="J6" s="3797"/>
      <c r="K6" s="559" t="s">
        <v>1678</v>
      </c>
      <c r="L6" s="2701"/>
      <c r="M6" s="2702"/>
      <c r="N6" s="2702"/>
      <c r="O6" s="2702"/>
      <c r="P6" s="3788"/>
      <c r="Q6" s="3789"/>
      <c r="R6" s="3792"/>
      <c r="S6" s="3793"/>
      <c r="T6" s="3794"/>
      <c r="U6" s="3795"/>
      <c r="V6" s="3777"/>
      <c r="W6" s="3777"/>
      <c r="X6" s="1349"/>
      <c r="Y6" s="3794"/>
      <c r="Z6" s="3795"/>
      <c r="AA6" s="3780"/>
      <c r="AB6" s="3780"/>
      <c r="AC6" s="3780"/>
    </row>
    <row r="7" spans="1:29" s="108" customFormat="1" ht="15.75" thickBot="1">
      <c r="A7" s="362" t="s">
        <v>1679</v>
      </c>
      <c r="B7" s="363"/>
      <c r="C7" s="364">
        <f>'数据-取费表'!B2</f>
        <v>45429</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800" t="s">
        <v>1680</v>
      </c>
      <c r="Q7" s="3802"/>
      <c r="R7" s="701" t="s">
        <v>14</v>
      </c>
      <c r="S7" s="702">
        <f t="shared" ref="S7:S14" si="0">F7</f>
        <v>0</v>
      </c>
      <c r="T7" s="701" t="s">
        <v>14</v>
      </c>
      <c r="U7" s="702">
        <f t="shared" ref="U7:U14" si="1">H7</f>
        <v>0</v>
      </c>
      <c r="V7" s="701" t="s">
        <v>14</v>
      </c>
      <c r="W7" s="702">
        <f t="shared" ref="W7:W14" si="2">J7</f>
        <v>0</v>
      </c>
      <c r="X7" s="703"/>
      <c r="Y7" s="3800" t="s">
        <v>1680</v>
      </c>
      <c r="Z7" s="38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800" t="s">
        <v>1683</v>
      </c>
      <c r="Q8" s="3801"/>
      <c r="R8" s="701" t="s">
        <v>14</v>
      </c>
      <c r="S8" s="702">
        <f t="shared" si="0"/>
        <v>100</v>
      </c>
      <c r="T8" s="701" t="s">
        <v>14</v>
      </c>
      <c r="U8" s="702">
        <f t="shared" si="1"/>
        <v>100</v>
      </c>
      <c r="V8" s="701" t="s">
        <v>14</v>
      </c>
      <c r="W8" s="702">
        <f t="shared" si="2"/>
        <v>100</v>
      </c>
      <c r="X8" s="703"/>
      <c r="Y8" s="3800" t="s">
        <v>1683</v>
      </c>
      <c r="Z8" s="38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72" t="s">
        <v>1686</v>
      </c>
      <c r="Q9" s="1337"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72"/>
      <c r="Q10" s="1337"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72"/>
      <c r="Q11" s="1337">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72"/>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72"/>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773" t="s">
        <v>1691</v>
      </c>
      <c r="Q14" s="1346" t="str">
        <f t="shared" si="6"/>
        <v>交通便捷度</v>
      </c>
      <c r="R14" s="705" t="s">
        <v>14</v>
      </c>
      <c r="S14" s="706">
        <f t="shared" si="0"/>
        <v>100</v>
      </c>
      <c r="T14" s="705" t="s">
        <v>14</v>
      </c>
      <c r="U14" s="706">
        <f t="shared" si="1"/>
        <v>100</v>
      </c>
      <c r="V14" s="705" t="s">
        <v>14</v>
      </c>
      <c r="W14" s="706">
        <f t="shared" si="2"/>
        <v>100</v>
      </c>
      <c r="X14" s="1349"/>
      <c r="Y14" s="3773"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774"/>
      <c r="Q15" s="1346"/>
      <c r="R15" s="705"/>
      <c r="S15" s="706"/>
      <c r="T15" s="705"/>
      <c r="U15" s="706"/>
      <c r="V15" s="705"/>
      <c r="W15" s="706"/>
      <c r="X15" s="1349"/>
      <c r="Y15" s="3774"/>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774"/>
      <c r="Q16" s="1346" t="str">
        <f>B16</f>
        <v>公共配套设施</v>
      </c>
      <c r="R16" s="705" t="s">
        <v>14</v>
      </c>
      <c r="S16" s="706">
        <f>F16</f>
        <v>100</v>
      </c>
      <c r="T16" s="705" t="s">
        <v>14</v>
      </c>
      <c r="U16" s="706">
        <f>H16</f>
        <v>100</v>
      </c>
      <c r="V16" s="705" t="s">
        <v>14</v>
      </c>
      <c r="W16" s="706">
        <f>J16</f>
        <v>100</v>
      </c>
      <c r="X16" s="1349"/>
      <c r="Y16" s="3774"/>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774"/>
      <c r="Q17" s="1346"/>
      <c r="R17" s="705"/>
      <c r="S17" s="706"/>
      <c r="T17" s="705"/>
      <c r="U17" s="706"/>
      <c r="V17" s="705"/>
      <c r="W17" s="706"/>
      <c r="X17" s="1349"/>
      <c r="Y17" s="3774"/>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774"/>
      <c r="Q18" s="1346" t="str">
        <f>B18</f>
        <v>基础设施水平</v>
      </c>
      <c r="R18" s="705" t="s">
        <v>14</v>
      </c>
      <c r="S18" s="706">
        <f>F18</f>
        <v>100</v>
      </c>
      <c r="T18" s="705" t="s">
        <v>14</v>
      </c>
      <c r="U18" s="706">
        <f>H18</f>
        <v>100</v>
      </c>
      <c r="V18" s="705" t="s">
        <v>14</v>
      </c>
      <c r="W18" s="706">
        <f>J18</f>
        <v>100</v>
      </c>
      <c r="X18" s="1349"/>
      <c r="Y18" s="3774"/>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774"/>
      <c r="Q19" s="1346"/>
      <c r="R19" s="705"/>
      <c r="S19" s="706"/>
      <c r="T19" s="705"/>
      <c r="U19" s="706"/>
      <c r="V19" s="705"/>
      <c r="W19" s="706"/>
      <c r="X19" s="1349"/>
      <c r="Y19" s="3774"/>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774"/>
      <c r="Q20" s="1346" t="str">
        <f>B20</f>
        <v>自然及人文环境</v>
      </c>
      <c r="R20" s="705" t="s">
        <v>14</v>
      </c>
      <c r="S20" s="706">
        <f>F20</f>
        <v>100</v>
      </c>
      <c r="T20" s="705" t="s">
        <v>14</v>
      </c>
      <c r="U20" s="706">
        <f>H20</f>
        <v>100</v>
      </c>
      <c r="V20" s="705" t="s">
        <v>14</v>
      </c>
      <c r="W20" s="706">
        <f>J20</f>
        <v>100</v>
      </c>
      <c r="X20" s="1349"/>
      <c r="Y20" s="3774"/>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774"/>
      <c r="Q21" s="1346"/>
      <c r="R21" s="705"/>
      <c r="S21" s="706"/>
      <c r="T21" s="705"/>
      <c r="U21" s="706"/>
      <c r="V21" s="705"/>
      <c r="W21" s="706"/>
      <c r="X21" s="1349"/>
      <c r="Y21" s="3774"/>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774"/>
      <c r="Q22" s="1346" t="str">
        <f>B22</f>
        <v>楼层</v>
      </c>
      <c r="R22" s="705" t="s">
        <v>14</v>
      </c>
      <c r="S22" s="706">
        <f>F22</f>
        <v>100</v>
      </c>
      <c r="T22" s="705" t="s">
        <v>14</v>
      </c>
      <c r="U22" s="706">
        <f>H22</f>
        <v>100</v>
      </c>
      <c r="V22" s="705" t="s">
        <v>14</v>
      </c>
      <c r="W22" s="706">
        <f>J22</f>
        <v>100</v>
      </c>
      <c r="X22" s="1349"/>
      <c r="Y22" s="3774"/>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774"/>
      <c r="Q23" s="1346">
        <f>B23</f>
        <v>111</v>
      </c>
      <c r="R23" s="705" t="s">
        <v>14</v>
      </c>
      <c r="S23" s="706">
        <f>F23</f>
        <v>100</v>
      </c>
      <c r="T23" s="705" t="s">
        <v>14</v>
      </c>
      <c r="U23" s="706">
        <f>H23</f>
        <v>100</v>
      </c>
      <c r="V23" s="705" t="s">
        <v>14</v>
      </c>
      <c r="W23" s="706">
        <f>J23</f>
        <v>100</v>
      </c>
      <c r="X23" s="1349"/>
      <c r="Y23" s="3774"/>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774"/>
      <c r="Q24" s="1346">
        <f t="shared" ref="Q24:Q34" si="11">B24</f>
        <v>111</v>
      </c>
      <c r="R24" s="705" t="s">
        <v>14</v>
      </c>
      <c r="S24" s="706">
        <f>F24</f>
        <v>100</v>
      </c>
      <c r="T24" s="705" t="s">
        <v>14</v>
      </c>
      <c r="U24" s="706">
        <f>H24</f>
        <v>100</v>
      </c>
      <c r="V24" s="705" t="s">
        <v>14</v>
      </c>
      <c r="W24" s="706">
        <f>J24</f>
        <v>100</v>
      </c>
      <c r="X24" s="1349"/>
      <c r="Y24" s="3774"/>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774"/>
      <c r="Q25" s="1337">
        <f t="shared" si="11"/>
        <v>111</v>
      </c>
      <c r="R25" s="701" t="s">
        <v>14</v>
      </c>
      <c r="S25" s="702">
        <f>F25</f>
        <v>100</v>
      </c>
      <c r="T25" s="701" t="s">
        <v>14</v>
      </c>
      <c r="U25" s="702">
        <f>H25</f>
        <v>100</v>
      </c>
      <c r="V25" s="701" t="s">
        <v>14</v>
      </c>
      <c r="W25" s="702">
        <f>J25</f>
        <v>100</v>
      </c>
      <c r="X25" s="703"/>
      <c r="Y25" s="3774"/>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775"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776"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776"/>
      <c r="Q27" s="707" t="str">
        <f t="shared" si="11"/>
        <v>成新率</v>
      </c>
      <c r="R27" s="708" t="s">
        <v>14</v>
      </c>
      <c r="S27" s="709" t="e">
        <f t="shared" si="12"/>
        <v>#N/A</v>
      </c>
      <c r="T27" s="708" t="s">
        <v>14</v>
      </c>
      <c r="U27" s="709" t="e">
        <f t="shared" si="13"/>
        <v>#N/A</v>
      </c>
      <c r="V27" s="708" t="s">
        <v>14</v>
      </c>
      <c r="W27" s="709" t="e">
        <f t="shared" si="14"/>
        <v>#N/A</v>
      </c>
      <c r="X27" s="710"/>
      <c r="Y27" s="3776"/>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776"/>
      <c r="Q28" s="1346" t="str">
        <f t="shared" si="11"/>
        <v>物业等级</v>
      </c>
      <c r="R28" s="705" t="s">
        <v>14</v>
      </c>
      <c r="S28" s="706">
        <f t="shared" si="12"/>
        <v>100</v>
      </c>
      <c r="T28" s="705" t="s">
        <v>14</v>
      </c>
      <c r="U28" s="706">
        <f t="shared" si="13"/>
        <v>100</v>
      </c>
      <c r="V28" s="705" t="s">
        <v>14</v>
      </c>
      <c r="W28" s="706">
        <f t="shared" si="14"/>
        <v>100</v>
      </c>
      <c r="X28" s="1349"/>
      <c r="Y28" s="3776"/>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776"/>
      <c r="Q29" s="1346" t="str">
        <f t="shared" si="11"/>
        <v>有无电梯</v>
      </c>
      <c r="R29" s="705" t="s">
        <v>14</v>
      </c>
      <c r="S29" s="706">
        <f t="shared" si="12"/>
        <v>100</v>
      </c>
      <c r="T29" s="705" t="s">
        <v>14</v>
      </c>
      <c r="U29" s="706">
        <f t="shared" si="13"/>
        <v>100</v>
      </c>
      <c r="V29" s="705" t="s">
        <v>14</v>
      </c>
      <c r="W29" s="706">
        <f t="shared" si="14"/>
        <v>100</v>
      </c>
      <c r="X29" s="1349"/>
      <c r="Y29" s="3776"/>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776"/>
      <c r="Q30" s="1346" t="str">
        <f t="shared" si="11"/>
        <v>建筑面积</v>
      </c>
      <c r="R30" s="705" t="s">
        <v>14</v>
      </c>
      <c r="S30" s="706" t="e">
        <f t="shared" si="12"/>
        <v>#N/A</v>
      </c>
      <c r="T30" s="705" t="s">
        <v>14</v>
      </c>
      <c r="U30" s="706" t="e">
        <f t="shared" si="13"/>
        <v>#N/A</v>
      </c>
      <c r="V30" s="705" t="s">
        <v>14</v>
      </c>
      <c r="W30" s="706" t="e">
        <f t="shared" si="14"/>
        <v>#N/A</v>
      </c>
      <c r="X30" s="1349"/>
      <c r="Y30" s="3776"/>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776"/>
      <c r="Q31" s="1337" t="str">
        <f t="shared" si="11"/>
        <v>是否封闭</v>
      </c>
      <c r="R31" s="701" t="s">
        <v>14</v>
      </c>
      <c r="S31" s="702">
        <f t="shared" si="12"/>
        <v>100</v>
      </c>
      <c r="T31" s="701" t="s">
        <v>14</v>
      </c>
      <c r="U31" s="702">
        <f t="shared" si="13"/>
        <v>100</v>
      </c>
      <c r="V31" s="701" t="s">
        <v>14</v>
      </c>
      <c r="W31" s="702">
        <f t="shared" si="14"/>
        <v>100</v>
      </c>
      <c r="X31" s="703"/>
      <c r="Y31" s="3776"/>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776" t="s">
        <v>1696</v>
      </c>
      <c r="Q32" s="1346">
        <f t="shared" si="11"/>
        <v>111</v>
      </c>
      <c r="R32" s="705" t="s">
        <v>14</v>
      </c>
      <c r="S32" s="706">
        <f t="shared" si="12"/>
        <v>100</v>
      </c>
      <c r="T32" s="705" t="s">
        <v>14</v>
      </c>
      <c r="U32" s="706">
        <f t="shared" si="13"/>
        <v>100</v>
      </c>
      <c r="V32" s="705" t="s">
        <v>14</v>
      </c>
      <c r="W32" s="706">
        <f t="shared" si="14"/>
        <v>100</v>
      </c>
      <c r="X32" s="1349"/>
      <c r="Y32" s="3776"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776"/>
      <c r="Q33" s="1346">
        <f t="shared" si="11"/>
        <v>111</v>
      </c>
      <c r="R33" s="705" t="s">
        <v>14</v>
      </c>
      <c r="S33" s="706">
        <f t="shared" si="12"/>
        <v>100</v>
      </c>
      <c r="T33" s="705" t="s">
        <v>14</v>
      </c>
      <c r="U33" s="706">
        <f t="shared" si="13"/>
        <v>100</v>
      </c>
      <c r="V33" s="705" t="s">
        <v>14</v>
      </c>
      <c r="W33" s="706">
        <f t="shared" si="14"/>
        <v>100</v>
      </c>
      <c r="X33" s="1349"/>
      <c r="Y33" s="3776"/>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776"/>
      <c r="Q34" s="1346">
        <f t="shared" si="11"/>
        <v>111</v>
      </c>
      <c r="R34" s="705" t="s">
        <v>14</v>
      </c>
      <c r="S34" s="706">
        <f t="shared" si="12"/>
        <v>100</v>
      </c>
      <c r="T34" s="705" t="s">
        <v>14</v>
      </c>
      <c r="U34" s="706">
        <f t="shared" si="13"/>
        <v>100</v>
      </c>
      <c r="V34" s="705" t="s">
        <v>14</v>
      </c>
      <c r="W34" s="706">
        <f t="shared" si="14"/>
        <v>100</v>
      </c>
      <c r="X34" s="1349"/>
      <c r="Y34" s="3776"/>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72" t="str">
        <f>A35</f>
        <v>成交单价（元/平方米）</v>
      </c>
      <c r="Q35" s="3772"/>
      <c r="R35" s="3855">
        <f>E35</f>
        <v>0</v>
      </c>
      <c r="S35" s="3855"/>
      <c r="T35" s="3855">
        <f>G35</f>
        <v>0</v>
      </c>
      <c r="U35" s="3855"/>
      <c r="V35" s="3855">
        <f>I35</f>
        <v>0</v>
      </c>
      <c r="W35" s="3855"/>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72" t="str">
        <f>A36</f>
        <v>比较价值（元/平方米）</v>
      </c>
      <c r="Q36" s="3772"/>
      <c r="R36" s="3855" t="e">
        <f>IF(F1="售价",ROUND(PRODUCT(R35,AA7:AA34),0),ROUND(PRODUCT(R35,AA7:AA34),1))</f>
        <v>#DIV/0!</v>
      </c>
      <c r="S36" s="3855"/>
      <c r="T36" s="3855" t="e">
        <f>IF(F1="售价",ROUND(PRODUCT(T35,AB7:AB34),0),ROUND(PRODUCT(T35,AB7:AB34),1))</f>
        <v>#DIV/0!</v>
      </c>
      <c r="U36" s="3855"/>
      <c r="V36" s="3855" t="e">
        <f>IF(F1="售价",ROUND(PRODUCT(V35,AC7:AC34),0),ROUND(PRODUCT(V35,AC7:AC34),1))</f>
        <v>#DIV/0!</v>
      </c>
      <c r="W36" s="3855"/>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766" t="str">
        <f>A37</f>
        <v>估价对象XX用房的比较价值（楼面单价，元/平方米）</v>
      </c>
      <c r="Q37" s="3767"/>
      <c r="R37" s="3877" t="e">
        <f>IF(F1="售价",ROUND(IF(D36="简单平均",AVERAGE(R36:W36),R36*F36+T36*H36+V36*J36),0),ROUND(IF(D36="简单平均",AVERAGE(R36:V36),R36*F36+T36*H36+V36*J36),1))</f>
        <v>#DIV/0!</v>
      </c>
      <c r="S37" s="3877"/>
      <c r="T37" s="3877"/>
      <c r="U37" s="3877"/>
      <c r="V37" s="3877"/>
      <c r="W37" s="3877"/>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2024-5</v>
      </c>
      <c r="D46" s="1179">
        <f>EDATE(C46,-1)</f>
        <v>45383</v>
      </c>
      <c r="E46" s="1179">
        <f t="shared" ref="E46:O46" si="16">EDATE(D46,-1)</f>
        <v>45352</v>
      </c>
      <c r="F46" s="1179">
        <f t="shared" si="16"/>
        <v>45323</v>
      </c>
      <c r="G46" s="1179">
        <f t="shared" si="16"/>
        <v>45292</v>
      </c>
      <c r="H46" s="1179">
        <f t="shared" si="16"/>
        <v>45261</v>
      </c>
      <c r="I46" s="1179">
        <f t="shared" si="16"/>
        <v>45231</v>
      </c>
      <c r="J46" s="1179">
        <f t="shared" si="16"/>
        <v>45200</v>
      </c>
      <c r="K46" s="1179">
        <f t="shared" si="16"/>
        <v>45170</v>
      </c>
      <c r="L46" s="1179">
        <f t="shared" si="16"/>
        <v>45139</v>
      </c>
      <c r="M46" s="1179">
        <f t="shared" si="16"/>
        <v>45108</v>
      </c>
      <c r="N46" s="1179">
        <f t="shared" si="16"/>
        <v>45078</v>
      </c>
      <c r="O46" s="1179">
        <f t="shared" si="16"/>
        <v>45047</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37.01</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4381</v>
      </c>
      <c r="C2" s="1381" t="s">
        <v>805</v>
      </c>
      <c r="D2" s="1381"/>
      <c r="E2" s="1382"/>
      <c r="F2" s="1383"/>
      <c r="G2" s="2692"/>
      <c r="H2" s="2681"/>
      <c r="I2" s="2681"/>
      <c r="J2" s="2681"/>
      <c r="K2" s="2682"/>
      <c r="L2" s="2681"/>
      <c r="M2" s="2681"/>
    </row>
    <row r="3" spans="1:37" ht="18" customHeight="1" thickBot="1">
      <c r="A3" s="1384" t="s">
        <v>806</v>
      </c>
      <c r="B3" s="1385">
        <f ca="1">IF(ISERROR(B2*10000/F43),0,ROUND(B2*10000/F43,0))</f>
        <v>27508</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265</v>
      </c>
      <c r="D5" s="1358" t="s">
        <v>693</v>
      </c>
      <c r="E5" s="1066"/>
      <c r="F5" s="1067"/>
      <c r="G5" s="1378"/>
      <c r="H5" s="299">
        <v>1</v>
      </c>
      <c r="I5" s="300" t="s">
        <v>692</v>
      </c>
      <c r="J5" s="1065">
        <f ca="1">J6+J10+J12</f>
        <v>0</v>
      </c>
      <c r="K5" s="1358" t="s">
        <v>693</v>
      </c>
      <c r="L5" s="1066"/>
      <c r="M5" s="1067"/>
    </row>
    <row r="6" spans="1:37" ht="18" customHeight="1">
      <c r="A6" s="1064" t="s">
        <v>398</v>
      </c>
      <c r="B6" s="3832" t="s">
        <v>694</v>
      </c>
      <c r="C6" s="1069">
        <f ca="1">ROUND(F6*F8*F7*(1-F9)/10000,0)</f>
        <v>265</v>
      </c>
      <c r="D6" s="155" t="s">
        <v>2109</v>
      </c>
      <c r="E6" s="302" t="s">
        <v>696</v>
      </c>
      <c r="F6" s="303">
        <f ca="1">INDIRECT("'数据-取费表'!u"&amp;$G$1)</f>
        <v>4.8</v>
      </c>
      <c r="G6" s="1378"/>
      <c r="H6" s="1064" t="s">
        <v>398</v>
      </c>
      <c r="I6" s="3832" t="s">
        <v>694</v>
      </c>
      <c r="J6" s="301">
        <f ca="1">ROUND(M6*M8*M7*(1-M9)/10000,0)</f>
        <v>0</v>
      </c>
      <c r="K6" s="155" t="s">
        <v>2108</v>
      </c>
      <c r="L6" s="302" t="s">
        <v>696</v>
      </c>
      <c r="M6" s="303">
        <f ca="1">INDIRECT("'数据-取费表'!z"&amp;$G$1)</f>
        <v>0</v>
      </c>
    </row>
    <row r="7" spans="1:37" ht="18" customHeight="1">
      <c r="A7" s="1068"/>
      <c r="B7" s="3833"/>
      <c r="C7" s="1070"/>
      <c r="D7" s="307"/>
      <c r="E7" s="3383" t="s">
        <v>697</v>
      </c>
      <c r="F7" s="303">
        <f ca="1">IF(INDIRECT("'数据-取费表'!ah"&amp;$G$1)="",INDIRECT("'数据-取费表'!k"&amp;$G$1),INDIRECT("'数据-取费表'!ah"&amp;$G$1))</f>
        <v>1592.61</v>
      </c>
      <c r="G7" s="1378"/>
      <c r="H7" s="304"/>
      <c r="I7" s="3833"/>
      <c r="J7" s="306"/>
      <c r="K7" s="307"/>
      <c r="L7" s="302" t="s">
        <v>697</v>
      </c>
      <c r="M7" s="303">
        <f ca="1">F7</f>
        <v>1592.61</v>
      </c>
    </row>
    <row r="8" spans="1:37" ht="18" customHeight="1">
      <c r="A8" s="304"/>
      <c r="B8" s="3833"/>
      <c r="C8" s="306"/>
      <c r="D8" s="307"/>
      <c r="E8" s="302" t="s">
        <v>698</v>
      </c>
      <c r="F8" s="303">
        <f ca="1">INDIRECT("'数据-取费表'!ai"&amp;$G$1)</f>
        <v>365</v>
      </c>
      <c r="G8" s="1378"/>
      <c r="H8" s="304"/>
      <c r="I8" s="3833"/>
      <c r="J8" s="306"/>
      <c r="K8" s="307"/>
      <c r="L8" s="302" t="s">
        <v>698</v>
      </c>
      <c r="M8" s="303">
        <f ca="1">INDIRECT("'数据-取费表'!ai"&amp;$G$1)</f>
        <v>365</v>
      </c>
    </row>
    <row r="9" spans="1:37" ht="18" customHeight="1">
      <c r="A9" s="304"/>
      <c r="B9" s="3834"/>
      <c r="C9" s="306"/>
      <c r="D9" s="307"/>
      <c r="E9" s="302" t="s">
        <v>699</v>
      </c>
      <c r="F9" s="312">
        <f ca="1">INDIRECT("'数据-取费表'!w"&amp;$G$1)</f>
        <v>0.05</v>
      </c>
      <c r="G9" s="1378"/>
      <c r="H9" s="304"/>
      <c r="I9" s="3834"/>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1106</v>
      </c>
      <c r="D13" s="3375" t="s">
        <v>705</v>
      </c>
      <c r="E13" s="3375"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717</v>
      </c>
      <c r="D14" s="3379" t="s">
        <v>708</v>
      </c>
      <c r="E14" s="3377"/>
      <c r="F14" s="319"/>
      <c r="G14" s="1378"/>
      <c r="H14" s="977" t="s">
        <v>398</v>
      </c>
      <c r="I14" s="302" t="s">
        <v>709</v>
      </c>
      <c r="J14" s="21">
        <f ca="1">C29</f>
        <v>1117</v>
      </c>
      <c r="K14" s="3382"/>
      <c r="L14" s="802"/>
      <c r="M14" s="803"/>
    </row>
    <row r="15" spans="1:37" s="1391" customFormat="1" ht="18" customHeight="1" thickBot="1">
      <c r="A15" s="977" t="s">
        <v>399</v>
      </c>
      <c r="B15" s="302" t="s">
        <v>710</v>
      </c>
      <c r="C15" s="21">
        <f ca="1">ROUND(C14*F15,0)</f>
        <v>36</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4</v>
      </c>
      <c r="K16" s="1082" t="s">
        <v>715</v>
      </c>
      <c r="L16" s="3380"/>
      <c r="M16" s="1067"/>
    </row>
    <row r="17" spans="1:37" s="1391" customFormat="1" ht="18" customHeight="1">
      <c r="A17" s="977" t="s">
        <v>681</v>
      </c>
      <c r="B17" s="302" t="s">
        <v>716</v>
      </c>
      <c r="C17" s="21">
        <f ca="1">ROUND(F17*(F43+INDIRECT("'数据-取费表'!S"&amp;$G$1))/10000,0)</f>
        <v>32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14</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799</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24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4.47</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-4</v>
      </c>
      <c r="K25" s="1090" t="s">
        <v>753</v>
      </c>
      <c r="L25" s="1091"/>
      <c r="M25" s="1092"/>
    </row>
    <row r="26" spans="1:37">
      <c r="A26" s="977" t="s">
        <v>397</v>
      </c>
      <c r="B26" s="302" t="s">
        <v>754</v>
      </c>
      <c r="C26" s="21">
        <f ca="1">ROUND((C19+C20)*F26,0)</f>
        <v>165</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1117</v>
      </c>
      <c r="D29" s="1087"/>
      <c r="E29" s="1085"/>
      <c r="F29" s="1088"/>
      <c r="G29" s="1390"/>
      <c r="H29" s="334" t="s">
        <v>396</v>
      </c>
      <c r="I29" s="335" t="s">
        <v>768</v>
      </c>
      <c r="J29" s="336">
        <f ca="1">ROUND(J26/(1+F40)^F41,0)</f>
        <v>0</v>
      </c>
      <c r="K29" s="337" t="s">
        <v>769</v>
      </c>
      <c r="L29" s="338"/>
      <c r="M29" s="339">
        <f ca="1">INDIRECT("'数据-取费表'!k"&amp;$G$1)</f>
        <v>1592.61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51</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44.17</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13.88</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30.29</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4.47</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1.1100000000000001</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1.33</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214</v>
      </c>
      <c r="D39" s="1090" t="s">
        <v>753</v>
      </c>
      <c r="E39" s="1091"/>
      <c r="F39" s="1092"/>
      <c r="G39" s="1378"/>
      <c r="H39" s="2686">
        <f ca="1">C39/C6</f>
        <v>0.8075471698113208</v>
      </c>
      <c r="I39" s="1392"/>
      <c r="J39" s="1393"/>
      <c r="K39" s="2690"/>
      <c r="L39" s="2686"/>
      <c r="M39" s="2686"/>
    </row>
    <row r="40" spans="1:18" ht="18" customHeight="1">
      <c r="A40" s="299" t="s">
        <v>395</v>
      </c>
      <c r="B40" s="300" t="s">
        <v>774</v>
      </c>
      <c r="C40" s="301">
        <f ca="1">ROUND(C39*(1-((1+F42)/(1+F40))^F41)/(F40-F42),0)</f>
        <v>4350</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37.01</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27314</v>
      </c>
      <c r="D43" s="337" t="s">
        <v>777</v>
      </c>
      <c r="E43" s="338" t="s">
        <v>778</v>
      </c>
      <c r="F43" s="339">
        <f ca="1">INDIRECT("'数据-取费表'!k"&amp;$G$1)</f>
        <v>1592.61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-4438</v>
      </c>
      <c r="D46" s="1400" t="str">
        <f>C2</f>
        <v>万元</v>
      </c>
      <c r="E46" s="1394"/>
      <c r="F46" s="1394"/>
      <c r="I46" s="1401" t="s">
        <v>810</v>
      </c>
      <c r="J46" s="1402"/>
      <c r="K46" s="1403"/>
      <c r="L46" s="1404">
        <f ca="1">IF(M47="住宅",0,IF(L48&gt;J51,L60,J60))</f>
        <v>31</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4350</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37.01</v>
      </c>
      <c r="O48" s="1412" t="s">
        <v>404</v>
      </c>
      <c r="P48" s="1413" t="s">
        <v>821</v>
      </c>
      <c r="Q48" s="1414">
        <f ca="1">J60</f>
        <v>31</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1117</v>
      </c>
      <c r="R49" s="1414" t="s">
        <v>818</v>
      </c>
    </row>
    <row r="50" spans="1:18" s="1378" customFormat="1" ht="13.5" thickBot="1">
      <c r="A50" s="971"/>
      <c r="B50" s="974"/>
      <c r="C50" s="1113"/>
      <c r="D50" s="948"/>
      <c r="E50" s="1051" t="s">
        <v>697</v>
      </c>
      <c r="F50" s="1052">
        <f ca="1">F7</f>
        <v>1592.61</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59</v>
      </c>
      <c r="K51" s="1428" t="s">
        <v>830</v>
      </c>
      <c r="L51" s="1429">
        <f ca="1">ROUND(-PV(INDIRECT("'数据-取费表'!h"&amp;$G$1),J51,(C39-C13*C76),0),0)</f>
        <v>2578</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37.01</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37.01</v>
      </c>
      <c r="K53" s="3830" t="s">
        <v>837</v>
      </c>
      <c r="L53" s="3831"/>
      <c r="O53" s="1412" t="s">
        <v>409</v>
      </c>
      <c r="P53" s="1413" t="s">
        <v>838</v>
      </c>
      <c r="Q53" s="1414">
        <f ca="1">Q47+Q48</f>
        <v>4381</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0.36699999999999999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1106</v>
      </c>
      <c r="D56" s="1441"/>
      <c r="E56" s="1442"/>
      <c r="F56" s="1434"/>
      <c r="I56" s="1443" t="s">
        <v>842</v>
      </c>
      <c r="J56" s="1444" t="s">
        <v>3372</v>
      </c>
      <c r="K56" s="1415" t="s">
        <v>843</v>
      </c>
      <c r="L56" s="1418" t="str">
        <f ca="1">IF(L48&lt;J51,"——",L48-J53)</f>
        <v>——</v>
      </c>
      <c r="O56" s="1412" t="s">
        <v>403</v>
      </c>
      <c r="P56" s="1413" t="s">
        <v>817</v>
      </c>
      <c r="Q56" s="1414">
        <f ca="1">C40+J29</f>
        <v>4350</v>
      </c>
      <c r="R56" s="1414" t="s">
        <v>818</v>
      </c>
    </row>
    <row r="57" spans="1:18" s="1378" customFormat="1" ht="24.75" thickBot="1">
      <c r="A57" s="1445"/>
      <c r="B57" s="945" t="s">
        <v>767</v>
      </c>
      <c r="C57" s="238">
        <f ca="1">C29</f>
        <v>1117</v>
      </c>
      <c r="D57" s="1446"/>
      <c r="E57" s="1447"/>
      <c r="F57" s="1448"/>
      <c r="I57" s="1449" t="s">
        <v>844</v>
      </c>
      <c r="J57" s="1450">
        <f ca="1">IF(OR(M47="住宅",J51&lt;L48,J56="是"),"——",J51-L48)</f>
        <v>21.990000000000002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6</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447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31</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4350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4.47</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1.1100000000000001</v>
      </c>
      <c r="D65" s="959" t="s">
        <v>743</v>
      </c>
      <c r="E65" s="945" t="s">
        <v>744</v>
      </c>
      <c r="F65" s="330">
        <f t="shared" ca="1" si="0"/>
        <v>1E-3</v>
      </c>
      <c r="I65" s="1456" t="s">
        <v>867</v>
      </c>
      <c r="J65" s="1457">
        <v>40</v>
      </c>
      <c r="K65" s="1457">
        <v>30</v>
      </c>
      <c r="L65" s="1457">
        <v>50</v>
      </c>
      <c r="M65" s="1459">
        <v>0.02</v>
      </c>
      <c r="O65" s="1412" t="s">
        <v>403</v>
      </c>
      <c r="P65" s="1413" t="s">
        <v>868</v>
      </c>
      <c r="Q65" s="1414">
        <f ca="1">C40+J29</f>
        <v>4350</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-6</v>
      </c>
      <c r="D67" s="958" t="s">
        <v>753</v>
      </c>
      <c r="E67" s="963"/>
      <c r="F67" s="964"/>
      <c r="O67" s="1422" t="s">
        <v>405</v>
      </c>
      <c r="P67" s="1413" t="s">
        <v>850</v>
      </c>
      <c r="Q67" s="1460">
        <f ca="1">L51</f>
        <v>2578</v>
      </c>
      <c r="R67" s="1414" t="s">
        <v>870</v>
      </c>
    </row>
    <row r="68" spans="1:18" s="1378" customFormat="1" ht="16.5" thickBot="1">
      <c r="A68" s="942" t="s">
        <v>395</v>
      </c>
      <c r="B68" s="943" t="s">
        <v>774</v>
      </c>
      <c r="C68" s="301">
        <f ca="1">ROUND(C67*(1-((1+F70)/(1+F68))^F69)/(F68-F70),0)</f>
        <v>-88</v>
      </c>
      <c r="D68" s="960" t="s">
        <v>758</v>
      </c>
      <c r="E68" s="945" t="s">
        <v>759</v>
      </c>
      <c r="F68" s="312">
        <f ca="1">F40</f>
        <v>0.06</v>
      </c>
      <c r="O68" s="1422" t="s">
        <v>406</v>
      </c>
      <c r="P68" s="1461" t="s">
        <v>871</v>
      </c>
      <c r="Q68" s="1414">
        <f ca="1">ROUND(Q69-Q70*Q71,0)</f>
        <v>137</v>
      </c>
      <c r="R68" s="1414" t="s">
        <v>414</v>
      </c>
    </row>
    <row r="69" spans="1:18" s="1378" customFormat="1" ht="13.5" thickBot="1">
      <c r="A69" s="946"/>
      <c r="B69" s="947"/>
      <c r="C69" s="306"/>
      <c r="D69" s="965" t="s">
        <v>762</v>
      </c>
      <c r="E69" s="945" t="s">
        <v>763</v>
      </c>
      <c r="F69" s="333">
        <f ca="1">F41</f>
        <v>37.01</v>
      </c>
      <c r="O69" s="1422" t="s">
        <v>411</v>
      </c>
      <c r="P69" s="1461" t="s">
        <v>872</v>
      </c>
      <c r="Q69" s="1414">
        <f ca="1">C39</f>
        <v>214</v>
      </c>
      <c r="R69" s="1414" t="s">
        <v>818</v>
      </c>
    </row>
    <row r="70" spans="1:18" s="1378" customFormat="1" ht="13.5" thickBot="1">
      <c r="A70" s="949"/>
      <c r="B70" s="950"/>
      <c r="C70" s="310"/>
      <c r="D70" s="961"/>
      <c r="E70" s="945" t="s">
        <v>766</v>
      </c>
      <c r="F70" s="1049"/>
      <c r="O70" s="1422" t="s">
        <v>412</v>
      </c>
      <c r="P70" s="1461" t="s">
        <v>873</v>
      </c>
      <c r="Q70" s="1414">
        <f ca="1">C13</f>
        <v>1106</v>
      </c>
      <c r="R70" s="1414" t="s">
        <v>818</v>
      </c>
    </row>
    <row r="71" spans="1:18" s="1378" customFormat="1" ht="13.5" thickBot="1">
      <c r="A71" s="966" t="s">
        <v>396</v>
      </c>
      <c r="B71" s="967" t="s">
        <v>776</v>
      </c>
      <c r="C71" s="336">
        <f ca="1">ROUND(C68*10000/F71,0)</f>
        <v>-553</v>
      </c>
      <c r="D71" s="968" t="s">
        <v>777</v>
      </c>
      <c r="E71" s="969" t="s">
        <v>778</v>
      </c>
      <c r="F71" s="339">
        <f ca="1">F43</f>
        <v>1592.61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77</v>
      </c>
      <c r="D75" s="1378"/>
      <c r="E75" s="1378"/>
      <c r="F75" s="1378"/>
      <c r="K75" s="1396"/>
      <c r="L75" s="1378"/>
      <c r="O75" s="1412" t="s">
        <v>409</v>
      </c>
      <c r="P75" s="1413" t="s">
        <v>838</v>
      </c>
      <c r="Q75" s="1414">
        <f ca="1">Q65+Q66</f>
        <v>4350</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0.64</v>
      </c>
    </row>
    <row r="80" spans="1:18">
      <c r="B80" s="340" t="s">
        <v>800</v>
      </c>
      <c r="C80" s="274">
        <f ca="1">ROUND(C75/C39,3)</f>
        <v>0.36</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t="e">
        <f ca="1">J53</f>
        <v>#N/A</v>
      </c>
      <c r="G1" s="1372" t="e">
        <f>MATCH(C1,'数据-取费表'!A6:A16,0)+5</f>
        <v>#N/A</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t="e">
        <f ca="1">C40+J29+L46</f>
        <v>#N/A</v>
      </c>
      <c r="C2" s="1381" t="s">
        <v>805</v>
      </c>
      <c r="D2" s="1381"/>
      <c r="E2" s="1382"/>
      <c r="F2" s="1383"/>
      <c r="G2" s="2692"/>
      <c r="H2" s="2681"/>
      <c r="I2" s="2681"/>
      <c r="J2" s="2681"/>
      <c r="K2" s="2682"/>
      <c r="L2" s="2681"/>
      <c r="M2" s="2681"/>
    </row>
    <row r="3" spans="1:37" ht="18" customHeight="1" thickBot="1">
      <c r="A3" s="1384" t="s">
        <v>806</v>
      </c>
      <c r="B3" s="1385">
        <f ca="1">IF(ISERROR(B2*10000/F43),0,ROUND(B2*10000/F43,0))</f>
        <v>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t="e">
        <f ca="1">C6+C10+C12</f>
        <v>#N/A</v>
      </c>
      <c r="D5" s="1358" t="s">
        <v>693</v>
      </c>
      <c r="E5" s="1066"/>
      <c r="F5" s="1067"/>
      <c r="G5" s="1378"/>
      <c r="H5" s="299">
        <v>1</v>
      </c>
      <c r="I5" s="300" t="s">
        <v>692</v>
      </c>
      <c r="J5" s="1065" t="e">
        <f ca="1">J6+J10+J12</f>
        <v>#N/A</v>
      </c>
      <c r="K5" s="1358" t="s">
        <v>693</v>
      </c>
      <c r="L5" s="1066"/>
      <c r="M5" s="1067"/>
    </row>
    <row r="6" spans="1:37" ht="18" customHeight="1">
      <c r="A6" s="1064" t="s">
        <v>398</v>
      </c>
      <c r="B6" s="3832" t="s">
        <v>694</v>
      </c>
      <c r="C6" s="1069" t="e">
        <f ca="1">ROUND(F6*F8*F7*(1-F9)/10000,0)</f>
        <v>#N/A</v>
      </c>
      <c r="D6" s="155" t="s">
        <v>2109</v>
      </c>
      <c r="E6" s="302" t="s">
        <v>696</v>
      </c>
      <c r="F6" s="303" t="e">
        <f ca="1">INDIRECT("'数据-取费表'!u"&amp;$G$1)</f>
        <v>#N/A</v>
      </c>
      <c r="G6" s="1378"/>
      <c r="H6" s="1064" t="s">
        <v>398</v>
      </c>
      <c r="I6" s="3832" t="s">
        <v>694</v>
      </c>
      <c r="J6" s="301" t="e">
        <f ca="1">ROUND(M6*M8*M7*(1-M9)/10000,0)</f>
        <v>#N/A</v>
      </c>
      <c r="K6" s="155" t="s">
        <v>2108</v>
      </c>
      <c r="L6" s="302" t="s">
        <v>696</v>
      </c>
      <c r="M6" s="303" t="e">
        <f ca="1">INDIRECT("'数据-取费表'!z"&amp;$G$1)</f>
        <v>#N/A</v>
      </c>
    </row>
    <row r="7" spans="1:37" ht="18" customHeight="1">
      <c r="A7" s="1068"/>
      <c r="B7" s="3833"/>
      <c r="C7" s="1070"/>
      <c r="D7" s="307"/>
      <c r="E7" s="3383" t="s">
        <v>697</v>
      </c>
      <c r="F7" s="303" t="e">
        <f ca="1">IF(INDIRECT("'数据-取费表'!ah"&amp;$G$1)="",INDIRECT("'数据-取费表'!k"&amp;$G$1),INDIRECT("'数据-取费表'!ah"&amp;$G$1))</f>
        <v>#N/A</v>
      </c>
      <c r="G7" s="1378"/>
      <c r="H7" s="304"/>
      <c r="I7" s="3833"/>
      <c r="J7" s="306"/>
      <c r="K7" s="307"/>
      <c r="L7" s="302" t="s">
        <v>697</v>
      </c>
      <c r="M7" s="303" t="e">
        <f ca="1">F7</f>
        <v>#N/A</v>
      </c>
    </row>
    <row r="8" spans="1:37" ht="18" customHeight="1">
      <c r="A8" s="304"/>
      <c r="B8" s="3833"/>
      <c r="C8" s="306"/>
      <c r="D8" s="307"/>
      <c r="E8" s="302" t="s">
        <v>698</v>
      </c>
      <c r="F8" s="303" t="e">
        <f ca="1">INDIRECT("'数据-取费表'!ai"&amp;$G$1)</f>
        <v>#N/A</v>
      </c>
      <c r="G8" s="1378"/>
      <c r="H8" s="304"/>
      <c r="I8" s="3833"/>
      <c r="J8" s="306"/>
      <c r="K8" s="307"/>
      <c r="L8" s="302" t="s">
        <v>698</v>
      </c>
      <c r="M8" s="303" t="e">
        <f ca="1">INDIRECT("'数据-取费表'!ai"&amp;$G$1)</f>
        <v>#N/A</v>
      </c>
    </row>
    <row r="9" spans="1:37" ht="18" customHeight="1">
      <c r="A9" s="304"/>
      <c r="B9" s="3834"/>
      <c r="C9" s="306"/>
      <c r="D9" s="307"/>
      <c r="E9" s="302" t="s">
        <v>699</v>
      </c>
      <c r="F9" s="312" t="e">
        <f ca="1">INDIRECT("'数据-取费表'!w"&amp;$G$1)</f>
        <v>#N/A</v>
      </c>
      <c r="G9" s="1378"/>
      <c r="H9" s="304"/>
      <c r="I9" s="3834"/>
      <c r="J9" s="306"/>
      <c r="K9" s="307"/>
      <c r="L9" s="313" t="s">
        <v>699</v>
      </c>
      <c r="M9" s="314" t="e">
        <f ca="1">INDIRECT("'数据-取费表'!ab"&amp;$G$1)</f>
        <v>#N/A</v>
      </c>
    </row>
    <row r="10" spans="1:37" ht="18" customHeight="1">
      <c r="A10" s="1064" t="s">
        <v>402</v>
      </c>
      <c r="B10" s="1359" t="s">
        <v>700</v>
      </c>
      <c r="C10" s="316" t="e">
        <f ca="1">ROUND(IF(F10="押一",C6/12*F11,IF(F10="押二",C6/12*2*F11,IF(F10="押三",C6/12*3*F11,C11*F11))),0)</f>
        <v>#N/A</v>
      </c>
      <c r="D10" s="1360" t="s">
        <v>2116</v>
      </c>
      <c r="E10" s="313" t="s">
        <v>701</v>
      </c>
      <c r="F10" s="1111" t="s">
        <v>3369</v>
      </c>
      <c r="G10" s="1378"/>
      <c r="H10" s="1064" t="s">
        <v>402</v>
      </c>
      <c r="I10" s="1359" t="s">
        <v>700</v>
      </c>
      <c r="J10" s="301" t="e">
        <f ca="1">ROUND(IF(M10="押一",J6/12*M11,IF(M10="押二",J6/12*2*M11,IF(M10="押三",J6/12*3*M11,J11*M11))),0)</f>
        <v>#N/A</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t="e">
        <f ca="1">ROUND(C29*F13,0)</f>
        <v>#N/A</v>
      </c>
      <c r="D13" s="3375" t="s">
        <v>705</v>
      </c>
      <c r="E13" s="3375" t="s">
        <v>706</v>
      </c>
      <c r="F13" s="1077" t="e">
        <f ca="1">INDIRECT("'数据-取费表'!y"&amp;$G$1)</f>
        <v>#N/A</v>
      </c>
      <c r="G13" s="1378"/>
      <c r="H13" s="1074">
        <v>2</v>
      </c>
      <c r="I13" s="1075" t="s">
        <v>704</v>
      </c>
      <c r="J13" s="1063" t="e">
        <f ca="1">ROUND(J14*J15,0)</f>
        <v>#N/A</v>
      </c>
      <c r="K13" s="1082" t="s">
        <v>705</v>
      </c>
      <c r="L13" s="1386"/>
      <c r="M13" s="1387"/>
    </row>
    <row r="14" spans="1:37" ht="18" customHeight="1">
      <c r="A14" s="977" t="s">
        <v>397</v>
      </c>
      <c r="B14" s="302" t="s">
        <v>707</v>
      </c>
      <c r="C14" s="318" t="e">
        <f ca="1">INDIRECT("'数据-取费表'!m"&amp;$G$1)+INDIRECT("'数据-取费表'!t"&amp;$G$1)</f>
        <v>#N/A</v>
      </c>
      <c r="D14" s="3379" t="s">
        <v>708</v>
      </c>
      <c r="E14" s="3377"/>
      <c r="F14" s="319"/>
      <c r="G14" s="1378"/>
      <c r="H14" s="977" t="s">
        <v>398</v>
      </c>
      <c r="I14" s="302" t="s">
        <v>709</v>
      </c>
      <c r="J14" s="21" t="e">
        <f ca="1">C29</f>
        <v>#N/A</v>
      </c>
      <c r="K14" s="3382"/>
      <c r="L14" s="802"/>
      <c r="M14" s="803"/>
    </row>
    <row r="15" spans="1:37" s="1391" customFormat="1" ht="18" customHeight="1" thickBot="1">
      <c r="A15" s="977" t="s">
        <v>399</v>
      </c>
      <c r="B15" s="302" t="s">
        <v>710</v>
      </c>
      <c r="C15" s="21" t="e">
        <f ca="1">ROUND(C14*F15,0)</f>
        <v>#N/A</v>
      </c>
      <c r="D15" s="3376" t="s">
        <v>711</v>
      </c>
      <c r="E15" s="3376" t="s">
        <v>712</v>
      </c>
      <c r="F15" s="321">
        <f>'数据-取费表'!B33</f>
        <v>0.05</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8"/>
      <c r="H16" s="1074" t="s">
        <v>393</v>
      </c>
      <c r="I16" s="1075" t="s">
        <v>714</v>
      </c>
      <c r="J16" s="310" t="e">
        <f ca="1">ROUND(J17+J22+J23+J24,0)</f>
        <v>#N/A</v>
      </c>
      <c r="K16" s="1082" t="s">
        <v>715</v>
      </c>
      <c r="L16" s="3380"/>
      <c r="M16" s="1067"/>
    </row>
    <row r="17" spans="1:37" s="1391" customFormat="1" ht="18" customHeight="1">
      <c r="A17" s="977" t="s">
        <v>681</v>
      </c>
      <c r="B17" s="302" t="s">
        <v>716</v>
      </c>
      <c r="C17" s="21" t="e">
        <f ca="1">ROUND(F17*(F43+INDIRECT("'数据-取费表'!S"&amp;$G$1))/10000,0)</f>
        <v>#N/A</v>
      </c>
      <c r="D17" s="302" t="s">
        <v>717</v>
      </c>
      <c r="E17" s="302" t="s">
        <v>718</v>
      </c>
      <c r="F17" s="23">
        <f>'数据-取费表'!B35</f>
        <v>200</v>
      </c>
      <c r="G17" s="1390"/>
      <c r="H17" s="977" t="s">
        <v>398</v>
      </c>
      <c r="I17" s="302" t="s">
        <v>719</v>
      </c>
      <c r="J17" s="2308" t="e">
        <f ca="1">ROUND(IF(AND(项目基本情况!B11="自然人",项目基本情况!B10="北京市"),J6*M17/(1+'数据-取费表'!C42),J18+J19+J20),2)</f>
        <v>#N/A</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t="e">
        <f ca="1">ROUND(C14*F18,0)</f>
        <v>#N/A</v>
      </c>
      <c r="D18" s="302" t="s">
        <v>711</v>
      </c>
      <c r="E18" s="302" t="s">
        <v>712</v>
      </c>
      <c r="F18" s="322">
        <f>'数据-取费表'!B36</f>
        <v>0.02</v>
      </c>
      <c r="G18" s="1390"/>
      <c r="H18" s="977" t="s">
        <v>397</v>
      </c>
      <c r="I18" s="302" t="s">
        <v>723</v>
      </c>
      <c r="J18" s="21" t="e">
        <f ca="1">ROUND(J6*M18/(1+'数据-取费表'!C42),2)</f>
        <v>#N/A</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t="e">
        <f ca="1">SUM(C14:C18)</f>
        <v>#N/A</v>
      </c>
      <c r="D19" s="131" t="s">
        <v>726</v>
      </c>
      <c r="E19" s="3385"/>
      <c r="F19" s="23"/>
      <c r="G19" s="1378"/>
      <c r="H19" s="977" t="s">
        <v>399</v>
      </c>
      <c r="I19" s="302" t="s">
        <v>727</v>
      </c>
      <c r="J19" s="21" t="e">
        <f ca="1">IF(K19="按租金收入计税",ROUND(J6*M19/(1+'数据-取费表'!C42),2),ROUND(C29*M19*0.7,2))</f>
        <v>#N/A</v>
      </c>
      <c r="K19" s="1364" t="s">
        <v>3307</v>
      </c>
      <c r="L19" s="302" t="s">
        <v>712</v>
      </c>
      <c r="M19" s="322">
        <f>IF(K19="按租金收入计税",'数据-取费表'!B51,'数据-取费表'!B50)</f>
        <v>0.12</v>
      </c>
    </row>
    <row r="20" spans="1:37" s="1391" customFormat="1" ht="18" customHeight="1">
      <c r="A20" s="977" t="s">
        <v>402</v>
      </c>
      <c r="B20" s="302" t="s">
        <v>728</v>
      </c>
      <c r="C20" s="21" t="e">
        <f ca="1">ROUND(C19*F20,0)</f>
        <v>#N/A</v>
      </c>
      <c r="D20" s="2420" t="s">
        <v>729</v>
      </c>
      <c r="E20" s="302" t="s">
        <v>712</v>
      </c>
      <c r="F20" s="322">
        <f>'数据-取费表'!B37</f>
        <v>0.03</v>
      </c>
      <c r="G20" s="1390"/>
      <c r="H20" s="977"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t="e">
        <f ca="1">ROUND(J14*M22,2)</f>
        <v>#N/A</v>
      </c>
      <c r="K22" s="3378" t="s">
        <v>739</v>
      </c>
      <c r="L22" s="302" t="s">
        <v>712</v>
      </c>
      <c r="M22" s="328" t="e">
        <f ca="1">INDIRECT("'数据-取费表'!Ak"&amp;$G$1)</f>
        <v>#N/A</v>
      </c>
    </row>
    <row r="23" spans="1:37" s="1391"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t="e">
        <f ca="1">ROUND(J13*M23,2)</f>
        <v>#N/A</v>
      </c>
      <c r="K23" s="337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t="e">
        <f ca="1">ROUND(J5*M24,2)</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t="e">
        <f ca="1">J5-J16</f>
        <v>#N/A</v>
      </c>
      <c r="K25" s="1090" t="s">
        <v>753</v>
      </c>
      <c r="L25" s="1091"/>
      <c r="M25" s="1092"/>
    </row>
    <row r="26" spans="1:37">
      <c r="A26" s="977" t="s">
        <v>397</v>
      </c>
      <c r="B26" s="302" t="s">
        <v>754</v>
      </c>
      <c r="C26" s="21" t="e">
        <f ca="1">ROUND((C19+C20)*F26,0)</f>
        <v>#N/A</v>
      </c>
      <c r="D26" s="2420"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0" t="s">
        <v>761</v>
      </c>
      <c r="E27" s="3376"/>
      <c r="F27" s="321"/>
      <c r="G27" s="1378"/>
      <c r="H27" s="304"/>
      <c r="I27" s="305"/>
      <c r="J27" s="306"/>
      <c r="K27" s="332" t="s">
        <v>762</v>
      </c>
      <c r="L27" s="302" t="s">
        <v>763</v>
      </c>
      <c r="M27" s="333" t="e">
        <f ca="1">INDIRECT("'数据-取费表'!ag"&amp;$G$1)</f>
        <v>#N/A</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t="e">
        <f ca="1">ROUND(C31+C36+C37+C38,0)</f>
        <v>#N/A</v>
      </c>
      <c r="D30" s="1082" t="s">
        <v>715</v>
      </c>
      <c r="E30" s="3380"/>
      <c r="F30" s="1067"/>
      <c r="G30" s="1378"/>
      <c r="H30" s="2683"/>
      <c r="I30" s="1392"/>
      <c r="J30" s="1393"/>
      <c r="K30" s="2462"/>
      <c r="L30" s="2684"/>
      <c r="M30" s="2685"/>
    </row>
    <row r="31" spans="1:37" ht="18" customHeight="1">
      <c r="A31" s="977" t="s">
        <v>398</v>
      </c>
      <c r="B31" s="302" t="s">
        <v>719</v>
      </c>
      <c r="C31" s="2308" t="e">
        <f ca="1">ROUND(IF(AND(项目基本情况!B11="自然人",项目基本情况!B10="北京市"),C6*F31/(1+'数据-取费表'!C42),C32+C33+C34),2)</f>
        <v>#N/A</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t="e">
        <f ca="1">IF(项目基本情况!B11="自然人","——",ROUND(C6*F32/(1+'数据-取费表'!C42),2))</f>
        <v>#N/A</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t="e">
        <f ca="1">IF(项目基本情况!B11="自然人","——",ROUND(F34*F35/10000,2))</f>
        <v>#N/A</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t="e">
        <f ca="1">INDIRECT("'数据-取费表'!r"&amp;$G$1)</f>
        <v>#N/A</v>
      </c>
      <c r="G35" s="1378"/>
      <c r="H35" s="2683"/>
      <c r="I35" s="1392"/>
      <c r="J35" s="1393"/>
      <c r="K35" s="2687"/>
      <c r="L35" s="2686"/>
      <c r="M35" s="2686"/>
    </row>
    <row r="36" spans="1:18" ht="18" customHeight="1">
      <c r="A36" s="1097" t="s">
        <v>402</v>
      </c>
      <c r="B36" s="302" t="s">
        <v>738</v>
      </c>
      <c r="C36" s="21" t="e">
        <f ca="1">ROUND(C29*F36,2)</f>
        <v>#N/A</v>
      </c>
      <c r="D36" s="3378" t="s">
        <v>771</v>
      </c>
      <c r="E36" s="302" t="s">
        <v>712</v>
      </c>
      <c r="F36" s="328" t="e">
        <f ca="1">INDIRECT("'数据-取费表'!Ak"&amp;$G$1)</f>
        <v>#N/A</v>
      </c>
      <c r="G36" s="1378"/>
      <c r="H36" s="2686"/>
      <c r="I36" s="1392"/>
      <c r="J36" s="1393"/>
      <c r="K36" s="2530"/>
      <c r="L36" s="2686"/>
      <c r="M36" s="2686"/>
    </row>
    <row r="37" spans="1:18" ht="18" customHeight="1">
      <c r="A37" s="977" t="s">
        <v>437</v>
      </c>
      <c r="B37" s="302" t="s">
        <v>742</v>
      </c>
      <c r="C37" s="21" t="e">
        <f ca="1">ROUND(C13*F37,2)</f>
        <v>#N/A</v>
      </c>
      <c r="D37" s="3378" t="s">
        <v>743</v>
      </c>
      <c r="E37" s="302" t="s">
        <v>744</v>
      </c>
      <c r="F37" s="330" t="e">
        <f ca="1">INDIRECT("'数据-取费表'!Al"&amp;$G$1)</f>
        <v>#N/A</v>
      </c>
      <c r="G37" s="1378"/>
      <c r="H37" s="2686"/>
      <c r="I37" s="1392"/>
      <c r="J37" s="1393"/>
      <c r="K37" s="2530"/>
      <c r="L37" s="2686"/>
      <c r="M37" s="2686"/>
    </row>
    <row r="38" spans="1:18" ht="18" customHeight="1" thickBot="1">
      <c r="A38" s="1084" t="s">
        <v>684</v>
      </c>
      <c r="B38" s="1085" t="s">
        <v>728</v>
      </c>
      <c r="C38" s="1086" t="e">
        <f ca="1">ROUND(C5*F38,2)</f>
        <v>#N/A</v>
      </c>
      <c r="D38" s="1087" t="s">
        <v>748</v>
      </c>
      <c r="E38" s="1085" t="s">
        <v>744</v>
      </c>
      <c r="F38" s="1081" t="e">
        <f ca="1">INDIRECT("'数据-取费表'!Am"&amp;$G$1)</f>
        <v>#N/A</v>
      </c>
      <c r="G38" s="1378"/>
      <c r="H38" s="2686"/>
      <c r="I38" s="1392"/>
      <c r="J38" s="1393"/>
      <c r="K38" s="2690"/>
      <c r="L38" s="2686"/>
      <c r="M38" s="2686"/>
    </row>
    <row r="39" spans="1:18" ht="24.6" customHeight="1" thickTop="1">
      <c r="A39" s="1074" t="s">
        <v>394</v>
      </c>
      <c r="B39" s="1089" t="s">
        <v>772</v>
      </c>
      <c r="C39" s="310" t="e">
        <f ca="1">C5-C30</f>
        <v>#N/A</v>
      </c>
      <c r="D39" s="1090" t="s">
        <v>753</v>
      </c>
      <c r="E39" s="1091"/>
      <c r="F39" s="1092"/>
      <c r="G39" s="1378"/>
      <c r="H39" s="2686"/>
      <c r="I39" s="1392"/>
      <c r="J39" s="1393"/>
      <c r="K39" s="2690"/>
      <c r="L39" s="2686"/>
      <c r="M39" s="2686"/>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0"/>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0"/>
      <c r="L41" s="1185"/>
      <c r="M41" s="1185"/>
    </row>
    <row r="42" spans="1:18" ht="18" customHeight="1">
      <c r="A42" s="308"/>
      <c r="B42" s="309"/>
      <c r="C42" s="310"/>
      <c r="D42" s="327"/>
      <c r="E42" s="302" t="s">
        <v>766</v>
      </c>
      <c r="F42" s="312" t="e">
        <f ca="1">INDIRECT("'数据-取费表'!v"&amp;$G$1)</f>
        <v>#N/A</v>
      </c>
      <c r="G42" s="1378"/>
      <c r="H42" s="1185"/>
      <c r="I42" s="1392"/>
      <c r="J42" s="1393"/>
      <c r="K42" s="2530"/>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300" t="s">
        <v>692</v>
      </c>
      <c r="C48" s="3384" t="e">
        <f ca="1">C49+C53+C55</f>
        <v>#N/A</v>
      </c>
      <c r="D48" s="1107"/>
      <c r="E48" s="1108"/>
      <c r="F48" s="957"/>
      <c r="G48" s="722"/>
      <c r="H48" s="723"/>
      <c r="I48" s="1415" t="s">
        <v>819</v>
      </c>
      <c r="J48" s="1416" t="s">
        <v>3371</v>
      </c>
      <c r="K48" s="1417" t="s">
        <v>820</v>
      </c>
      <c r="L48" s="1418" t="e">
        <f ca="1">INDIRECT("'数据-取费表'!f"&amp;$G$1)</f>
        <v>#N/A</v>
      </c>
      <c r="O48" s="1412" t="s">
        <v>404</v>
      </c>
      <c r="P48" s="1413" t="s">
        <v>821</v>
      </c>
      <c r="Q48" s="1414" t="e">
        <f ca="1">J60</f>
        <v>#N/A</v>
      </c>
      <c r="R48" s="1414" t="s">
        <v>822</v>
      </c>
    </row>
    <row r="49" spans="1:18" s="1378" customFormat="1" ht="13.5" thickBot="1">
      <c r="A49" s="970" t="s">
        <v>439</v>
      </c>
      <c r="B49" s="1365" t="s">
        <v>779</v>
      </c>
      <c r="C49" s="1109" t="e">
        <f ca="1">ROUND(F49*F51*F50*(1-F52)/10000,0)</f>
        <v>#N/A</v>
      </c>
      <c r="D49" s="1050" t="s">
        <v>2108</v>
      </c>
      <c r="E49" s="1366" t="s">
        <v>780</v>
      </c>
      <c r="F49" s="1055"/>
      <c r="G49" s="1419"/>
      <c r="H49" s="723"/>
      <c r="I49" s="1415" t="s">
        <v>823</v>
      </c>
      <c r="J49" s="1420">
        <f>'数据-取费表'!N18</f>
        <v>2023</v>
      </c>
      <c r="K49" s="1417" t="s">
        <v>824</v>
      </c>
      <c r="L49" s="1421"/>
      <c r="O49" s="1422" t="s">
        <v>405</v>
      </c>
      <c r="P49" s="1413" t="s">
        <v>825</v>
      </c>
      <c r="Q49" s="1414" t="e">
        <f ca="1">C29</f>
        <v>#N/A</v>
      </c>
      <c r="R49" s="1414" t="s">
        <v>818</v>
      </c>
    </row>
    <row r="50" spans="1:18" s="1378" customFormat="1" ht="13.5" thickBot="1">
      <c r="A50" s="971"/>
      <c r="B50" s="974"/>
      <c r="C50" s="1113"/>
      <c r="D50" s="948"/>
      <c r="E50" s="1051" t="s">
        <v>697</v>
      </c>
      <c r="F50" s="1052" t="e">
        <f ca="1">F7</f>
        <v>#N/A</v>
      </c>
      <c r="H50" s="723"/>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2"/>
      <c r="B51" s="974"/>
      <c r="C51" s="975"/>
      <c r="D51" s="948"/>
      <c r="E51" s="976" t="s">
        <v>698</v>
      </c>
      <c r="F51" s="303" t="e">
        <f ca="1">F8</f>
        <v>#N/A</v>
      </c>
      <c r="I51" s="1426" t="s">
        <v>829</v>
      </c>
      <c r="J51" s="1427">
        <f>IF(J49="",J50,J49+J50-YEAR('数据-取费表'!B2))</f>
        <v>59</v>
      </c>
      <c r="K51" s="1428" t="s">
        <v>830</v>
      </c>
      <c r="L51" s="1429" t="e">
        <f ca="1">ROUND(-PV(INDIRECT("'数据-取费表'!h"&amp;$G$1),J51,(C39-C13*C76),0),0)</f>
        <v>#N/A</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t="e">
        <f ca="1">J53</f>
        <v>#N/A</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t="e">
        <f ca="1">IF(M47="住宅",IF(D1="——",MAX(J51,L48),MAX(J51,L48-'数据-取费表'!B24)),IF(D1="——",MIN(J51,L48),MIN(J51,L48-'数据-取费表'!B24)))</f>
        <v>#N/A</v>
      </c>
      <c r="K53" s="3830" t="s">
        <v>837</v>
      </c>
      <c r="L53" s="3831"/>
      <c r="O53" s="1412" t="s">
        <v>409</v>
      </c>
      <c r="P53" s="1413" t="s">
        <v>838</v>
      </c>
      <c r="Q53" s="1414" t="e">
        <f ca="1">Q47+Q48</f>
        <v>#N/A</v>
      </c>
      <c r="R53" s="1414" t="s">
        <v>410</v>
      </c>
    </row>
    <row r="54" spans="1:18" s="1378" customFormat="1" ht="13.5" thickBot="1">
      <c r="A54" s="1148"/>
      <c r="B54" s="1361" t="s">
        <v>679</v>
      </c>
      <c r="C54" s="954"/>
      <c r="D54" s="1360"/>
      <c r="E54" s="3381"/>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2">
        <v>2</v>
      </c>
      <c r="B56" s="953" t="s">
        <v>704</v>
      </c>
      <c r="C56" s="232" t="e">
        <f ca="1">C13</f>
        <v>#N/A</v>
      </c>
      <c r="D56" s="1441"/>
      <c r="E56" s="1442"/>
      <c r="F56" s="1434"/>
      <c r="I56" s="1443" t="s">
        <v>842</v>
      </c>
      <c r="J56" s="1444" t="s">
        <v>3372</v>
      </c>
      <c r="K56" s="1415" t="s">
        <v>843</v>
      </c>
      <c r="L56" s="1418" t="e">
        <f ca="1">IF(L48&lt;J51,"——",L48-J53)</f>
        <v>#N/A</v>
      </c>
      <c r="O56" s="1412" t="s">
        <v>403</v>
      </c>
      <c r="P56" s="1413" t="s">
        <v>817</v>
      </c>
      <c r="Q56" s="1414" t="e">
        <f ca="1">C40+J29</f>
        <v>#N/A</v>
      </c>
      <c r="R56" s="1414" t="s">
        <v>818</v>
      </c>
    </row>
    <row r="57" spans="1:18" s="1378" customFormat="1" ht="24.75" thickBot="1">
      <c r="A57" s="1445"/>
      <c r="B57" s="945"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3" t="s">
        <v>714</v>
      </c>
      <c r="C58" s="316" t="e">
        <f ca="1">ROUND(C59+C64+C65+C66,0)</f>
        <v>#N/A</v>
      </c>
      <c r="D58" s="955" t="s">
        <v>715</v>
      </c>
      <c r="E58" s="956"/>
      <c r="F58" s="957"/>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7" t="s">
        <v>398</v>
      </c>
      <c r="B59" s="945" t="s">
        <v>719</v>
      </c>
      <c r="C59" s="2308" t="e">
        <f ca="1">ROUND(IF(AND(项目基本情况!B11="自然人",项目基本情况!B10="北京市"),C49*F59/(1+'数据-取费表'!C42),C60+C61+C62),0)</f>
        <v>#N/A</v>
      </c>
      <c r="D59" s="958" t="s">
        <v>720</v>
      </c>
      <c r="E59" s="959" t="s">
        <v>721</v>
      </c>
      <c r="F59" s="2307"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7" t="s">
        <v>781</v>
      </c>
      <c r="B61" s="945" t="s">
        <v>727</v>
      </c>
      <c r="C61" s="21" t="e">
        <f ca="1">IF(项目基本情况!B11="自然人","——",IF(D61="按租金收入计税",ROUND(C49*F61/(1+'数据-取费表'!C42),2),IF(D61="按房产原值计税",ROUND(C57*F61*0.7,2),INDIRECT("'数据-取费表'!Aj"&amp;$G$1))))</f>
        <v>#N/A</v>
      </c>
      <c r="D61" s="1364" t="s">
        <v>3307</v>
      </c>
      <c r="E61" s="945" t="s">
        <v>744</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7" t="s">
        <v>784</v>
      </c>
      <c r="B62" s="944" t="s">
        <v>730</v>
      </c>
      <c r="C62" s="22" t="e">
        <f ca="1">IF(项目基本情况!B11="自然人","——",ROUND(F62*F63/10000,2))</f>
        <v>#N/A</v>
      </c>
      <c r="D62" s="960" t="s">
        <v>731</v>
      </c>
      <c r="E62" s="945" t="s">
        <v>732</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1"/>
      <c r="C63" s="26"/>
      <c r="D63" s="961"/>
      <c r="E63" s="945"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t="e">
        <f ca="1">ROUND(C57*F64,2)</f>
        <v>#N/A</v>
      </c>
      <c r="D64" s="959" t="s">
        <v>791</v>
      </c>
      <c r="E64" s="945" t="s">
        <v>744</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t="e">
        <f ca="1">ROUND(C56*F65,2)</f>
        <v>#N/A</v>
      </c>
      <c r="D65" s="959" t="s">
        <v>743</v>
      </c>
      <c r="E65" s="945"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7" t="s">
        <v>793</v>
      </c>
      <c r="B66" s="945" t="s">
        <v>728</v>
      </c>
      <c r="C66" s="21" t="e">
        <f ca="1">ROUND(C48*F66,2)</f>
        <v>#N/A</v>
      </c>
      <c r="D66" s="959" t="s">
        <v>794</v>
      </c>
      <c r="E66" s="945" t="s">
        <v>712</v>
      </c>
      <c r="F66" s="312" t="e">
        <f t="shared" ca="1" si="0"/>
        <v>#N/A</v>
      </c>
      <c r="O66" s="1412" t="s">
        <v>404</v>
      </c>
      <c r="P66" s="1413" t="s">
        <v>846</v>
      </c>
      <c r="Q66" s="1414" t="e">
        <f ca="1">L60</f>
        <v>#N/A</v>
      </c>
      <c r="R66" s="1414" t="s">
        <v>869</v>
      </c>
    </row>
    <row r="67" spans="1:18" s="1378" customFormat="1" ht="16.5" thickBot="1">
      <c r="A67" s="952" t="s">
        <v>394</v>
      </c>
      <c r="B67" s="962" t="s">
        <v>752</v>
      </c>
      <c r="C67" s="316" t="e">
        <f ca="1">C48-C58</f>
        <v>#N/A</v>
      </c>
      <c r="D67" s="958" t="s">
        <v>753</v>
      </c>
      <c r="E67" s="963"/>
      <c r="F67" s="964"/>
      <c r="O67" s="1422" t="s">
        <v>405</v>
      </c>
      <c r="P67" s="1413" t="s">
        <v>850</v>
      </c>
      <c r="Q67" s="1460" t="e">
        <f ca="1">L51</f>
        <v>#N/A</v>
      </c>
      <c r="R67" s="1414" t="s">
        <v>870</v>
      </c>
    </row>
    <row r="68" spans="1:18" s="1378" customFormat="1" ht="16.5" thickBot="1">
      <c r="A68" s="942" t="s">
        <v>395</v>
      </c>
      <c r="B68" s="943" t="s">
        <v>774</v>
      </c>
      <c r="C68" s="301" t="e">
        <f ca="1">ROUND(C67*(1-((1+F70)/(1+F68))^F69)/(F68-F70),0)</f>
        <v>#N/A</v>
      </c>
      <c r="D68" s="960" t="s">
        <v>758</v>
      </c>
      <c r="E68" s="945" t="s">
        <v>759</v>
      </c>
      <c r="F68" s="312" t="e">
        <f ca="1">F40</f>
        <v>#N/A</v>
      </c>
      <c r="O68" s="1422" t="s">
        <v>406</v>
      </c>
      <c r="P68" s="1461" t="s">
        <v>871</v>
      </c>
      <c r="Q68" s="1414" t="e">
        <f ca="1">ROUND(Q69-Q70*Q71,0)</f>
        <v>#N/A</v>
      </c>
      <c r="R68" s="1414" t="s">
        <v>414</v>
      </c>
    </row>
    <row r="69" spans="1:18" s="1378" customFormat="1" ht="13.5" thickBot="1">
      <c r="A69" s="946"/>
      <c r="B69" s="947"/>
      <c r="C69" s="306"/>
      <c r="D69" s="965" t="s">
        <v>762</v>
      </c>
      <c r="E69" s="945" t="s">
        <v>763</v>
      </c>
      <c r="F69" s="333" t="e">
        <f ca="1">F41</f>
        <v>#N/A</v>
      </c>
      <c r="O69" s="1422" t="s">
        <v>411</v>
      </c>
      <c r="P69" s="1461" t="s">
        <v>872</v>
      </c>
      <c r="Q69" s="1414" t="e">
        <f ca="1">C39</f>
        <v>#N/A</v>
      </c>
      <c r="R69" s="1414" t="s">
        <v>818</v>
      </c>
    </row>
    <row r="70" spans="1:18" s="1378" customFormat="1" ht="13.5" thickBot="1">
      <c r="A70" s="949"/>
      <c r="B70" s="950"/>
      <c r="C70" s="310"/>
      <c r="D70" s="961"/>
      <c r="E70" s="945" t="s">
        <v>766</v>
      </c>
      <c r="F70" s="1049"/>
      <c r="O70" s="1422" t="s">
        <v>412</v>
      </c>
      <c r="P70" s="1461" t="s">
        <v>873</v>
      </c>
      <c r="Q70" s="1414" t="e">
        <f ca="1">C13</f>
        <v>#N/A</v>
      </c>
      <c r="R70" s="1414" t="s">
        <v>818</v>
      </c>
    </row>
    <row r="71" spans="1:18" s="1378" customFormat="1" ht="13.5" thickBot="1">
      <c r="A71" s="966" t="s">
        <v>396</v>
      </c>
      <c r="B71" s="967" t="s">
        <v>776</v>
      </c>
      <c r="C71" s="336" t="e">
        <f ca="1">ROUND(C68*10000/F71,0)</f>
        <v>#N/A</v>
      </c>
      <c r="D71" s="968" t="s">
        <v>777</v>
      </c>
      <c r="E71" s="969" t="s">
        <v>778</v>
      </c>
      <c r="F71" s="339" t="e">
        <f ca="1">F43</f>
        <v>#N/A</v>
      </c>
      <c r="O71" s="1422" t="s">
        <v>413</v>
      </c>
      <c r="P71" s="1461" t="s">
        <v>874</v>
      </c>
      <c r="Q71" s="1425" t="e">
        <f ca="1">C76</f>
        <v>#N/A</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69" t="s">
        <v>1770</v>
      </c>
      <c r="D4" s="3781"/>
      <c r="E4" s="3782" t="s">
        <v>1771</v>
      </c>
      <c r="F4" s="3783"/>
      <c r="G4" s="3769" t="s">
        <v>1772</v>
      </c>
      <c r="H4" s="3781"/>
      <c r="I4" s="3769" t="s">
        <v>1773</v>
      </c>
      <c r="J4" s="3781"/>
      <c r="K4" s="559" t="s">
        <v>1774</v>
      </c>
      <c r="L4" s="2701"/>
      <c r="M4" s="2702"/>
      <c r="N4" s="2702"/>
      <c r="O4" s="2702"/>
      <c r="P4" s="3784" t="s">
        <v>1775</v>
      </c>
      <c r="Q4" s="3785"/>
      <c r="R4" s="3790" t="s">
        <v>1771</v>
      </c>
      <c r="S4" s="3791"/>
      <c r="T4" s="3790" t="s">
        <v>1772</v>
      </c>
      <c r="U4" s="3791"/>
      <c r="V4" s="3777" t="s">
        <v>1773</v>
      </c>
      <c r="W4" s="3777"/>
      <c r="X4" s="1349"/>
      <c r="Y4" s="3790" t="s">
        <v>1775</v>
      </c>
      <c r="Z4" s="3791"/>
      <c r="AA4" s="3778" t="s">
        <v>1771</v>
      </c>
      <c r="AB4" s="3779" t="s">
        <v>1772</v>
      </c>
      <c r="AC4" s="3778" t="s">
        <v>1773</v>
      </c>
    </row>
    <row r="5" spans="1:29" ht="15">
      <c r="A5" s="358"/>
      <c r="B5" s="359"/>
      <c r="C5" s="3798" t="s">
        <v>1673</v>
      </c>
      <c r="D5" s="3799"/>
      <c r="E5" s="3807" t="s">
        <v>1674</v>
      </c>
      <c r="F5" s="3808"/>
      <c r="G5" s="3798" t="s">
        <v>1675</v>
      </c>
      <c r="H5" s="3799"/>
      <c r="I5" s="3798" t="s">
        <v>1676</v>
      </c>
      <c r="J5" s="3799"/>
      <c r="K5" s="559"/>
      <c r="L5" s="2701"/>
      <c r="M5" s="2702"/>
      <c r="N5" s="2702"/>
      <c r="O5" s="2702"/>
      <c r="P5" s="3786"/>
      <c r="Q5" s="3787"/>
      <c r="R5" s="3792"/>
      <c r="S5" s="3793"/>
      <c r="T5" s="3792"/>
      <c r="U5" s="3793"/>
      <c r="V5" s="3777"/>
      <c r="W5" s="3777"/>
      <c r="X5" s="1349"/>
      <c r="Y5" s="3792"/>
      <c r="Z5" s="3793"/>
      <c r="AA5" s="3779"/>
      <c r="AB5" s="3779"/>
      <c r="AC5" s="3779"/>
    </row>
    <row r="6" spans="1:29" ht="15.75" thickBot="1">
      <c r="A6" s="360"/>
      <c r="B6" s="361"/>
      <c r="C6" s="3878" t="s">
        <v>1919</v>
      </c>
      <c r="D6" s="3879"/>
      <c r="E6" s="3880" t="s">
        <v>1919</v>
      </c>
      <c r="F6" s="3881"/>
      <c r="G6" s="3878" t="s">
        <v>1919</v>
      </c>
      <c r="H6" s="3879"/>
      <c r="I6" s="3878" t="s">
        <v>1919</v>
      </c>
      <c r="J6" s="3879"/>
      <c r="K6" s="559" t="s">
        <v>1678</v>
      </c>
      <c r="L6" s="2701"/>
      <c r="M6" s="2702"/>
      <c r="N6" s="2702"/>
      <c r="O6" s="2702"/>
      <c r="P6" s="3788"/>
      <c r="Q6" s="3789"/>
      <c r="R6" s="3792"/>
      <c r="S6" s="3793"/>
      <c r="T6" s="3794"/>
      <c r="U6" s="3795"/>
      <c r="V6" s="3777"/>
      <c r="W6" s="3777"/>
      <c r="X6" s="1349"/>
      <c r="Y6" s="3794"/>
      <c r="Z6" s="3795"/>
      <c r="AA6" s="3780"/>
      <c r="AB6" s="3780"/>
      <c r="AC6" s="3780"/>
    </row>
    <row r="7" spans="1:29" s="108" customFormat="1" ht="15.75" thickBot="1">
      <c r="A7" s="362" t="s">
        <v>1679</v>
      </c>
      <c r="B7" s="363"/>
      <c r="C7" s="364">
        <f>'数据-取费表'!B2</f>
        <v>45429</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800" t="s">
        <v>1680</v>
      </c>
      <c r="Q7" s="3802"/>
      <c r="R7" s="701" t="s">
        <v>14</v>
      </c>
      <c r="S7" s="702">
        <f t="shared" ref="S7:S15" si="0">F7</f>
        <v>0</v>
      </c>
      <c r="T7" s="701" t="s">
        <v>14</v>
      </c>
      <c r="U7" s="702">
        <f t="shared" ref="U7:U15" si="1">H7</f>
        <v>0</v>
      </c>
      <c r="V7" s="701" t="s">
        <v>14</v>
      </c>
      <c r="W7" s="702">
        <f t="shared" ref="W7:W15" si="2">J7</f>
        <v>0</v>
      </c>
      <c r="X7" s="703"/>
      <c r="Y7" s="3800" t="s">
        <v>1680</v>
      </c>
      <c r="Z7" s="38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800" t="s">
        <v>1683</v>
      </c>
      <c r="Q8" s="3801"/>
      <c r="R8" s="701" t="s">
        <v>14</v>
      </c>
      <c r="S8" s="702">
        <f t="shared" si="0"/>
        <v>0</v>
      </c>
      <c r="T8" s="701" t="s">
        <v>14</v>
      </c>
      <c r="U8" s="702">
        <f t="shared" si="1"/>
        <v>0</v>
      </c>
      <c r="V8" s="701" t="s">
        <v>14</v>
      </c>
      <c r="W8" s="702">
        <f t="shared" si="2"/>
        <v>0</v>
      </c>
      <c r="X8" s="703"/>
      <c r="Y8" s="3800" t="s">
        <v>1683</v>
      </c>
      <c r="Z8" s="3801"/>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72" t="s">
        <v>1686</v>
      </c>
      <c r="Q9" s="1337"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772"/>
      <c r="Q10" s="1337" t="str">
        <f t="shared" si="6"/>
        <v>土地使用年限（年）</v>
      </c>
      <c r="R10" s="701" t="s">
        <v>14</v>
      </c>
      <c r="S10" s="702">
        <f t="shared" si="0"/>
        <v>103</v>
      </c>
      <c r="T10" s="701" t="s">
        <v>14</v>
      </c>
      <c r="U10" s="702">
        <f t="shared" si="1"/>
        <v>103</v>
      </c>
      <c r="V10" s="701" t="s">
        <v>14</v>
      </c>
      <c r="W10" s="702">
        <f t="shared" si="2"/>
        <v>103</v>
      </c>
      <c r="X10" s="703"/>
      <c r="Y10" s="3669"/>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72"/>
      <c r="Q11" s="1337"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72"/>
      <c r="Q12" s="1337">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72"/>
      <c r="Q13" s="1337">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72"/>
      <c r="Q14" s="1337">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773" t="s">
        <v>1691</v>
      </c>
      <c r="Q15" s="1346" t="str">
        <f t="shared" si="6"/>
        <v>产业集聚程度</v>
      </c>
      <c r="R15" s="705" t="s">
        <v>14</v>
      </c>
      <c r="S15" s="706">
        <f t="shared" si="0"/>
        <v>100</v>
      </c>
      <c r="T15" s="705" t="s">
        <v>14</v>
      </c>
      <c r="U15" s="706">
        <f t="shared" si="1"/>
        <v>100</v>
      </c>
      <c r="V15" s="705" t="s">
        <v>14</v>
      </c>
      <c r="W15" s="706">
        <f t="shared" si="2"/>
        <v>100</v>
      </c>
      <c r="X15" s="1349"/>
      <c r="Y15" s="3773"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774"/>
      <c r="Q16" s="1346"/>
      <c r="R16" s="705"/>
      <c r="S16" s="706"/>
      <c r="T16" s="705"/>
      <c r="U16" s="706"/>
      <c r="V16" s="705"/>
      <c r="W16" s="706"/>
      <c r="X16" s="1349"/>
      <c r="Y16" s="3774"/>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774"/>
      <c r="Q17" s="1346" t="str">
        <f>B17</f>
        <v>交通便捷度</v>
      </c>
      <c r="R17" s="705" t="s">
        <v>14</v>
      </c>
      <c r="S17" s="706">
        <f>F17</f>
        <v>100</v>
      </c>
      <c r="T17" s="705" t="s">
        <v>14</v>
      </c>
      <c r="U17" s="706">
        <f>H17</f>
        <v>100</v>
      </c>
      <c r="V17" s="705" t="s">
        <v>14</v>
      </c>
      <c r="W17" s="706">
        <f>J17</f>
        <v>100</v>
      </c>
      <c r="X17" s="1349"/>
      <c r="Y17" s="3774"/>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774"/>
      <c r="Q18" s="1346"/>
      <c r="R18" s="705"/>
      <c r="S18" s="706"/>
      <c r="T18" s="705"/>
      <c r="U18" s="706"/>
      <c r="V18" s="705"/>
      <c r="W18" s="706"/>
      <c r="X18" s="1349"/>
      <c r="Y18" s="3774"/>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774"/>
      <c r="Q19" s="1346" t="str">
        <f t="shared" ref="Q19:Q33" si="8">B19</f>
        <v>区域土地利用方向</v>
      </c>
      <c r="R19" s="705" t="s">
        <v>14</v>
      </c>
      <c r="S19" s="706">
        <f>F19</f>
        <v>100</v>
      </c>
      <c r="T19" s="705" t="s">
        <v>14</v>
      </c>
      <c r="U19" s="706">
        <f>H19</f>
        <v>100</v>
      </c>
      <c r="V19" s="705" t="s">
        <v>14</v>
      </c>
      <c r="W19" s="706">
        <f>J19</f>
        <v>100</v>
      </c>
      <c r="X19" s="1349"/>
      <c r="Y19" s="3774"/>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774"/>
      <c r="Q20" s="1346"/>
      <c r="R20" s="705"/>
      <c r="S20" s="706"/>
      <c r="T20" s="705"/>
      <c r="U20" s="706"/>
      <c r="V20" s="705"/>
      <c r="W20" s="706"/>
      <c r="X20" s="1349"/>
      <c r="Y20" s="3774"/>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774"/>
      <c r="Q21" s="1346" t="str">
        <f t="shared" si="8"/>
        <v>环境状况</v>
      </c>
      <c r="R21" s="705" t="s">
        <v>14</v>
      </c>
      <c r="S21" s="706">
        <f>F21</f>
        <v>100</v>
      </c>
      <c r="T21" s="705" t="s">
        <v>14</v>
      </c>
      <c r="U21" s="706">
        <f>H21</f>
        <v>100</v>
      </c>
      <c r="V21" s="705" t="s">
        <v>14</v>
      </c>
      <c r="W21" s="706">
        <f>J21</f>
        <v>100</v>
      </c>
      <c r="X21" s="1349"/>
      <c r="Y21" s="3774"/>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774"/>
      <c r="Q22" s="1346"/>
      <c r="R22" s="705"/>
      <c r="S22" s="706"/>
      <c r="T22" s="705"/>
      <c r="U22" s="706"/>
      <c r="V22" s="705"/>
      <c r="W22" s="706"/>
      <c r="X22" s="1349"/>
      <c r="Y22" s="3774"/>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774"/>
      <c r="Q23" s="1337" t="str">
        <f t="shared" si="8"/>
        <v>公共配套设施</v>
      </c>
      <c r="R23" s="701" t="s">
        <v>14</v>
      </c>
      <c r="S23" s="702">
        <f>F23</f>
        <v>100</v>
      </c>
      <c r="T23" s="701" t="s">
        <v>14</v>
      </c>
      <c r="U23" s="702">
        <f>H23</f>
        <v>100</v>
      </c>
      <c r="V23" s="701" t="s">
        <v>14</v>
      </c>
      <c r="W23" s="702">
        <f>J23</f>
        <v>100</v>
      </c>
      <c r="X23" s="703"/>
      <c r="Y23" s="3774"/>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774"/>
      <c r="Q24" s="1337"/>
      <c r="R24" s="701"/>
      <c r="S24" s="702"/>
      <c r="T24" s="701"/>
      <c r="U24" s="702"/>
      <c r="V24" s="701"/>
      <c r="W24" s="702"/>
      <c r="X24" s="703"/>
      <c r="Y24" s="3774"/>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774"/>
      <c r="Q25" s="1337" t="str">
        <f t="shared" ref="Q25" si="9">B25</f>
        <v>基础设施水平</v>
      </c>
      <c r="R25" s="701" t="s">
        <v>14</v>
      </c>
      <c r="S25" s="702">
        <f>F25</f>
        <v>100</v>
      </c>
      <c r="T25" s="701" t="s">
        <v>14</v>
      </c>
      <c r="U25" s="702">
        <f>H25</f>
        <v>100</v>
      </c>
      <c r="V25" s="701" t="s">
        <v>14</v>
      </c>
      <c r="W25" s="702">
        <f>J25</f>
        <v>100</v>
      </c>
      <c r="X25" s="703"/>
      <c r="Y25" s="3774"/>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774"/>
      <c r="Q26" s="1337"/>
      <c r="R26" s="701"/>
      <c r="S26" s="702"/>
      <c r="T26" s="701"/>
      <c r="U26" s="702"/>
      <c r="V26" s="701"/>
      <c r="W26" s="702"/>
      <c r="X26" s="703"/>
      <c r="Y26" s="37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774"/>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774"/>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774"/>
      <c r="Q28" s="1346" t="str">
        <f t="shared" si="8"/>
        <v>毗邻道路的类型与等级</v>
      </c>
      <c r="R28" s="705" t="s">
        <v>14</v>
      </c>
      <c r="S28" s="706">
        <f t="shared" si="10"/>
        <v>100</v>
      </c>
      <c r="T28" s="705" t="s">
        <v>14</v>
      </c>
      <c r="U28" s="706">
        <f t="shared" si="11"/>
        <v>100</v>
      </c>
      <c r="V28" s="705" t="s">
        <v>14</v>
      </c>
      <c r="W28" s="706">
        <f t="shared" si="12"/>
        <v>100</v>
      </c>
      <c r="X28" s="1349"/>
      <c r="Y28" s="3774"/>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774"/>
      <c r="Q29" s="1346"/>
      <c r="R29" s="705"/>
      <c r="S29" s="706"/>
      <c r="T29" s="705"/>
      <c r="U29" s="706"/>
      <c r="V29" s="705"/>
      <c r="W29" s="706"/>
      <c r="X29" s="1349"/>
      <c r="Y29" s="3774"/>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774"/>
      <c r="Q30" s="1346" t="str">
        <f t="shared" si="8"/>
        <v>土地级别</v>
      </c>
      <c r="R30" s="705" t="s">
        <v>14</v>
      </c>
      <c r="S30" s="706">
        <f t="shared" si="10"/>
        <v>100</v>
      </c>
      <c r="T30" s="705" t="s">
        <v>14</v>
      </c>
      <c r="U30" s="706">
        <f t="shared" si="11"/>
        <v>100</v>
      </c>
      <c r="V30" s="705" t="s">
        <v>14</v>
      </c>
      <c r="W30" s="706">
        <f t="shared" si="12"/>
        <v>100</v>
      </c>
      <c r="X30" s="1349"/>
      <c r="Y30" s="3774"/>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774"/>
      <c r="Q31" s="1346">
        <f t="shared" si="8"/>
        <v>111</v>
      </c>
      <c r="R31" s="705" t="s">
        <v>14</v>
      </c>
      <c r="S31" s="706">
        <f t="shared" si="10"/>
        <v>100</v>
      </c>
      <c r="T31" s="705" t="s">
        <v>14</v>
      </c>
      <c r="U31" s="706">
        <f t="shared" si="11"/>
        <v>100</v>
      </c>
      <c r="V31" s="705" t="s">
        <v>14</v>
      </c>
      <c r="W31" s="706">
        <f t="shared" si="12"/>
        <v>100</v>
      </c>
      <c r="X31" s="1349"/>
      <c r="Y31" s="3774"/>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775" t="s">
        <v>1696</v>
      </c>
      <c r="Q32" s="1346">
        <f t="shared" si="8"/>
        <v>111</v>
      </c>
      <c r="R32" s="705" t="s">
        <v>14</v>
      </c>
      <c r="S32" s="706">
        <f t="shared" si="10"/>
        <v>100</v>
      </c>
      <c r="T32" s="705" t="s">
        <v>14</v>
      </c>
      <c r="U32" s="706">
        <f t="shared" si="11"/>
        <v>100</v>
      </c>
      <c r="V32" s="705" t="s">
        <v>14</v>
      </c>
      <c r="W32" s="706">
        <f t="shared" si="12"/>
        <v>100</v>
      </c>
      <c r="X32" s="1349"/>
      <c r="Y32" s="3776"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776"/>
      <c r="Q33" s="1346">
        <f t="shared" si="8"/>
        <v>111</v>
      </c>
      <c r="R33" s="708" t="s">
        <v>14</v>
      </c>
      <c r="S33" s="709">
        <f t="shared" si="10"/>
        <v>100</v>
      </c>
      <c r="T33" s="708" t="s">
        <v>14</v>
      </c>
      <c r="U33" s="709">
        <f t="shared" si="11"/>
        <v>100</v>
      </c>
      <c r="V33" s="708" t="s">
        <v>14</v>
      </c>
      <c r="W33" s="709">
        <f t="shared" si="12"/>
        <v>100</v>
      </c>
      <c r="X33" s="710"/>
      <c r="Y33" s="3776"/>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776"/>
      <c r="Q34" s="1346" t="str">
        <f>B34</f>
        <v>宗地面积</v>
      </c>
      <c r="R34" s="705" t="s">
        <v>14</v>
      </c>
      <c r="S34" s="706" t="e">
        <f t="shared" si="10"/>
        <v>#N/A</v>
      </c>
      <c r="T34" s="705" t="s">
        <v>14</v>
      </c>
      <c r="U34" s="706" t="e">
        <f t="shared" si="11"/>
        <v>#N/A</v>
      </c>
      <c r="V34" s="705" t="s">
        <v>14</v>
      </c>
      <c r="W34" s="706" t="e">
        <f t="shared" si="12"/>
        <v>#N/A</v>
      </c>
      <c r="X34" s="1349"/>
      <c r="Y34" s="3776"/>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776"/>
      <c r="Q35" s="1346" t="str">
        <f t="shared" ref="Q35:Q40" si="14">B35</f>
        <v>宗地形状</v>
      </c>
      <c r="R35" s="705" t="s">
        <v>14</v>
      </c>
      <c r="S35" s="706">
        <f t="shared" si="10"/>
        <v>100</v>
      </c>
      <c r="T35" s="705" t="s">
        <v>14</v>
      </c>
      <c r="U35" s="706">
        <f t="shared" si="11"/>
        <v>100</v>
      </c>
      <c r="V35" s="705" t="s">
        <v>14</v>
      </c>
      <c r="W35" s="706">
        <f t="shared" si="12"/>
        <v>100</v>
      </c>
      <c r="X35" s="1349"/>
      <c r="Y35" s="3776"/>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776"/>
      <c r="Q36" s="1346" t="str">
        <f t="shared" si="14"/>
        <v>宗地开发程度</v>
      </c>
      <c r="R36" s="701" t="s">
        <v>14</v>
      </c>
      <c r="S36" s="702">
        <f t="shared" si="10"/>
        <v>100</v>
      </c>
      <c r="T36" s="701" t="s">
        <v>14</v>
      </c>
      <c r="U36" s="702">
        <f t="shared" si="11"/>
        <v>100</v>
      </c>
      <c r="V36" s="701" t="s">
        <v>14</v>
      </c>
      <c r="W36" s="702">
        <f t="shared" si="12"/>
        <v>100</v>
      </c>
      <c r="X36" s="703"/>
      <c r="Y36" s="3776"/>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776" t="s">
        <v>1696</v>
      </c>
      <c r="Q37" s="1346" t="str">
        <f t="shared" si="14"/>
        <v>工程地质条件</v>
      </c>
      <c r="R37" s="705" t="s">
        <v>14</v>
      </c>
      <c r="S37" s="706">
        <f t="shared" si="10"/>
        <v>100</v>
      </c>
      <c r="T37" s="705" t="s">
        <v>14</v>
      </c>
      <c r="U37" s="706">
        <f t="shared" si="11"/>
        <v>100</v>
      </c>
      <c r="V37" s="705" t="s">
        <v>14</v>
      </c>
      <c r="W37" s="706">
        <f t="shared" si="12"/>
        <v>100</v>
      </c>
      <c r="X37" s="1349"/>
      <c r="Y37" s="3776"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776"/>
      <c r="Q38" s="1346">
        <f t="shared" si="14"/>
        <v>111</v>
      </c>
      <c r="R38" s="705" t="s">
        <v>14</v>
      </c>
      <c r="S38" s="706">
        <f t="shared" si="10"/>
        <v>100</v>
      </c>
      <c r="T38" s="705" t="s">
        <v>14</v>
      </c>
      <c r="U38" s="706">
        <f t="shared" si="11"/>
        <v>100</v>
      </c>
      <c r="V38" s="705" t="s">
        <v>14</v>
      </c>
      <c r="W38" s="706">
        <f t="shared" si="12"/>
        <v>100</v>
      </c>
      <c r="X38" s="1349"/>
      <c r="Y38" s="3776"/>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776"/>
      <c r="Q39" s="1346">
        <f t="shared" si="14"/>
        <v>111</v>
      </c>
      <c r="R39" s="705" t="s">
        <v>14</v>
      </c>
      <c r="S39" s="706">
        <f t="shared" si="10"/>
        <v>100</v>
      </c>
      <c r="T39" s="705" t="s">
        <v>14</v>
      </c>
      <c r="U39" s="706">
        <f t="shared" si="11"/>
        <v>100</v>
      </c>
      <c r="V39" s="705" t="s">
        <v>14</v>
      </c>
      <c r="W39" s="706">
        <f t="shared" si="12"/>
        <v>100</v>
      </c>
      <c r="X39" s="1349"/>
      <c r="Y39" s="3776"/>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776"/>
      <c r="Q40" s="1346">
        <f t="shared" si="14"/>
        <v>111</v>
      </c>
      <c r="R40" s="708" t="s">
        <v>14</v>
      </c>
      <c r="S40" s="709">
        <f t="shared" si="10"/>
        <v>100</v>
      </c>
      <c r="T40" s="708" t="s">
        <v>14</v>
      </c>
      <c r="U40" s="709">
        <f t="shared" si="11"/>
        <v>100</v>
      </c>
      <c r="V40" s="708" t="s">
        <v>14</v>
      </c>
      <c r="W40" s="709">
        <f t="shared" si="12"/>
        <v>100</v>
      </c>
      <c r="X40" s="710"/>
      <c r="Y40" s="3776"/>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72" t="str">
        <f>A41</f>
        <v>成交单价</v>
      </c>
      <c r="Q41" s="3772"/>
      <c r="R41" s="3777">
        <f>E41</f>
        <v>0</v>
      </c>
      <c r="S41" s="3777"/>
      <c r="T41" s="3777">
        <f>G41</f>
        <v>0</v>
      </c>
      <c r="U41" s="3777"/>
      <c r="V41" s="3777">
        <f>I41</f>
        <v>0</v>
      </c>
      <c r="W41" s="3777"/>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72" t="str">
        <f>A42</f>
        <v>比较价值（元/平方米）</v>
      </c>
      <c r="Q42" s="3772"/>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766" t="str">
        <f>A43</f>
        <v>估价对象XX用房的比较价值（楼面单价，元/平方米）</v>
      </c>
      <c r="Q43" s="3767"/>
      <c r="R43" s="3768" t="e">
        <f>ROUND(IF(D42="简单平均",AVERAGE(R42:W42),R42*F42+T42*H42+V42*J42),0)</f>
        <v>#DIV/0!</v>
      </c>
      <c r="S43" s="3768"/>
      <c r="T43" s="3768"/>
      <c r="U43" s="3768"/>
      <c r="V43" s="3768"/>
      <c r="W43" s="3768"/>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69" t="s">
        <v>1887</v>
      </c>
      <c r="H50" s="3770"/>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34690.01</v>
      </c>
      <c r="F51" s="639" t="e">
        <f t="shared" ref="F51:F60" si="15">ROUND(B51*E51/10000,0)</f>
        <v>#DIV/0!</v>
      </c>
      <c r="G51" s="3771"/>
      <c r="H51" s="3772"/>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0</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2024-2</v>
      </c>
      <c r="D65" s="1176" t="str">
        <f t="shared" ref="D65:O65" si="19">YEAR(D63)&amp;"-"&amp;ROUNDUP(MONTH(D63)/3,0)</f>
        <v>2024-1</v>
      </c>
      <c r="E65" s="1176" t="str">
        <f t="shared" si="19"/>
        <v>2023-4</v>
      </c>
      <c r="F65" s="1176" t="str">
        <f t="shared" si="19"/>
        <v>2023-3</v>
      </c>
      <c r="G65" s="1176" t="str">
        <f t="shared" si="19"/>
        <v>2023-2</v>
      </c>
      <c r="H65" s="1176" t="str">
        <f t="shared" si="19"/>
        <v>2023-1</v>
      </c>
      <c r="I65" s="1176" t="str">
        <f t="shared" si="19"/>
        <v>2022-4</v>
      </c>
      <c r="J65" s="1176" t="str">
        <f t="shared" si="19"/>
        <v>2022-3</v>
      </c>
      <c r="K65" s="1176" t="str">
        <f t="shared" si="19"/>
        <v>2022-2</v>
      </c>
      <c r="L65" s="1176" t="str">
        <f t="shared" si="19"/>
        <v>2022-1</v>
      </c>
      <c r="M65" s="1176" t="str">
        <f t="shared" si="19"/>
        <v>2021-4</v>
      </c>
      <c r="N65" s="1176" t="str">
        <f t="shared" si="19"/>
        <v>2021-3</v>
      </c>
      <c r="O65" s="1176" t="str">
        <f t="shared" si="19"/>
        <v>2021-2</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85" t="s">
        <v>2084</v>
      </c>
      <c r="D1" s="3886"/>
      <c r="E1" s="3886"/>
      <c r="F1" s="3886"/>
      <c r="G1" s="3886"/>
      <c r="H1" s="3886"/>
      <c r="I1" s="3886"/>
      <c r="J1" s="3886"/>
      <c r="K1" s="3886"/>
      <c r="L1" s="3886"/>
      <c r="M1" s="3886"/>
      <c r="N1" s="3886"/>
      <c r="O1" s="3886"/>
      <c r="P1" s="3886"/>
      <c r="Q1" s="3886"/>
      <c r="R1" s="3886"/>
      <c r="S1" s="3887"/>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2" t="s">
        <v>27</v>
      </c>
      <c r="D22" s="3883"/>
      <c r="E22" s="3883"/>
      <c r="F22" s="3883"/>
      <c r="G22" s="3883"/>
      <c r="H22" s="3883"/>
      <c r="I22" s="3883"/>
      <c r="J22" s="3883"/>
      <c r="K22" s="3883"/>
      <c r="L22" s="3883"/>
      <c r="M22" s="3883"/>
      <c r="N22" s="3883"/>
      <c r="O22" s="3883"/>
      <c r="P22" s="3883"/>
      <c r="Q22" s="38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4"/>
      <c r="C2" s="3584"/>
      <c r="D2" s="3584"/>
      <c r="E2" s="3584"/>
    </row>
    <row r="3" spans="1:5" ht="18">
      <c r="A3" s="3585" t="str">
        <f>IF(项目基本情况!B9="房地产市场价值","估价结果一览表（市场价值不需“结果表-1”）","估价结果一览表")</f>
        <v>估价结果一览表</v>
      </c>
      <c r="B3" s="3585"/>
      <c r="C3" s="3585"/>
      <c r="D3" s="3585"/>
      <c r="E3" s="3585"/>
    </row>
    <row r="4" spans="1:5" ht="19.5" thickBot="1">
      <c r="A4" s="1487"/>
      <c r="B4" s="3583" t="s">
        <v>917</v>
      </c>
      <c r="C4" s="3583"/>
      <c r="D4" s="3583"/>
      <c r="E4" s="1487"/>
    </row>
    <row r="5" spans="1:5" ht="16.5" thickTop="1">
      <c r="A5" s="1485"/>
      <c r="B5" s="3581" t="s">
        <v>909</v>
      </c>
      <c r="C5" s="1488" t="s">
        <v>910</v>
      </c>
      <c r="D5" s="845">
        <f ca="1">结果表!H101</f>
        <v>87324</v>
      </c>
      <c r="E5" s="1485"/>
    </row>
    <row r="6" spans="1:5" ht="15.75">
      <c r="A6" s="1485"/>
      <c r="B6" s="3581"/>
      <c r="C6" s="1488" t="s">
        <v>911</v>
      </c>
      <c r="D6" s="845" t="str">
        <f ca="1">NUMBERSTRING(INT(D5*10000),2)&amp;"元整"</f>
        <v>捌亿柒仟叁佰贰拾肆万元整</v>
      </c>
      <c r="E6" s="1485"/>
    </row>
    <row r="7" spans="1:5" ht="15.75">
      <c r="A7" s="1485"/>
      <c r="B7" s="3586"/>
      <c r="C7" s="1489" t="s">
        <v>912</v>
      </c>
      <c r="D7" s="846">
        <f ca="1">结果表!H102</f>
        <v>25173</v>
      </c>
      <c r="E7" s="1485"/>
    </row>
    <row r="8" spans="1:5" ht="15.75">
      <c r="A8" s="1485"/>
      <c r="B8" s="3587" t="str">
        <f>结果表!E103</f>
        <v>2.估价师知悉的法定优先受偿款</v>
      </c>
      <c r="C8" s="1490" t="s">
        <v>913</v>
      </c>
      <c r="D8" s="846">
        <f>结果表!H103</f>
        <v>0</v>
      </c>
      <c r="E8" s="1485"/>
    </row>
    <row r="9" spans="1:5" ht="15.75">
      <c r="A9" s="1485"/>
      <c r="B9" s="3589"/>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580" t="str">
        <f>结果表!E107</f>
        <v>3.房地产抵押价值</v>
      </c>
      <c r="C13" s="1493" t="s">
        <v>910</v>
      </c>
      <c r="D13" s="848">
        <f ca="1">结果表!H107</f>
        <v>87324</v>
      </c>
      <c r="E13" s="1485"/>
    </row>
    <row r="14" spans="1:5" ht="15.75">
      <c r="A14" s="1485"/>
      <c r="B14" s="3581"/>
      <c r="C14" s="1488" t="s">
        <v>911</v>
      </c>
      <c r="D14" s="845" t="str">
        <f ca="1">NUMBERSTRING(INT(D13*10000),2)&amp;"元整"</f>
        <v>捌亿柒仟叁佰贰拾肆万元整</v>
      </c>
      <c r="E14" s="1485"/>
    </row>
    <row r="15" spans="1:5" ht="15">
      <c r="A15" s="1485"/>
      <c r="B15" s="3586"/>
      <c r="C15" s="1489" t="s">
        <v>921</v>
      </c>
      <c r="D15" s="854">
        <f ca="1">结果表!H108</f>
        <v>25173</v>
      </c>
      <c r="E15" s="1485"/>
    </row>
    <row r="16" spans="1:5" ht="15">
      <c r="A16" s="1485"/>
      <c r="B16" s="3587" t="str">
        <f>结果表!E109</f>
        <v>——</v>
      </c>
      <c r="C16" s="1493" t="s">
        <v>922</v>
      </c>
      <c r="D16" s="1494" t="str">
        <f>结果表!H109</f>
        <v>——</v>
      </c>
      <c r="E16" s="1485"/>
    </row>
    <row r="17" spans="1:5" ht="15.75">
      <c r="A17" s="1485"/>
      <c r="B17" s="3588"/>
      <c r="C17" s="1488" t="s">
        <v>923</v>
      </c>
      <c r="D17" s="845" t="e">
        <f>NUMBERSTRING(INT(D16*10000),2)&amp;"元整"</f>
        <v>#VALUE!</v>
      </c>
      <c r="E17" s="1485"/>
    </row>
    <row r="18" spans="1:5" ht="15">
      <c r="A18" s="1485"/>
      <c r="B18" s="3589"/>
      <c r="C18" s="1489" t="s">
        <v>912</v>
      </c>
      <c r="D18" s="854" t="str">
        <f>结果表!H110</f>
        <v>——</v>
      </c>
      <c r="E18" s="1485"/>
    </row>
    <row r="19" spans="1:5" ht="15.75">
      <c r="A19" s="1485"/>
      <c r="B19" s="3580" t="str">
        <f>结果表!E111</f>
        <v>4.抵押净值</v>
      </c>
      <c r="C19" s="1493" t="s">
        <v>910</v>
      </c>
      <c r="D19" s="846">
        <f ca="1">结果表!H111</f>
        <v>79988</v>
      </c>
      <c r="E19" s="1485"/>
    </row>
    <row r="20" spans="1:5" ht="15.75">
      <c r="A20" s="1485"/>
      <c r="B20" s="3581"/>
      <c r="C20" s="1488" t="s">
        <v>923</v>
      </c>
      <c r="D20" s="845" t="str">
        <f ca="1">NUMBERSTRING(INT(D19*10000),2)&amp;"元整"</f>
        <v>柒亿玖仟玖佰捌拾捌万元整</v>
      </c>
      <c r="E20" s="1485"/>
    </row>
    <row r="21" spans="1:5" ht="15.75" thickBot="1">
      <c r="A21" s="1485"/>
      <c r="B21" s="3582"/>
      <c r="C21" s="1495" t="s">
        <v>921</v>
      </c>
      <c r="D21" s="855">
        <f ca="1">结果表!H112</f>
        <v>23058</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34690.01</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34690.01</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897" t="s">
        <v>2602</v>
      </c>
      <c r="B20" s="3892" t="s">
        <v>2623</v>
      </c>
      <c r="C20" s="3089" t="s">
        <v>2434</v>
      </c>
      <c r="D20" s="3090"/>
      <c r="E20" s="3091">
        <v>1</v>
      </c>
      <c r="F20" s="3092" t="s">
        <v>2435</v>
      </c>
      <c r="G20" s="3092"/>
    </row>
    <row r="21" spans="1:13" ht="19.5" customHeight="1">
      <c r="A21" s="3898"/>
      <c r="B21" s="3891"/>
      <c r="C21" s="3093" t="s">
        <v>2436</v>
      </c>
      <c r="D21" s="3094"/>
      <c r="E21" s="3095">
        <v>1</v>
      </c>
      <c r="F21" s="3092" t="s">
        <v>2437</v>
      </c>
      <c r="G21" s="3092"/>
    </row>
    <row r="22" spans="1:13" ht="19.5" customHeight="1">
      <c r="A22" s="3898"/>
      <c r="B22" s="3891"/>
      <c r="C22" s="3093" t="s">
        <v>2438</v>
      </c>
      <c r="D22" s="3094"/>
      <c r="E22" s="3095">
        <v>0.9</v>
      </c>
      <c r="F22" s="3092" t="s">
        <v>2439</v>
      </c>
      <c r="G22" s="3092"/>
    </row>
    <row r="23" spans="1:13" ht="19.5" customHeight="1">
      <c r="A23" s="3898"/>
      <c r="B23" s="3891"/>
      <c r="C23" s="3093" t="s">
        <v>2440</v>
      </c>
      <c r="D23" s="3094"/>
      <c r="E23" s="3095">
        <v>0.9</v>
      </c>
      <c r="F23" s="3092" t="s">
        <v>2441</v>
      </c>
      <c r="G23" s="3092"/>
    </row>
    <row r="24" spans="1:13" ht="19.5" customHeight="1">
      <c r="A24" s="3898"/>
      <c r="B24" s="3891"/>
      <c r="C24" s="3093" t="s">
        <v>2442</v>
      </c>
      <c r="D24" s="3094"/>
      <c r="E24" s="3095">
        <v>0.8</v>
      </c>
      <c r="F24" s="3092" t="s">
        <v>2443</v>
      </c>
      <c r="G24" s="3092"/>
    </row>
    <row r="25" spans="1:13" ht="19.5" customHeight="1" thickBot="1">
      <c r="A25" s="3899"/>
      <c r="B25" s="3893"/>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894" t="s">
        <v>2626</v>
      </c>
      <c r="B27" s="3892" t="s">
        <v>2607</v>
      </c>
      <c r="C27" s="3089" t="s">
        <v>2447</v>
      </c>
      <c r="D27" s="3090"/>
      <c r="E27" s="3091">
        <v>1</v>
      </c>
      <c r="F27" s="3092" t="s">
        <v>2448</v>
      </c>
      <c r="G27" s="3092"/>
    </row>
    <row r="28" spans="1:13" ht="19.5" customHeight="1">
      <c r="A28" s="3895"/>
      <c r="B28" s="3891"/>
      <c r="C28" s="3093" t="s">
        <v>2449</v>
      </c>
      <c r="D28" s="3094"/>
      <c r="E28" s="3095">
        <v>1</v>
      </c>
      <c r="F28" s="3092" t="s">
        <v>2450</v>
      </c>
      <c r="G28" s="3092"/>
    </row>
    <row r="29" spans="1:13" ht="19.5" customHeight="1">
      <c r="A29" s="3895"/>
      <c r="B29" s="3891"/>
      <c r="C29" s="3093" t="s">
        <v>2451</v>
      </c>
      <c r="D29" s="3094"/>
      <c r="E29" s="3095">
        <v>0.8</v>
      </c>
      <c r="F29" s="3092" t="s">
        <v>2452</v>
      </c>
      <c r="G29" s="3092"/>
    </row>
    <row r="30" spans="1:13" ht="19.5" customHeight="1">
      <c r="A30" s="3895"/>
      <c r="B30" s="3891"/>
      <c r="C30" s="3093" t="s">
        <v>2453</v>
      </c>
      <c r="D30" s="3094"/>
      <c r="E30" s="3095">
        <v>0.8</v>
      </c>
      <c r="F30" s="3092" t="s">
        <v>2454</v>
      </c>
      <c r="G30" s="3092"/>
    </row>
    <row r="31" spans="1:13" ht="19.5" customHeight="1">
      <c r="A31" s="3895"/>
      <c r="B31" s="3891"/>
      <c r="C31" s="3093" t="s">
        <v>2455</v>
      </c>
      <c r="D31" s="3094"/>
      <c r="E31" s="3095">
        <v>0.8</v>
      </c>
      <c r="F31" s="3092" t="s">
        <v>2456</v>
      </c>
      <c r="G31" s="3092"/>
    </row>
    <row r="32" spans="1:13" ht="19.5" customHeight="1">
      <c r="A32" s="3895"/>
      <c r="B32" s="3891"/>
      <c r="C32" s="3093" t="s">
        <v>2457</v>
      </c>
      <c r="D32" s="3094"/>
      <c r="E32" s="3095">
        <v>0.7</v>
      </c>
      <c r="F32" s="3092" t="s">
        <v>2458</v>
      </c>
      <c r="G32" s="3092"/>
    </row>
    <row r="33" spans="1:7" ht="19.5" customHeight="1">
      <c r="A33" s="3895"/>
      <c r="B33" s="3891"/>
      <c r="C33" s="3093" t="s">
        <v>2459</v>
      </c>
      <c r="D33" s="3094"/>
      <c r="E33" s="3095">
        <v>0.8</v>
      </c>
      <c r="F33" s="3092" t="s">
        <v>2460</v>
      </c>
      <c r="G33" s="3092"/>
    </row>
    <row r="34" spans="1:7" ht="19.5" customHeight="1">
      <c r="A34" s="3895"/>
      <c r="B34" s="3891"/>
      <c r="C34" s="3093" t="s">
        <v>2461</v>
      </c>
      <c r="D34" s="3094"/>
      <c r="E34" s="3095">
        <v>0.6</v>
      </c>
      <c r="F34" s="3092" t="s">
        <v>2462</v>
      </c>
      <c r="G34" s="3092"/>
    </row>
    <row r="35" spans="1:7" ht="19.5" customHeight="1">
      <c r="A35" s="3895"/>
      <c r="B35" s="3891"/>
      <c r="C35" s="3093" t="s">
        <v>2463</v>
      </c>
      <c r="D35" s="3094"/>
      <c r="E35" s="3095">
        <v>0.2</v>
      </c>
      <c r="F35" s="3092" t="s">
        <v>2464</v>
      </c>
      <c r="G35" s="3092"/>
    </row>
    <row r="36" spans="1:7" ht="19.5" customHeight="1">
      <c r="A36" s="3895"/>
      <c r="B36" s="3891"/>
      <c r="C36" s="3093" t="s">
        <v>2465</v>
      </c>
      <c r="D36" s="3094"/>
      <c r="E36" s="3095">
        <v>0.2</v>
      </c>
      <c r="F36" s="3092" t="s">
        <v>2466</v>
      </c>
      <c r="G36" s="3092"/>
    </row>
    <row r="37" spans="1:7" ht="19.5" customHeight="1">
      <c r="A37" s="3895"/>
      <c r="B37" s="3889" t="s">
        <v>2627</v>
      </c>
      <c r="C37" s="3093" t="s">
        <v>2467</v>
      </c>
      <c r="D37" s="3094"/>
      <c r="E37" s="3095">
        <v>0.6</v>
      </c>
      <c r="F37" s="3092" t="s">
        <v>2468</v>
      </c>
      <c r="G37" s="3092"/>
    </row>
    <row r="38" spans="1:7" ht="19.5" customHeight="1">
      <c r="A38" s="3895"/>
      <c r="B38" s="3891"/>
      <c r="C38" s="3093" t="s">
        <v>2469</v>
      </c>
      <c r="D38" s="3094"/>
      <c r="E38" s="3095">
        <v>0.6</v>
      </c>
      <c r="F38" s="3092" t="s">
        <v>2470</v>
      </c>
      <c r="G38" s="3092"/>
    </row>
    <row r="39" spans="1:7" ht="19.5" customHeight="1" thickBot="1">
      <c r="A39" s="3896"/>
      <c r="B39" s="3893"/>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897" t="s">
        <v>2605</v>
      </c>
      <c r="B41" s="3892" t="s">
        <v>2629</v>
      </c>
      <c r="C41" s="3089" t="s">
        <v>2474</v>
      </c>
      <c r="D41" s="3090"/>
      <c r="E41" s="3091">
        <v>1</v>
      </c>
      <c r="F41" s="3092" t="s">
        <v>2475</v>
      </c>
      <c r="G41" s="3092"/>
    </row>
    <row r="42" spans="1:7" ht="19.5" customHeight="1">
      <c r="A42" s="3898"/>
      <c r="B42" s="3891"/>
      <c r="C42" s="3093" t="s">
        <v>2476</v>
      </c>
      <c r="D42" s="3094"/>
      <c r="E42" s="3095">
        <v>1</v>
      </c>
      <c r="F42" s="3092" t="s">
        <v>2477</v>
      </c>
      <c r="G42" s="3092"/>
    </row>
    <row r="43" spans="1:7" ht="19.5" customHeight="1">
      <c r="A43" s="3898"/>
      <c r="B43" s="3890"/>
      <c r="C43" s="3093" t="s">
        <v>2478</v>
      </c>
      <c r="D43" s="3094"/>
      <c r="E43" s="3095">
        <v>1.5</v>
      </c>
      <c r="F43" s="3092" t="s">
        <v>2479</v>
      </c>
      <c r="G43" s="3092"/>
    </row>
    <row r="44" spans="1:7" ht="19.5" customHeight="1">
      <c r="A44" s="3898"/>
      <c r="B44" s="3104" t="s">
        <v>2630</v>
      </c>
      <c r="C44" s="3093" t="s">
        <v>2631</v>
      </c>
      <c r="D44" s="3094"/>
      <c r="E44" s="3095">
        <v>2</v>
      </c>
      <c r="F44" s="3092" t="s">
        <v>2480</v>
      </c>
      <c r="G44" s="3092"/>
    </row>
    <row r="45" spans="1:7" ht="19.5" customHeight="1">
      <c r="A45" s="3898"/>
      <c r="B45" s="3889" t="s">
        <v>2632</v>
      </c>
      <c r="C45" s="3093" t="s">
        <v>2481</v>
      </c>
      <c r="D45" s="3094"/>
      <c r="E45" s="3095">
        <v>1</v>
      </c>
      <c r="F45" s="3092" t="s">
        <v>2482</v>
      </c>
      <c r="G45" s="3092"/>
    </row>
    <row r="46" spans="1:7" ht="19.5" customHeight="1">
      <c r="A46" s="3898"/>
      <c r="B46" s="3891"/>
      <c r="C46" s="3093" t="s">
        <v>2483</v>
      </c>
      <c r="D46" s="3094"/>
      <c r="E46" s="3095">
        <v>1</v>
      </c>
      <c r="F46" s="3092" t="s">
        <v>2484</v>
      </c>
      <c r="G46" s="3092"/>
    </row>
    <row r="47" spans="1:7" ht="19.5" customHeight="1">
      <c r="A47" s="3898"/>
      <c r="B47" s="3891"/>
      <c r="C47" s="3093" t="s">
        <v>2485</v>
      </c>
      <c r="D47" s="3094"/>
      <c r="E47" s="3095">
        <v>1</v>
      </c>
      <c r="F47" s="3092" t="s">
        <v>2486</v>
      </c>
      <c r="G47" s="3092"/>
    </row>
    <row r="48" spans="1:7" ht="19.5" customHeight="1">
      <c r="A48" s="3898"/>
      <c r="B48" s="3891"/>
      <c r="C48" s="3093" t="s">
        <v>2487</v>
      </c>
      <c r="D48" s="3094"/>
      <c r="E48" s="3095">
        <v>1</v>
      </c>
      <c r="F48" s="3092" t="s">
        <v>2488</v>
      </c>
      <c r="G48" s="3092"/>
    </row>
    <row r="49" spans="1:7" ht="19.5" customHeight="1">
      <c r="A49" s="3898"/>
      <c r="B49" s="3891"/>
      <c r="C49" s="3093" t="s">
        <v>2489</v>
      </c>
      <c r="D49" s="3094"/>
      <c r="E49" s="3095">
        <v>1</v>
      </c>
      <c r="F49" s="3092" t="s">
        <v>2490</v>
      </c>
      <c r="G49" s="3092"/>
    </row>
    <row r="50" spans="1:7" ht="19.5" customHeight="1">
      <c r="A50" s="3898"/>
      <c r="B50" s="3891"/>
      <c r="C50" s="3093" t="s">
        <v>2491</v>
      </c>
      <c r="D50" s="3094"/>
      <c r="E50" s="3095">
        <v>1</v>
      </c>
      <c r="F50" s="3092" t="s">
        <v>2492</v>
      </c>
      <c r="G50" s="3092"/>
    </row>
    <row r="51" spans="1:7" ht="19.5" customHeight="1" thickBot="1">
      <c r="A51" s="3899"/>
      <c r="B51" s="3893"/>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889" t="s">
        <v>2646</v>
      </c>
      <c r="C73" s="3078" t="s">
        <v>2647</v>
      </c>
      <c r="D73" s="3078" t="s">
        <v>2648</v>
      </c>
      <c r="E73" s="3104">
        <v>0.2</v>
      </c>
      <c r="F73" s="3104">
        <v>25</v>
      </c>
    </row>
    <row r="74" spans="1:7" ht="24">
      <c r="A74" s="3104">
        <v>2</v>
      </c>
      <c r="B74" s="3891"/>
      <c r="C74" s="3078" t="s">
        <v>2649</v>
      </c>
      <c r="D74" s="3078" t="s">
        <v>2650</v>
      </c>
      <c r="E74" s="3104">
        <v>0.2</v>
      </c>
      <c r="F74" s="3104">
        <v>25</v>
      </c>
    </row>
    <row r="75" spans="1:7" ht="24">
      <c r="A75" s="3104">
        <v>3</v>
      </c>
      <c r="B75" s="3891"/>
      <c r="C75" s="3078" t="s">
        <v>2651</v>
      </c>
      <c r="D75" s="3078" t="s">
        <v>2652</v>
      </c>
      <c r="E75" s="3104">
        <v>0.2</v>
      </c>
      <c r="F75" s="3104">
        <v>25</v>
      </c>
    </row>
    <row r="76" spans="1:7" ht="13.5">
      <c r="A76" s="3104">
        <v>4</v>
      </c>
      <c r="B76" s="3891"/>
      <c r="C76" s="3078" t="s">
        <v>2653</v>
      </c>
      <c r="D76" s="3078" t="s">
        <v>2654</v>
      </c>
      <c r="E76" s="3104">
        <v>0.15</v>
      </c>
      <c r="F76" s="3104">
        <v>20</v>
      </c>
    </row>
    <row r="77" spans="1:7" ht="24">
      <c r="A77" s="3104">
        <v>5</v>
      </c>
      <c r="B77" s="3891"/>
      <c r="C77" s="3078" t="s">
        <v>2655</v>
      </c>
      <c r="D77" s="3078" t="s">
        <v>2656</v>
      </c>
      <c r="E77" s="3104">
        <v>0.15</v>
      </c>
      <c r="F77" s="3104">
        <v>20</v>
      </c>
    </row>
    <row r="78" spans="1:7" ht="24">
      <c r="A78" s="3104">
        <v>6</v>
      </c>
      <c r="B78" s="3891"/>
      <c r="C78" s="3078" t="s">
        <v>2657</v>
      </c>
      <c r="D78" s="3078" t="s">
        <v>2658</v>
      </c>
      <c r="E78" s="3104">
        <v>0.15</v>
      </c>
      <c r="F78" s="3104">
        <v>20</v>
      </c>
    </row>
    <row r="79" spans="1:7" ht="24">
      <c r="A79" s="3104">
        <v>7</v>
      </c>
      <c r="B79" s="3891"/>
      <c r="C79" s="3078" t="s">
        <v>2659</v>
      </c>
      <c r="D79" s="3078" t="s">
        <v>2660</v>
      </c>
      <c r="E79" s="3104">
        <v>0.15</v>
      </c>
      <c r="F79" s="3104">
        <v>20</v>
      </c>
    </row>
    <row r="80" spans="1:7" ht="24">
      <c r="A80" s="3104">
        <v>8</v>
      </c>
      <c r="B80" s="3891"/>
      <c r="C80" s="3078" t="s">
        <v>2661</v>
      </c>
      <c r="D80" s="3078" t="s">
        <v>2662</v>
      </c>
      <c r="E80" s="3104">
        <v>0.1</v>
      </c>
      <c r="F80" s="3104">
        <v>15</v>
      </c>
    </row>
    <row r="81" spans="1:6" ht="24">
      <c r="A81" s="3104">
        <v>9</v>
      </c>
      <c r="B81" s="3891"/>
      <c r="C81" s="3078" t="s">
        <v>2663</v>
      </c>
      <c r="D81" s="3078" t="s">
        <v>2664</v>
      </c>
      <c r="E81" s="3104">
        <v>0.1</v>
      </c>
      <c r="F81" s="3104">
        <v>15</v>
      </c>
    </row>
    <row r="82" spans="1:6" ht="24">
      <c r="A82" s="3104">
        <v>10</v>
      </c>
      <c r="B82" s="3891"/>
      <c r="C82" s="3078" t="s">
        <v>2665</v>
      </c>
      <c r="D82" s="3078" t="s">
        <v>2666</v>
      </c>
      <c r="E82" s="3104">
        <v>0.1</v>
      </c>
      <c r="F82" s="3104">
        <v>15</v>
      </c>
    </row>
    <row r="83" spans="1:6" ht="24">
      <c r="A83" s="3104">
        <v>11</v>
      </c>
      <c r="B83" s="3891"/>
      <c r="C83" s="3078" t="s">
        <v>2667</v>
      </c>
      <c r="D83" s="3078" t="s">
        <v>2668</v>
      </c>
      <c r="E83" s="3104">
        <v>0.1</v>
      </c>
      <c r="F83" s="3104">
        <v>15</v>
      </c>
    </row>
    <row r="84" spans="1:6" ht="24">
      <c r="A84" s="3104">
        <v>12</v>
      </c>
      <c r="B84" s="3891"/>
      <c r="C84" s="3078" t="s">
        <v>2669</v>
      </c>
      <c r="D84" s="3078" t="s">
        <v>2670</v>
      </c>
      <c r="E84" s="3104">
        <v>0.1</v>
      </c>
      <c r="F84" s="3104">
        <v>15</v>
      </c>
    </row>
    <row r="85" spans="1:6" ht="13.5">
      <c r="A85" s="3104">
        <v>13</v>
      </c>
      <c r="B85" s="3891"/>
      <c r="C85" s="3078" t="s">
        <v>2671</v>
      </c>
      <c r="D85" s="3078" t="s">
        <v>2672</v>
      </c>
      <c r="E85" s="3104">
        <v>0.1</v>
      </c>
      <c r="F85" s="3104">
        <v>15</v>
      </c>
    </row>
    <row r="86" spans="1:6" ht="13.5">
      <c r="A86" s="3104">
        <v>14</v>
      </c>
      <c r="B86" s="3891"/>
      <c r="C86" s="3078" t="s">
        <v>2673</v>
      </c>
      <c r="D86" s="3078" t="s">
        <v>2674</v>
      </c>
      <c r="E86" s="3104">
        <v>0.1</v>
      </c>
      <c r="F86" s="3104">
        <v>15</v>
      </c>
    </row>
    <row r="87" spans="1:6" ht="13.5">
      <c r="A87" s="3104">
        <v>15</v>
      </c>
      <c r="B87" s="3891"/>
      <c r="C87" s="3078" t="s">
        <v>2675</v>
      </c>
      <c r="D87" s="3078" t="s">
        <v>2676</v>
      </c>
      <c r="E87" s="3104">
        <v>0.1</v>
      </c>
      <c r="F87" s="3104">
        <v>15</v>
      </c>
    </row>
    <row r="88" spans="1:6" ht="24">
      <c r="A88" s="3104">
        <v>16</v>
      </c>
      <c r="B88" s="3891"/>
      <c r="C88" s="3078" t="s">
        <v>2677</v>
      </c>
      <c r="D88" s="3078" t="s">
        <v>2678</v>
      </c>
      <c r="E88" s="3104">
        <v>0.1</v>
      </c>
      <c r="F88" s="3104">
        <v>15</v>
      </c>
    </row>
    <row r="89" spans="1:6" ht="24">
      <c r="A89" s="3104">
        <v>17</v>
      </c>
      <c r="B89" s="3890"/>
      <c r="C89" s="3078" t="s">
        <v>2679</v>
      </c>
      <c r="D89" s="3078" t="s">
        <v>2680</v>
      </c>
      <c r="E89" s="3104">
        <v>0.1</v>
      </c>
      <c r="F89" s="3104">
        <v>15</v>
      </c>
    </row>
    <row r="90" spans="1:6" ht="13.5">
      <c r="A90" s="3104">
        <v>18</v>
      </c>
      <c r="B90" s="3889" t="s">
        <v>2681</v>
      </c>
      <c r="C90" s="3078" t="s">
        <v>2682</v>
      </c>
      <c r="D90" s="3078" t="s">
        <v>2683</v>
      </c>
      <c r="E90" s="3104">
        <v>0.2</v>
      </c>
      <c r="F90" s="3104">
        <v>25</v>
      </c>
    </row>
    <row r="91" spans="1:6" ht="24">
      <c r="A91" s="3104">
        <v>19</v>
      </c>
      <c r="B91" s="3891"/>
      <c r="C91" s="3078" t="s">
        <v>2684</v>
      </c>
      <c r="D91" s="3078" t="s">
        <v>2685</v>
      </c>
      <c r="E91" s="3104">
        <v>0.2</v>
      </c>
      <c r="F91" s="3104">
        <v>25</v>
      </c>
    </row>
    <row r="92" spans="1:6" ht="13.5">
      <c r="A92" s="3104">
        <v>20</v>
      </c>
      <c r="B92" s="3891"/>
      <c r="C92" s="3078" t="s">
        <v>2686</v>
      </c>
      <c r="D92" s="3078" t="s">
        <v>2687</v>
      </c>
      <c r="E92" s="3104">
        <v>0.15</v>
      </c>
      <c r="F92" s="3104">
        <v>20</v>
      </c>
    </row>
    <row r="93" spans="1:6" ht="13.5">
      <c r="A93" s="3104">
        <v>21</v>
      </c>
      <c r="B93" s="3891"/>
      <c r="C93" s="3078" t="s">
        <v>2688</v>
      </c>
      <c r="D93" s="3078" t="s">
        <v>2689</v>
      </c>
      <c r="E93" s="3104">
        <v>0.15</v>
      </c>
      <c r="F93" s="3104">
        <v>20</v>
      </c>
    </row>
    <row r="94" spans="1:6" ht="13.5">
      <c r="A94" s="3104">
        <v>22</v>
      </c>
      <c r="B94" s="3891"/>
      <c r="C94" s="3078" t="s">
        <v>2690</v>
      </c>
      <c r="D94" s="3078" t="s">
        <v>2691</v>
      </c>
      <c r="E94" s="3104">
        <v>0.15</v>
      </c>
      <c r="F94" s="3104">
        <v>20</v>
      </c>
    </row>
    <row r="95" spans="1:6" ht="36">
      <c r="A95" s="3104">
        <v>23</v>
      </c>
      <c r="B95" s="3891"/>
      <c r="C95" s="3078" t="s">
        <v>2692</v>
      </c>
      <c r="D95" s="3078" t="s">
        <v>2693</v>
      </c>
      <c r="E95" s="3104">
        <v>0.15</v>
      </c>
      <c r="F95" s="3104">
        <v>20</v>
      </c>
    </row>
    <row r="96" spans="1:6" ht="13.5">
      <c r="A96" s="3104">
        <v>24</v>
      </c>
      <c r="B96" s="3891"/>
      <c r="C96" s="3078" t="s">
        <v>2694</v>
      </c>
      <c r="D96" s="3078" t="s">
        <v>2695</v>
      </c>
      <c r="E96" s="3104">
        <v>0.1</v>
      </c>
      <c r="F96" s="3104">
        <v>15</v>
      </c>
    </row>
    <row r="97" spans="1:6" ht="13.5">
      <c r="A97" s="3104">
        <v>25</v>
      </c>
      <c r="B97" s="3891"/>
      <c r="C97" s="3078" t="s">
        <v>2696</v>
      </c>
      <c r="D97" s="3078" t="s">
        <v>2697</v>
      </c>
      <c r="E97" s="3104">
        <v>0.1</v>
      </c>
      <c r="F97" s="3104">
        <v>15</v>
      </c>
    </row>
    <row r="98" spans="1:6" ht="24">
      <c r="A98" s="3104">
        <v>26</v>
      </c>
      <c r="B98" s="3891"/>
      <c r="C98" s="3078" t="s">
        <v>2698</v>
      </c>
      <c r="D98" s="3078" t="s">
        <v>2699</v>
      </c>
      <c r="E98" s="3104">
        <v>0.1</v>
      </c>
      <c r="F98" s="3104">
        <v>15</v>
      </c>
    </row>
    <row r="99" spans="1:6" ht="24">
      <c r="A99" s="3104">
        <v>27</v>
      </c>
      <c r="B99" s="3891"/>
      <c r="C99" s="3078" t="s">
        <v>2700</v>
      </c>
      <c r="D99" s="3078" t="s">
        <v>2701</v>
      </c>
      <c r="E99" s="3104">
        <v>0.1</v>
      </c>
      <c r="F99" s="3104">
        <v>15</v>
      </c>
    </row>
    <row r="100" spans="1:6" ht="13.5">
      <c r="A100" s="3104">
        <v>28</v>
      </c>
      <c r="B100" s="3891"/>
      <c r="C100" s="3078" t="s">
        <v>2702</v>
      </c>
      <c r="D100" s="3078" t="s">
        <v>2703</v>
      </c>
      <c r="E100" s="3104">
        <v>0.1</v>
      </c>
      <c r="F100" s="3104">
        <v>15</v>
      </c>
    </row>
    <row r="101" spans="1:6" ht="13.5">
      <c r="A101" s="3104">
        <v>29</v>
      </c>
      <c r="B101" s="3891"/>
      <c r="C101" s="3078" t="s">
        <v>2704</v>
      </c>
      <c r="D101" s="3078" t="s">
        <v>2705</v>
      </c>
      <c r="E101" s="3104">
        <v>0.1</v>
      </c>
      <c r="F101" s="3104">
        <v>15</v>
      </c>
    </row>
    <row r="102" spans="1:6" ht="13.5">
      <c r="A102" s="3104">
        <v>30</v>
      </c>
      <c r="B102" s="3891"/>
      <c r="C102" s="3078" t="s">
        <v>2706</v>
      </c>
      <c r="D102" s="3078" t="s">
        <v>2707</v>
      </c>
      <c r="E102" s="3104">
        <v>0.1</v>
      </c>
      <c r="F102" s="3104">
        <v>15</v>
      </c>
    </row>
    <row r="103" spans="1:6" ht="24">
      <c r="A103" s="3104">
        <v>31</v>
      </c>
      <c r="B103" s="3891"/>
      <c r="C103" s="3078" t="s">
        <v>2708</v>
      </c>
      <c r="D103" s="3078" t="s">
        <v>2709</v>
      </c>
      <c r="E103" s="3104">
        <v>0.1</v>
      </c>
      <c r="F103" s="3104">
        <v>15</v>
      </c>
    </row>
    <row r="104" spans="1:6" ht="24">
      <c r="A104" s="3104">
        <v>32</v>
      </c>
      <c r="B104" s="3891"/>
      <c r="C104" s="3078" t="s">
        <v>2710</v>
      </c>
      <c r="D104" s="3078" t="s">
        <v>2711</v>
      </c>
      <c r="E104" s="3104">
        <v>0.1</v>
      </c>
      <c r="F104" s="3104">
        <v>15</v>
      </c>
    </row>
    <row r="105" spans="1:6" ht="24">
      <c r="A105" s="3104">
        <v>33</v>
      </c>
      <c r="B105" s="3891"/>
      <c r="C105" s="3078" t="s">
        <v>2712</v>
      </c>
      <c r="D105" s="3078" t="s">
        <v>2713</v>
      </c>
      <c r="E105" s="3104">
        <v>0.1</v>
      </c>
      <c r="F105" s="3104">
        <v>15</v>
      </c>
    </row>
    <row r="106" spans="1:6" ht="24">
      <c r="A106" s="3104">
        <v>34</v>
      </c>
      <c r="B106" s="3890"/>
      <c r="C106" s="3078" t="s">
        <v>2714</v>
      </c>
      <c r="D106" s="3078" t="s">
        <v>2715</v>
      </c>
      <c r="E106" s="3104">
        <v>0.1</v>
      </c>
      <c r="F106" s="3104">
        <v>15</v>
      </c>
    </row>
    <row r="107" spans="1:6" ht="24">
      <c r="A107" s="3104">
        <v>35</v>
      </c>
      <c r="B107" s="3889" t="s">
        <v>2716</v>
      </c>
      <c r="C107" s="3104" t="s">
        <v>2717</v>
      </c>
      <c r="D107" s="3078" t="s">
        <v>2718</v>
      </c>
      <c r="E107" s="3104">
        <v>0.15</v>
      </c>
      <c r="F107" s="3104">
        <v>20</v>
      </c>
    </row>
    <row r="108" spans="1:6" ht="13.5">
      <c r="A108" s="3104">
        <v>36</v>
      </c>
      <c r="B108" s="3891"/>
      <c r="C108" s="3104" t="s">
        <v>2719</v>
      </c>
      <c r="D108" s="3078" t="s">
        <v>2720</v>
      </c>
      <c r="E108" s="3104">
        <v>0.15</v>
      </c>
      <c r="F108" s="3104">
        <v>20</v>
      </c>
    </row>
    <row r="109" spans="1:6" ht="13.5">
      <c r="A109" s="3104">
        <v>37</v>
      </c>
      <c r="B109" s="3891"/>
      <c r="C109" s="3104" t="s">
        <v>2721</v>
      </c>
      <c r="D109" s="3078" t="s">
        <v>2722</v>
      </c>
      <c r="E109" s="3104">
        <v>0.15</v>
      </c>
      <c r="F109" s="3104">
        <v>20</v>
      </c>
    </row>
    <row r="110" spans="1:6" ht="13.5">
      <c r="A110" s="3104">
        <v>38</v>
      </c>
      <c r="B110" s="3891"/>
      <c r="C110" s="3104" t="s">
        <v>2723</v>
      </c>
      <c r="D110" s="3078" t="s">
        <v>2724</v>
      </c>
      <c r="E110" s="3104">
        <v>0.1</v>
      </c>
      <c r="F110" s="3104">
        <v>15</v>
      </c>
    </row>
    <row r="111" spans="1:6" ht="24">
      <c r="A111" s="3104">
        <v>39</v>
      </c>
      <c r="B111" s="3891"/>
      <c r="C111" s="3104" t="s">
        <v>2725</v>
      </c>
      <c r="D111" s="3078" t="s">
        <v>2726</v>
      </c>
      <c r="E111" s="3104">
        <v>0.1</v>
      </c>
      <c r="F111" s="3104">
        <v>15</v>
      </c>
    </row>
    <row r="112" spans="1:6" ht="24">
      <c r="A112" s="3104">
        <v>40</v>
      </c>
      <c r="B112" s="3890"/>
      <c r="C112" s="3104" t="s">
        <v>2727</v>
      </c>
      <c r="D112" s="3078" t="s">
        <v>2728</v>
      </c>
      <c r="E112" s="3104">
        <v>0.1</v>
      </c>
      <c r="F112" s="3104">
        <v>15</v>
      </c>
    </row>
    <row r="113" spans="1:6" ht="13.5">
      <c r="A113" s="3104">
        <v>41</v>
      </c>
      <c r="B113" s="3888" t="s">
        <v>2729</v>
      </c>
      <c r="C113" s="3104" t="s">
        <v>2730</v>
      </c>
      <c r="D113" s="3078" t="s">
        <v>2731</v>
      </c>
      <c r="E113" s="3104">
        <v>0.1</v>
      </c>
      <c r="F113" s="3104">
        <v>15</v>
      </c>
    </row>
    <row r="114" spans="1:6" ht="13.5">
      <c r="A114" s="3104">
        <v>42</v>
      </c>
      <c r="B114" s="3888"/>
      <c r="C114" s="3104" t="s">
        <v>2732</v>
      </c>
      <c r="D114" s="3078" t="s">
        <v>2733</v>
      </c>
      <c r="E114" s="3104">
        <v>0.1</v>
      </c>
      <c r="F114" s="3104">
        <v>15</v>
      </c>
    </row>
    <row r="115" spans="1:6" ht="24">
      <c r="A115" s="3104">
        <v>43</v>
      </c>
      <c r="B115" s="3888"/>
      <c r="C115" s="3104" t="s">
        <v>2734</v>
      </c>
      <c r="D115" s="3078" t="s">
        <v>2735</v>
      </c>
      <c r="E115" s="3104">
        <v>0.1</v>
      </c>
      <c r="F115" s="3104">
        <v>15</v>
      </c>
    </row>
    <row r="116" spans="1:6" ht="13.5">
      <c r="A116" s="3104">
        <v>44</v>
      </c>
      <c r="B116" s="3889" t="s">
        <v>2736</v>
      </c>
      <c r="C116" s="3104" t="s">
        <v>2737</v>
      </c>
      <c r="D116" s="3078" t="s">
        <v>2738</v>
      </c>
      <c r="E116" s="3104">
        <v>0.1</v>
      </c>
      <c r="F116" s="3104">
        <v>15</v>
      </c>
    </row>
    <row r="117" spans="1:6" ht="24">
      <c r="A117" s="3104">
        <v>45</v>
      </c>
      <c r="B117" s="3890"/>
      <c r="C117" s="3078" t="s">
        <v>2739</v>
      </c>
      <c r="D117" s="3078" t="s">
        <v>2740</v>
      </c>
      <c r="E117" s="3104">
        <v>0.1</v>
      </c>
      <c r="F117" s="3104">
        <v>15</v>
      </c>
    </row>
    <row r="118" spans="1:6" ht="24">
      <c r="A118" s="3104">
        <v>46</v>
      </c>
      <c r="B118" s="3889" t="s">
        <v>2741</v>
      </c>
      <c r="C118" s="3104" t="s">
        <v>2742</v>
      </c>
      <c r="D118" s="3078" t="s">
        <v>2743</v>
      </c>
      <c r="E118" s="3104">
        <v>0.1</v>
      </c>
      <c r="F118" s="3104">
        <v>15</v>
      </c>
    </row>
    <row r="119" spans="1:6" ht="24">
      <c r="A119" s="3104">
        <v>47</v>
      </c>
      <c r="B119" s="3890"/>
      <c r="C119" s="3104" t="s">
        <v>2744</v>
      </c>
      <c r="D119" s="3078" t="s">
        <v>2745</v>
      </c>
      <c r="E119" s="3104">
        <v>0.1</v>
      </c>
      <c r="F119" s="3104">
        <v>15</v>
      </c>
    </row>
    <row r="120" spans="1:6" ht="13.5">
      <c r="A120" s="3104">
        <v>48</v>
      </c>
      <c r="B120" s="3889" t="s">
        <v>2746</v>
      </c>
      <c r="C120" s="3104" t="s">
        <v>2747</v>
      </c>
      <c r="D120" s="3078" t="s">
        <v>2748</v>
      </c>
      <c r="E120" s="3104">
        <v>0.1</v>
      </c>
      <c r="F120" s="3104">
        <v>15</v>
      </c>
    </row>
    <row r="121" spans="1:6" ht="13.5">
      <c r="A121" s="3104">
        <v>49</v>
      </c>
      <c r="B121" s="3890"/>
      <c r="C121" s="3104" t="s">
        <v>2749</v>
      </c>
      <c r="D121" s="3078" t="s">
        <v>2750</v>
      </c>
      <c r="E121" s="3104">
        <v>0.1</v>
      </c>
      <c r="F121" s="3104">
        <v>15</v>
      </c>
    </row>
    <row r="122" spans="1:6" ht="24">
      <c r="A122" s="3104">
        <v>50</v>
      </c>
      <c r="B122" s="3888" t="s">
        <v>2751</v>
      </c>
      <c r="C122" s="3104" t="s">
        <v>2752</v>
      </c>
      <c r="D122" s="3078" t="s">
        <v>2753</v>
      </c>
      <c r="E122" s="3104">
        <v>0.1</v>
      </c>
      <c r="F122" s="3104">
        <v>15</v>
      </c>
    </row>
    <row r="123" spans="1:6" ht="24">
      <c r="A123" s="3104">
        <v>51</v>
      </c>
      <c r="B123" s="3888"/>
      <c r="C123" s="3104" t="s">
        <v>2754</v>
      </c>
      <c r="D123" s="3078" t="s">
        <v>2755</v>
      </c>
      <c r="E123" s="3104">
        <v>0.1</v>
      </c>
      <c r="F123" s="3104">
        <v>15</v>
      </c>
    </row>
    <row r="124" spans="1:6" ht="24">
      <c r="A124" s="3104">
        <v>52</v>
      </c>
      <c r="B124" s="3888" t="s">
        <v>2756</v>
      </c>
      <c r="C124" s="3104" t="s">
        <v>2757</v>
      </c>
      <c r="D124" s="3078" t="s">
        <v>2758</v>
      </c>
      <c r="E124" s="3104">
        <v>0.1</v>
      </c>
      <c r="F124" s="3104">
        <v>15</v>
      </c>
    </row>
    <row r="125" spans="1:6" ht="24">
      <c r="A125" s="3104">
        <v>53</v>
      </c>
      <c r="B125" s="3888"/>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888" t="s">
        <v>2764</v>
      </c>
      <c r="C127" s="3104" t="s">
        <v>2765</v>
      </c>
      <c r="D127" s="3078" t="s">
        <v>2766</v>
      </c>
      <c r="E127" s="3104">
        <v>0.1</v>
      </c>
      <c r="F127" s="3104">
        <v>15</v>
      </c>
    </row>
    <row r="128" spans="1:6" ht="13.5">
      <c r="A128" s="3104">
        <v>56</v>
      </c>
      <c r="B128" s="3888"/>
      <c r="C128" s="3104" t="s">
        <v>2767</v>
      </c>
      <c r="D128" s="3078" t="s">
        <v>2768</v>
      </c>
      <c r="E128" s="3104">
        <v>0.1</v>
      </c>
      <c r="F128" s="3104">
        <v>15</v>
      </c>
    </row>
    <row r="129" spans="1:6" ht="24">
      <c r="A129" s="3104">
        <v>57</v>
      </c>
      <c r="B129" s="3888"/>
      <c r="C129" s="3104" t="s">
        <v>2769</v>
      </c>
      <c r="D129" s="3078" t="s">
        <v>2770</v>
      </c>
      <c r="E129" s="3104">
        <v>0.1</v>
      </c>
      <c r="F129" s="3104">
        <v>15</v>
      </c>
    </row>
    <row r="130" spans="1:6" ht="24">
      <c r="A130" s="3104">
        <v>58</v>
      </c>
      <c r="B130" s="3888" t="s">
        <v>2771</v>
      </c>
      <c r="C130" s="3104" t="s">
        <v>2772</v>
      </c>
      <c r="D130" s="3078" t="s">
        <v>2773</v>
      </c>
      <c r="E130" s="3104">
        <v>0.1</v>
      </c>
      <c r="F130" s="3104">
        <v>15</v>
      </c>
    </row>
    <row r="131" spans="1:6" ht="13.5">
      <c r="A131" s="3104">
        <v>59</v>
      </c>
      <c r="B131" s="3888"/>
      <c r="C131" s="3104" t="s">
        <v>2774</v>
      </c>
      <c r="D131" s="3078" t="s">
        <v>2775</v>
      </c>
      <c r="E131" s="3104">
        <v>0.1</v>
      </c>
      <c r="F131" s="3104">
        <v>15</v>
      </c>
    </row>
    <row r="132" spans="1:6" ht="13.5">
      <c r="A132" s="3104">
        <v>60</v>
      </c>
      <c r="B132" s="3889" t="s">
        <v>2776</v>
      </c>
      <c r="C132" s="3104" t="s">
        <v>2777</v>
      </c>
      <c r="D132" s="3078" t="s">
        <v>2778</v>
      </c>
      <c r="E132" s="3104">
        <v>0.1</v>
      </c>
      <c r="F132" s="3104">
        <v>15</v>
      </c>
    </row>
    <row r="133" spans="1:6" ht="13.5">
      <c r="A133" s="3104">
        <v>61</v>
      </c>
      <c r="B133" s="3890"/>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888" t="s">
        <v>2784</v>
      </c>
      <c r="C135" s="3104" t="s">
        <v>2785</v>
      </c>
      <c r="D135" s="3078" t="s">
        <v>2786</v>
      </c>
      <c r="E135" s="3104">
        <v>0.1</v>
      </c>
      <c r="F135" s="3104">
        <v>15</v>
      </c>
    </row>
    <row r="136" spans="1:6" ht="13.5">
      <c r="A136" s="3104">
        <v>64</v>
      </c>
      <c r="B136" s="3888"/>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59401</v>
      </c>
      <c r="C2" s="2" t="s">
        <v>106</v>
      </c>
      <c r="D2" s="199"/>
      <c r="E2" s="199"/>
      <c r="F2" s="199"/>
      <c r="G2" s="199"/>
    </row>
    <row r="3" spans="1:7" s="200" customFormat="1" ht="18" customHeight="1" thickBot="1">
      <c r="A3" s="203" t="s">
        <v>58</v>
      </c>
      <c r="B3" s="204">
        <f ca="1">ROUND(B2*10000/'数据-汇总表'!E3,0)</f>
        <v>17123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694</v>
      </c>
      <c r="D10" s="840">
        <f>'数据-汇总表'!E6</f>
        <v>34690.01</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694</v>
      </c>
      <c r="D19" s="844">
        <f>'数据-汇总表'!E3</f>
        <v>34690.01</v>
      </c>
      <c r="E19" s="211">
        <f>'数据-取费表'!B31</f>
        <v>200</v>
      </c>
      <c r="F19" s="231"/>
      <c r="G19" s="1" t="s">
        <v>436</v>
      </c>
    </row>
    <row r="20" spans="1:7" s="214" customFormat="1" ht="13.5" customHeight="1">
      <c r="A20" s="772" t="s">
        <v>419</v>
      </c>
      <c r="B20" s="210" t="s">
        <v>77</v>
      </c>
      <c r="C20" s="232">
        <f>ROUND((C5+C19)*F20,0)</f>
        <v>639</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1518</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49</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3291</v>
      </c>
      <c r="D27" s="235">
        <f>C29</f>
        <v>4.4999999999999997E-3</v>
      </c>
      <c r="E27" s="236" t="s">
        <v>99</v>
      </c>
      <c r="F27" s="246">
        <f>'数据-取费表'!Q16</f>
        <v>0.15</v>
      </c>
      <c r="G27" s="247" t="s">
        <v>431</v>
      </c>
    </row>
    <row r="28" spans="1:7" s="214" customFormat="1" ht="13.5" customHeight="1">
      <c r="A28" s="775" t="s">
        <v>349</v>
      </c>
      <c r="B28" s="248" t="s">
        <v>424</v>
      </c>
      <c r="C28" s="249">
        <f>ROUND((C5+C19+C20)*F27*'数据-取费表'!B21/'数据-取费表'!B20,0)</f>
        <v>3291</v>
      </c>
      <c r="D28" s="235"/>
      <c r="E28" s="236"/>
      <c r="F28" s="246"/>
      <c r="G28" s="247"/>
    </row>
    <row r="29" spans="1:7" s="214" customFormat="1" ht="13.5" customHeight="1">
      <c r="A29" s="775" t="s">
        <v>347</v>
      </c>
      <c r="B29" s="248" t="s">
        <v>425</v>
      </c>
      <c r="C29" s="238">
        <f>ROUND(C21*F27*'数据-取费表'!B21/'数据-取费表'!B20,4)</f>
        <v>4.4999999999999997E-3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22710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20575</v>
      </c>
      <c r="D34" s="217"/>
      <c r="E34" s="220"/>
      <c r="F34" s="257">
        <f>IF('数据-取费表'!B24=0,1,'数据-取费表'!N16)</f>
        <v>1</v>
      </c>
      <c r="G34" s="219" t="s">
        <v>89</v>
      </c>
    </row>
    <row r="35" spans="1:7" ht="13.5" customHeight="1">
      <c r="A35" s="775" t="s">
        <v>351</v>
      </c>
      <c r="B35" s="215" t="s">
        <v>33</v>
      </c>
      <c r="C35" s="220">
        <f>ROUND(C34*F35,0)</f>
        <v>1029</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694</v>
      </c>
      <c r="D37" s="217">
        <f>'数据-汇总表'!E3</f>
        <v>34690.01</v>
      </c>
      <c r="E37" s="249">
        <f>'数据-取费表'!B35</f>
        <v>200</v>
      </c>
      <c r="F37" s="259"/>
      <c r="G37" s="261" t="s">
        <v>92</v>
      </c>
    </row>
    <row r="38" spans="1:7" ht="13.5" customHeight="1">
      <c r="A38" s="775" t="s">
        <v>354</v>
      </c>
      <c r="B38" s="215" t="s">
        <v>36</v>
      </c>
      <c r="C38" s="220">
        <f>ROUND(C34*F38,0)</f>
        <v>412</v>
      </c>
      <c r="D38" s="220"/>
      <c r="E38" s="220"/>
      <c r="F38" s="259">
        <f>'数据-取费表'!B36</f>
        <v>0.02</v>
      </c>
      <c r="G38" s="219" t="s">
        <v>90</v>
      </c>
    </row>
    <row r="39" spans="1:7" s="214" customFormat="1" ht="13.5" customHeight="1">
      <c r="A39" s="772" t="s">
        <v>338</v>
      </c>
      <c r="B39" s="210" t="s">
        <v>77</v>
      </c>
      <c r="C39" s="232">
        <f>ROUND(C33*F20,0)</f>
        <v>681</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806</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783</v>
      </c>
      <c r="D42" s="238"/>
      <c r="E42" s="238"/>
      <c r="F42" s="239"/>
      <c r="G42" s="3762" t="s">
        <v>94</v>
      </c>
    </row>
    <row r="43" spans="1:7" ht="13.5" customHeight="1">
      <c r="A43" s="775" t="s">
        <v>347</v>
      </c>
      <c r="B43" s="215" t="s">
        <v>426</v>
      </c>
      <c r="C43" s="238">
        <f ca="1">ROUND(IF('数据-取费表'!B22&lt;=1,C39*F22*'数据-取费表'!B21/2,C39*(POWER((1+F22),'数据-取费表'!B21/2)-1)),0)</f>
        <v>23</v>
      </c>
      <c r="D43" s="238"/>
      <c r="E43" s="238"/>
      <c r="F43" s="239"/>
      <c r="G43" s="3763"/>
    </row>
    <row r="44" spans="1:7" ht="13.5" customHeight="1">
      <c r="A44" s="775" t="s">
        <v>348</v>
      </c>
      <c r="B44" s="215" t="s">
        <v>428</v>
      </c>
      <c r="C44" s="238">
        <f ca="1">ROUND(IF('数据-取费表'!B22&lt;=1,C40*F22*'数据-取费表'!B21/2,C40*(POWER((1+F22),'数据-取费表'!B21/2)-1)),4)</f>
        <v>1E-3</v>
      </c>
      <c r="D44" s="238"/>
      <c r="E44" s="238"/>
      <c r="F44" s="239"/>
      <c r="G44" s="3764"/>
    </row>
    <row r="45" spans="1:7" s="214" customFormat="1" ht="13.5" customHeight="1">
      <c r="A45" s="772" t="s">
        <v>341</v>
      </c>
      <c r="B45" s="244" t="s">
        <v>85</v>
      </c>
      <c r="C45" s="245">
        <f>C46</f>
        <v>3509</v>
      </c>
      <c r="D45" s="235">
        <f>C47</f>
        <v>4.4999999999999997E-3</v>
      </c>
      <c r="E45" s="236" t="s">
        <v>102</v>
      </c>
      <c r="F45" s="246"/>
      <c r="G45" s="247" t="s">
        <v>434</v>
      </c>
    </row>
    <row r="46" spans="1:7" s="214" customFormat="1" ht="13.5" customHeight="1">
      <c r="A46" s="775" t="s">
        <v>349</v>
      </c>
      <c r="B46" s="248" t="s">
        <v>427</v>
      </c>
      <c r="C46" s="249">
        <f>ROUND((C33+C39)*F27,0)</f>
        <v>3509</v>
      </c>
      <c r="D46" s="263"/>
      <c r="E46" s="236"/>
      <c r="F46" s="246"/>
      <c r="G46" s="247"/>
    </row>
    <row r="47" spans="1:7" s="214" customFormat="1" ht="13.5" customHeight="1">
      <c r="A47" s="775" t="s">
        <v>347</v>
      </c>
      <c r="B47" s="248" t="s">
        <v>429</v>
      </c>
      <c r="C47" s="238">
        <f>ROUND(C40*F27,4)</f>
        <v>4.4999999999999997E-3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30375</v>
      </c>
      <c r="D49" s="232"/>
      <c r="E49" s="232"/>
      <c r="F49" s="264"/>
      <c r="G49" s="234" t="s">
        <v>435</v>
      </c>
    </row>
    <row r="50" spans="1:7" s="258" customFormat="1" ht="24">
      <c r="A50" s="772" t="s">
        <v>344</v>
      </c>
      <c r="B50" s="210" t="s">
        <v>97</v>
      </c>
      <c r="C50" s="232"/>
      <c r="D50" s="232"/>
      <c r="E50" s="232"/>
      <c r="F50" s="264">
        <f>IF('数据-取费表'!B24=0,'数据-取费表'!N16,1)</f>
        <v>0.99</v>
      </c>
      <c r="G50" s="247" t="s">
        <v>98</v>
      </c>
    </row>
    <row r="51" spans="1:7" ht="16.5" customHeight="1">
      <c r="A51" s="772" t="s">
        <v>345</v>
      </c>
      <c r="B51" s="210" t="s">
        <v>105</v>
      </c>
      <c r="C51" s="232">
        <f ca="1">ROUND(C49*F50,0)</f>
        <v>30071</v>
      </c>
      <c r="D51" s="232"/>
      <c r="E51" s="232"/>
      <c r="F51" s="264"/>
      <c r="G51" s="234" t="s">
        <v>37</v>
      </c>
    </row>
    <row r="52" spans="1:7" s="208" customFormat="1" ht="16.5" thickBot="1">
      <c r="A52" s="265" t="s">
        <v>38</v>
      </c>
      <c r="B52" s="266"/>
      <c r="C52" s="267">
        <f ca="1">C31+C51</f>
        <v>59401</v>
      </c>
      <c r="D52" s="266"/>
      <c r="E52" s="266"/>
      <c r="F52" s="266"/>
      <c r="G52" s="268"/>
    </row>
    <row r="55" spans="1:7" ht="15">
      <c r="B55" s="270" t="s">
        <v>39</v>
      </c>
      <c r="C55" s="271"/>
    </row>
    <row r="56" spans="1:7">
      <c r="B56" s="273" t="s">
        <v>40</v>
      </c>
      <c r="C56" s="274">
        <f ca="1">ROUND(C51/C52,3)</f>
        <v>0.50600000000000001</v>
      </c>
    </row>
    <row r="57" spans="1:7">
      <c r="B57" s="273" t="s">
        <v>41</v>
      </c>
      <c r="C57" s="275">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02" t="s">
        <v>2811</v>
      </c>
      <c r="B1" s="3902"/>
      <c r="C1" s="3902"/>
      <c r="D1" s="3902"/>
      <c r="E1" s="3902"/>
      <c r="F1" s="3902"/>
      <c r="G1" s="3903"/>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900"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01"/>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04" t="s">
        <v>3153</v>
      </c>
      <c r="B1" s="3904"/>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05" t="s">
        <v>3204</v>
      </c>
      <c r="B1" s="3905"/>
      <c r="C1" s="3905"/>
      <c r="D1" s="3905"/>
      <c r="E1" s="3905"/>
      <c r="F1" s="3906"/>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45429</v>
      </c>
      <c r="B1" s="3510" t="s">
        <v>3909</v>
      </c>
      <c r="C1" s="3511"/>
      <c r="D1" s="3511"/>
      <c r="E1" s="3511"/>
      <c r="F1" s="3511"/>
      <c r="G1" s="3511"/>
      <c r="H1" s="3511"/>
      <c r="I1" s="3511"/>
      <c r="J1" s="3512"/>
      <c r="K1" s="3511" t="s">
        <v>3910</v>
      </c>
      <c r="L1" s="3511"/>
      <c r="M1" s="3511"/>
      <c r="N1" s="3511"/>
      <c r="O1" s="3511"/>
      <c r="P1" s="3511"/>
      <c r="Q1" s="3512"/>
      <c r="R1" s="3907" t="s">
        <v>3911</v>
      </c>
      <c r="S1" s="3908"/>
      <c r="T1" s="3908"/>
      <c r="U1" s="3908"/>
      <c r="V1" s="3908"/>
      <c r="W1" s="3908"/>
      <c r="X1" s="3512"/>
      <c r="Y1" s="3907" t="s">
        <v>3912</v>
      </c>
      <c r="Z1" s="3908"/>
      <c r="AA1" s="3908"/>
      <c r="AB1" s="3908"/>
      <c r="AC1" s="3908"/>
      <c r="AD1" s="3908"/>
    </row>
    <row r="2" spans="1:30" s="3513" customFormat="1" ht="14.25" thickBot="1">
      <c r="B2" s="3514"/>
      <c r="C2" s="3515"/>
      <c r="D2" s="3129" t="s">
        <v>3913</v>
      </c>
      <c r="E2" s="3130" t="s">
        <v>3914</v>
      </c>
      <c r="F2" s="3130" t="s">
        <v>3915</v>
      </c>
      <c r="G2" s="3130" t="s">
        <v>3916</v>
      </c>
      <c r="H2" s="3130" t="s">
        <v>3917</v>
      </c>
      <c r="I2" s="3130" t="s">
        <v>3918</v>
      </c>
      <c r="J2" s="3516"/>
      <c r="K2" s="3129" t="s">
        <v>3913</v>
      </c>
      <c r="L2" s="3130" t="s">
        <v>3914</v>
      </c>
      <c r="M2" s="3130" t="s">
        <v>3915</v>
      </c>
      <c r="N2" s="3130" t="s">
        <v>3916</v>
      </c>
      <c r="O2" s="3130" t="s">
        <v>3917</v>
      </c>
      <c r="P2" s="3130" t="s">
        <v>3918</v>
      </c>
      <c r="Q2" s="3516"/>
      <c r="R2" s="3129" t="s">
        <v>3913</v>
      </c>
      <c r="S2" s="3130" t="s">
        <v>3914</v>
      </c>
      <c r="T2" s="3130" t="s">
        <v>3915</v>
      </c>
      <c r="U2" s="3130" t="s">
        <v>3916</v>
      </c>
      <c r="V2" s="3130" t="s">
        <v>3917</v>
      </c>
      <c r="W2" s="3130" t="s">
        <v>3918</v>
      </c>
      <c r="X2" s="3516"/>
      <c r="Y2" s="3129" t="s">
        <v>3913</v>
      </c>
      <c r="Z2" s="3130" t="s">
        <v>3914</v>
      </c>
      <c r="AA2" s="3130" t="s">
        <v>3915</v>
      </c>
      <c r="AB2" s="3130" t="s">
        <v>3916</v>
      </c>
      <c r="AC2" s="3130" t="s">
        <v>3917</v>
      </c>
      <c r="AD2" s="3130" t="s">
        <v>3918</v>
      </c>
    </row>
    <row r="3" spans="1:30" s="3529" customFormat="1" ht="12.75">
      <c r="A3" s="3517" t="s">
        <v>3919</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3920</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3921</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3922</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3923</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3924</v>
      </c>
      <c r="C23" s="3511"/>
      <c r="D23" s="3511"/>
      <c r="E23" s="3511"/>
      <c r="F23" s="3511"/>
      <c r="G23" s="3511"/>
      <c r="H23" s="3511"/>
      <c r="I23" s="3511"/>
      <c r="J23" s="3512"/>
      <c r="K23" s="3511" t="s">
        <v>454</v>
      </c>
      <c r="L23" s="3511"/>
      <c r="M23" s="3511"/>
      <c r="N23" s="3511"/>
      <c r="O23" s="3511"/>
      <c r="P23" s="3511"/>
      <c r="Q23" s="3512"/>
      <c r="R23" s="3907" t="s">
        <v>456</v>
      </c>
      <c r="S23" s="3908"/>
      <c r="T23" s="3908"/>
      <c r="U23" s="3908"/>
      <c r="V23" s="3908"/>
      <c r="W23" s="3908"/>
      <c r="X23" s="3512"/>
      <c r="Y23" s="3907" t="s">
        <v>457</v>
      </c>
      <c r="Z23" s="3908"/>
      <c r="AA23" s="3908"/>
      <c r="AB23" s="3908"/>
      <c r="AC23" s="3908"/>
      <c r="AD23" s="3908"/>
    </row>
    <row r="24" spans="1:30" s="3513" customFormat="1" ht="14.25" thickBot="1">
      <c r="B24" s="3514"/>
      <c r="C24" s="3515"/>
      <c r="D24" s="3129" t="s">
        <v>2805</v>
      </c>
      <c r="E24" s="3130" t="s">
        <v>2602</v>
      </c>
      <c r="F24" s="3130" t="s">
        <v>2807</v>
      </c>
      <c r="G24" s="3130" t="s">
        <v>308</v>
      </c>
      <c r="H24" s="3130"/>
      <c r="I24" s="3130" t="s">
        <v>2607</v>
      </c>
      <c r="J24" s="3516"/>
      <c r="K24" s="3129" t="s">
        <v>3913</v>
      </c>
      <c r="L24" s="3130" t="s">
        <v>3914</v>
      </c>
      <c r="M24" s="3130" t="s">
        <v>3925</v>
      </c>
      <c r="N24" s="3130" t="s">
        <v>3916</v>
      </c>
      <c r="O24" s="3130"/>
      <c r="P24" s="3130" t="s">
        <v>3918</v>
      </c>
      <c r="Q24" s="3516"/>
      <c r="R24" s="3129" t="s">
        <v>3926</v>
      </c>
      <c r="S24" s="3130" t="s">
        <v>3914</v>
      </c>
      <c r="T24" s="3130" t="s">
        <v>3915</v>
      </c>
      <c r="U24" s="3130" t="s">
        <v>3916</v>
      </c>
      <c r="V24" s="3130"/>
      <c r="W24" s="3130" t="s">
        <v>3918</v>
      </c>
      <c r="X24" s="3516"/>
      <c r="Y24" s="3129" t="s">
        <v>3913</v>
      </c>
      <c r="Z24" s="3130" t="s">
        <v>3914</v>
      </c>
      <c r="AA24" s="3130" t="s">
        <v>3915</v>
      </c>
      <c r="AB24" s="3130" t="s">
        <v>3916</v>
      </c>
      <c r="AC24" s="3130"/>
      <c r="AD24" s="3130" t="s">
        <v>3918</v>
      </c>
    </row>
    <row r="25" spans="1:30" s="3529" customFormat="1" ht="12.75">
      <c r="A25" s="3517" t="s">
        <v>3927</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3928</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3929</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3930</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3931</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3932</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3933</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3934</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3935</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3936</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3937</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3938</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3939</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3940</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3941</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3942</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14" t="s">
        <v>452</v>
      </c>
      <c r="C1" s="3914"/>
      <c r="D1" s="3914"/>
      <c r="E1" s="3914"/>
      <c r="F1" s="3914"/>
      <c r="G1" s="3913" t="s">
        <v>453</v>
      </c>
      <c r="H1" s="3913"/>
      <c r="I1" s="3913"/>
      <c r="J1" s="3913"/>
      <c r="K1" s="3913"/>
      <c r="L1" s="3913"/>
      <c r="N1" s="3913" t="s">
        <v>454</v>
      </c>
      <c r="O1" s="3913"/>
      <c r="P1" s="3913"/>
      <c r="Q1" s="3913"/>
      <c r="S1" s="3913" t="s">
        <v>455</v>
      </c>
      <c r="T1" s="3913"/>
      <c r="U1" s="3913"/>
      <c r="V1" s="3913"/>
      <c r="X1" s="3912" t="s">
        <v>456</v>
      </c>
      <c r="Y1" s="3913"/>
      <c r="Z1" s="3913"/>
      <c r="AA1" s="3913"/>
      <c r="AB1" s="3913"/>
      <c r="AD1" s="3912" t="s">
        <v>457</v>
      </c>
      <c r="AE1" s="3913"/>
      <c r="AF1" s="3913"/>
      <c r="AG1" s="3913"/>
      <c r="AH1" s="3913"/>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1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1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1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19"/>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15">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1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1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19"/>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15">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1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1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1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0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1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1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1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0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1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1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1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16">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17"/>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17"/>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18"/>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0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1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1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1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0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1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1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1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0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1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1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1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0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1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1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1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0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1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1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1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0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1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1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1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0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1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1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1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0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1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1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1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0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1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1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1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0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1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1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1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0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1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1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1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45429</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97" t="str">
        <f>IF(项目基本情况!B9="房地产市场价值","估价结果一览表","结果表-2")</f>
        <v>结果表-2</v>
      </c>
      <c r="B1" s="3597"/>
      <c r="C1" s="3597"/>
      <c r="D1" s="3597"/>
      <c r="E1" s="3597"/>
      <c r="F1" s="3597"/>
      <c r="G1" s="3597"/>
      <c r="H1" s="3597"/>
      <c r="I1" s="3597"/>
    </row>
    <row r="2" spans="1:9" ht="30" customHeight="1" thickTop="1">
      <c r="A2" s="3598" t="s">
        <v>928</v>
      </c>
      <c r="B2" s="3598" t="s">
        <v>929</v>
      </c>
      <c r="C2" s="3598" t="s">
        <v>930</v>
      </c>
      <c r="D2" s="3598" t="str">
        <f>结果表!D116</f>
        <v>出让国有建设用地使用权价值</v>
      </c>
      <c r="E2" s="3598"/>
      <c r="F2" s="3598" t="str">
        <f>结果表!F116</f>
        <v>在建建筑物价值</v>
      </c>
      <c r="G2" s="3598"/>
      <c r="H2" s="3598" t="str">
        <f>IF(项目基本情况!B9="房地产市场价值","房地产市场价值","房地产价值")</f>
        <v>房地产价值</v>
      </c>
      <c r="I2" s="3598"/>
    </row>
    <row r="3" spans="1:9" ht="15">
      <c r="A3" s="3593"/>
      <c r="B3" s="3593"/>
      <c r="C3" s="3593"/>
      <c r="D3" s="849" t="s">
        <v>925</v>
      </c>
      <c r="E3" s="849" t="s">
        <v>931</v>
      </c>
      <c r="F3" s="849" t="s">
        <v>925</v>
      </c>
      <c r="G3" s="849" t="s">
        <v>926</v>
      </c>
      <c r="H3" s="849" t="s">
        <v>925</v>
      </c>
      <c r="I3" s="849" t="s">
        <v>926</v>
      </c>
    </row>
    <row r="4" spans="1:9" ht="15">
      <c r="A4" s="1499" t="str">
        <f>项目基本情况!S2</f>
        <v>北京市房地产</v>
      </c>
      <c r="B4" s="849">
        <f>项目基本情况!C17</f>
        <v>34690.01</v>
      </c>
      <c r="C4" s="849">
        <f>项目基本情况!C18</f>
        <v>0</v>
      </c>
      <c r="D4" s="849">
        <f ca="1">结果表!D118</f>
        <v>56237</v>
      </c>
      <c r="E4" s="849">
        <f ca="1">结果表!E118</f>
        <v>16212</v>
      </c>
      <c r="F4" s="849">
        <f ca="1">结果表!F118</f>
        <v>31087</v>
      </c>
      <c r="G4" s="849">
        <f ca="1">结果表!G118</f>
        <v>8961</v>
      </c>
      <c r="H4" s="849">
        <f ca="1">结果表!H118</f>
        <v>87324</v>
      </c>
      <c r="I4" s="849">
        <f ca="1">结果表!I118</f>
        <v>25173</v>
      </c>
    </row>
    <row r="5" spans="1:9" ht="30" customHeight="1">
      <c r="A5" s="3593" t="s">
        <v>927</v>
      </c>
      <c r="B5" s="3593"/>
      <c r="C5" s="3593"/>
      <c r="D5" s="3593" t="str">
        <f ca="1">结果表!D119</f>
        <v>伍亿陆仟贰佰叁拾柒万元整</v>
      </c>
      <c r="E5" s="3593"/>
      <c r="F5" s="3593" t="str">
        <f ca="1">结果表!F119</f>
        <v>叁亿壹仟零捌拾柒万元整</v>
      </c>
      <c r="G5" s="3593"/>
      <c r="H5" s="3593" t="str">
        <f ca="1">结果表!H119</f>
        <v>捌亿柒仟叁佰贰拾肆万元整</v>
      </c>
      <c r="I5" s="3593"/>
    </row>
    <row r="6" spans="1:9" ht="15.75">
      <c r="A6" s="3592" t="str">
        <f>结果表!A120</f>
        <v>估价师知悉的法定优先受偿款</v>
      </c>
      <c r="B6" s="3592"/>
      <c r="C6" s="3592"/>
      <c r="D6" s="3592">
        <f>结果表!D120</f>
        <v>0</v>
      </c>
      <c r="E6" s="3592"/>
      <c r="F6" s="3592"/>
      <c r="G6" s="3592"/>
      <c r="H6" s="3592"/>
      <c r="I6" s="3592"/>
    </row>
    <row r="7" spans="1:9" ht="15">
      <c r="A7" s="3593" t="s">
        <v>927</v>
      </c>
      <c r="B7" s="3593"/>
      <c r="C7" s="3593"/>
      <c r="D7" s="3594" t="str">
        <f>结果表!D121</f>
        <v>零元整</v>
      </c>
      <c r="E7" s="3595"/>
      <c r="F7" s="3595"/>
      <c r="G7" s="3595"/>
      <c r="H7" s="3595"/>
      <c r="I7" s="3596"/>
    </row>
    <row r="8" spans="1:9" ht="15.75">
      <c r="A8" s="3592" t="str">
        <f>结果表!A122</f>
        <v>房地产抵押价值</v>
      </c>
      <c r="B8" s="3592"/>
      <c r="C8" s="3592"/>
      <c r="D8" s="3592">
        <f ca="1">结果表!D122</f>
        <v>87324</v>
      </c>
      <c r="E8" s="3592"/>
      <c r="F8" s="3592"/>
      <c r="G8" s="3592"/>
      <c r="H8" s="3592"/>
      <c r="I8" s="3592"/>
    </row>
    <row r="9" spans="1:9" ht="15">
      <c r="A9" s="3593" t="s">
        <v>927</v>
      </c>
      <c r="B9" s="3593"/>
      <c r="C9" s="3593"/>
      <c r="D9" s="3593" t="str">
        <f ca="1">结果表!D123</f>
        <v>捌亿柒仟叁佰贰拾肆万元整</v>
      </c>
      <c r="E9" s="3593"/>
      <c r="F9" s="3593"/>
      <c r="G9" s="3593"/>
      <c r="H9" s="3593"/>
      <c r="I9" s="3593"/>
    </row>
    <row r="10" spans="1:9" ht="15.75">
      <c r="A10" s="3592" t="str">
        <f>结果表!A124</f>
        <v/>
      </c>
      <c r="B10" s="3592"/>
      <c r="C10" s="3592"/>
      <c r="D10" s="3592" t="str">
        <f>结果表!D124</f>
        <v>——</v>
      </c>
      <c r="E10" s="3592"/>
      <c r="F10" s="3592"/>
      <c r="G10" s="3592"/>
      <c r="H10" s="3592"/>
      <c r="I10" s="3592"/>
    </row>
    <row r="11" spans="1:9" ht="15">
      <c r="A11" s="3593" t="s">
        <v>927</v>
      </c>
      <c r="B11" s="3593"/>
      <c r="C11" s="3593"/>
      <c r="D11" s="3593" t="e">
        <f>结果表!D125</f>
        <v>#VALUE!</v>
      </c>
      <c r="E11" s="3593"/>
      <c r="F11" s="3593"/>
      <c r="G11" s="3593"/>
      <c r="H11" s="3593"/>
      <c r="I11" s="3593"/>
    </row>
    <row r="12" spans="1:9" ht="15.75">
      <c r="A12" s="3592" t="str">
        <f>结果表!A126</f>
        <v>抵押净值</v>
      </c>
      <c r="B12" s="3592"/>
      <c r="C12" s="3592"/>
      <c r="D12" s="3592">
        <f ca="1">结果表!D126</f>
        <v>79988</v>
      </c>
      <c r="E12" s="3592"/>
      <c r="F12" s="3592"/>
      <c r="G12" s="3592"/>
      <c r="H12" s="3592"/>
      <c r="I12" s="3592"/>
    </row>
    <row r="13" spans="1:9" ht="15.75" thickBot="1">
      <c r="A13" s="3590" t="s">
        <v>927</v>
      </c>
      <c r="B13" s="3590"/>
      <c r="C13" s="3590"/>
      <c r="D13" s="3590" t="str">
        <f ca="1">结果表!D127</f>
        <v>柒亿玖仟玖佰捌拾捌万元整</v>
      </c>
      <c r="E13" s="3590"/>
      <c r="F13" s="3590"/>
      <c r="G13" s="3590"/>
      <c r="H13" s="3590"/>
      <c r="I13" s="3590"/>
    </row>
    <row r="14" spans="1:9" ht="15" thickTop="1">
      <c r="A14" s="3591" t="s">
        <v>932</v>
      </c>
      <c r="B14" s="3591"/>
      <c r="C14" s="3591"/>
      <c r="D14" s="3591"/>
      <c r="E14" s="3591"/>
      <c r="F14" s="3591"/>
      <c r="G14" s="3591"/>
      <c r="H14" s="3591"/>
      <c r="I14" s="3591"/>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3858</v>
      </c>
      <c r="B2" s="3374" t="s">
        <v>3861</v>
      </c>
      <c r="C2" s="3374" t="s">
        <v>3862</v>
      </c>
      <c r="D2" s="3374"/>
      <c r="E2" s="3374" t="s">
        <v>3856</v>
      </c>
      <c r="F2" s="3374" t="s">
        <v>3857</v>
      </c>
      <c r="G2" s="3374" t="s">
        <v>3864</v>
      </c>
    </row>
    <row r="3" spans="1:7">
      <c r="A3" s="3374" t="s">
        <v>3859</v>
      </c>
      <c r="B3" s="3374" t="s">
        <v>3860</v>
      </c>
      <c r="C3" s="3374" t="s">
        <v>3874</v>
      </c>
      <c r="D3" s="3374">
        <v>3</v>
      </c>
      <c r="E3">
        <v>4</v>
      </c>
      <c r="F3" s="3374" t="s">
        <v>3863</v>
      </c>
      <c r="G3">
        <f>ROUND(E3/D3,2)</f>
        <v>1.33</v>
      </c>
    </row>
    <row r="4" spans="1:7">
      <c r="A4" s="3374" t="s">
        <v>3868</v>
      </c>
      <c r="B4" s="3374" t="s">
        <v>3869</v>
      </c>
      <c r="C4" s="3374" t="s">
        <v>3875</v>
      </c>
      <c r="D4">
        <v>3</v>
      </c>
      <c r="E4">
        <v>4</v>
      </c>
      <c r="F4" s="3374" t="s">
        <v>3876</v>
      </c>
      <c r="G4">
        <f>ROUND(E4/D4,2)</f>
        <v>1.33</v>
      </c>
    </row>
    <row r="5" spans="1:7">
      <c r="A5" s="3374" t="s">
        <v>3868</v>
      </c>
      <c r="B5" s="3374" t="s">
        <v>3883</v>
      </c>
      <c r="C5" s="3374" t="s">
        <v>3884</v>
      </c>
      <c r="D5">
        <v>2.5</v>
      </c>
      <c r="E5">
        <v>3.8</v>
      </c>
      <c r="F5" s="3374" t="s">
        <v>3885</v>
      </c>
      <c r="G5">
        <f>ROUND(E5/D5,2)</f>
        <v>1.52</v>
      </c>
    </row>
    <row r="6" spans="1:7">
      <c r="A6" s="3374" t="s">
        <v>3886</v>
      </c>
      <c r="B6" s="3374" t="s">
        <v>3887</v>
      </c>
      <c r="C6" s="3374" t="s">
        <v>3889</v>
      </c>
      <c r="D6" s="3374" t="s">
        <v>3895</v>
      </c>
      <c r="E6">
        <v>3.2</v>
      </c>
      <c r="F6" s="3374" t="s">
        <v>3888</v>
      </c>
    </row>
    <row r="7" spans="1:7">
      <c r="A7" s="3374" t="s">
        <v>3868</v>
      </c>
      <c r="B7" s="3374" t="s">
        <v>3890</v>
      </c>
      <c r="D7" s="3374">
        <v>3.8</v>
      </c>
      <c r="E7">
        <v>3.8</v>
      </c>
    </row>
    <row r="31" spans="1:5">
      <c r="A31" s="3374" t="s">
        <v>3865</v>
      </c>
      <c r="B31">
        <v>3800</v>
      </c>
      <c r="C31">
        <v>32</v>
      </c>
      <c r="E31">
        <f>B31/C31/30</f>
        <v>3.9583333333333335</v>
      </c>
    </row>
    <row r="32" spans="1:5">
      <c r="A32" s="3374" t="s">
        <v>3866</v>
      </c>
      <c r="B32">
        <v>3650</v>
      </c>
      <c r="C32">
        <v>40</v>
      </c>
      <c r="E32">
        <f t="shared" ref="E32:E95" si="0">B32/C32/30</f>
        <v>3.0416666666666665</v>
      </c>
    </row>
    <row r="33" spans="1:5">
      <c r="A33" s="3374" t="s">
        <v>3866</v>
      </c>
      <c r="B33">
        <v>3700</v>
      </c>
      <c r="C33">
        <v>38.46</v>
      </c>
      <c r="E33">
        <f t="shared" si="0"/>
        <v>3.2067949384642054</v>
      </c>
    </row>
    <row r="34" spans="1:5">
      <c r="A34" s="3374" t="s">
        <v>3867</v>
      </c>
      <c r="B34">
        <v>4647</v>
      </c>
      <c r="C34">
        <v>37</v>
      </c>
      <c r="E34">
        <f t="shared" si="0"/>
        <v>4.1864864864864861</v>
      </c>
    </row>
    <row r="35" spans="1:5">
      <c r="A35" s="3374" t="s">
        <v>3867</v>
      </c>
      <c r="B35">
        <v>4489</v>
      </c>
      <c r="C35">
        <v>37.4</v>
      </c>
      <c r="E35">
        <f t="shared" si="0"/>
        <v>4.000891265597148</v>
      </c>
    </row>
    <row r="36" spans="1:5">
      <c r="A36" s="3374" t="s">
        <v>3867</v>
      </c>
      <c r="B36">
        <v>4723</v>
      </c>
      <c r="C36">
        <v>42.2</v>
      </c>
      <c r="E36">
        <f t="shared" si="0"/>
        <v>3.7306477093206949</v>
      </c>
    </row>
    <row r="37" spans="1:5">
      <c r="A37" s="3374" t="s">
        <v>3867</v>
      </c>
      <c r="B37">
        <v>6033</v>
      </c>
      <c r="C37">
        <v>51.4</v>
      </c>
      <c r="E37">
        <f t="shared" si="0"/>
        <v>3.9124513618677041</v>
      </c>
    </row>
    <row r="38" spans="1:5">
      <c r="A38" s="3374" t="s">
        <v>3867</v>
      </c>
      <c r="B38">
        <v>6823</v>
      </c>
      <c r="C38">
        <v>55.9</v>
      </c>
      <c r="E38">
        <f t="shared" si="0"/>
        <v>4.0685748360166967</v>
      </c>
    </row>
    <row r="39" spans="1:5">
      <c r="A39" s="3374" t="s">
        <v>3867</v>
      </c>
      <c r="B39">
        <v>13000</v>
      </c>
      <c r="C39" s="3374">
        <v>106.7</v>
      </c>
      <c r="D39" s="3374"/>
      <c r="E39">
        <f t="shared" si="0"/>
        <v>4.0612308653545766</v>
      </c>
    </row>
    <row r="40" spans="1:5">
      <c r="A40" s="3374" t="s">
        <v>3866</v>
      </c>
      <c r="B40">
        <v>3750</v>
      </c>
      <c r="C40" s="3374">
        <v>38.380000000000003</v>
      </c>
      <c r="D40" s="3374"/>
      <c r="E40">
        <f t="shared" si="0"/>
        <v>3.2569046378322044</v>
      </c>
    </row>
    <row r="41" spans="1:5">
      <c r="A41" s="3374" t="s">
        <v>3866</v>
      </c>
      <c r="B41">
        <v>3700</v>
      </c>
      <c r="C41" s="3374">
        <v>38.46</v>
      </c>
      <c r="D41" s="3374"/>
      <c r="E41">
        <f t="shared" si="0"/>
        <v>3.2067949384642054</v>
      </c>
    </row>
    <row r="42" spans="1:5">
      <c r="A42" s="3374" t="s">
        <v>3866</v>
      </c>
      <c r="B42">
        <v>3600</v>
      </c>
      <c r="C42" s="3374">
        <v>38.39</v>
      </c>
      <c r="D42" s="3374"/>
      <c r="E42">
        <f t="shared" si="0"/>
        <v>3.125814014066163</v>
      </c>
    </row>
    <row r="43" spans="1:5">
      <c r="E43" t="e">
        <f t="shared" si="0"/>
        <v>#DIV/0!</v>
      </c>
    </row>
    <row r="44" spans="1:5">
      <c r="A44" s="3374" t="s">
        <v>3870</v>
      </c>
      <c r="B44">
        <v>3880</v>
      </c>
      <c r="C44">
        <v>34.590000000000003</v>
      </c>
      <c r="E44">
        <f t="shared" si="0"/>
        <v>3.739038257685265</v>
      </c>
    </row>
    <row r="45" spans="1:5">
      <c r="A45" s="3374" t="s">
        <v>3871</v>
      </c>
      <c r="B45">
        <v>3860</v>
      </c>
      <c r="C45">
        <v>38</v>
      </c>
      <c r="E45">
        <f t="shared" si="0"/>
        <v>3.3859649122807016</v>
      </c>
    </row>
    <row r="46" spans="1:5">
      <c r="A46" s="3374" t="s">
        <v>3871</v>
      </c>
      <c r="B46">
        <v>3400</v>
      </c>
      <c r="C46">
        <v>38</v>
      </c>
      <c r="E46">
        <f t="shared" si="0"/>
        <v>2.9824561403508771</v>
      </c>
    </row>
    <row r="47" spans="1:5">
      <c r="A47" s="3374" t="s">
        <v>3872</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3873</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3877</v>
      </c>
      <c r="B56">
        <v>4000</v>
      </c>
      <c r="C56">
        <v>40</v>
      </c>
      <c r="E56">
        <f t="shared" si="0"/>
        <v>3.3333333333333335</v>
      </c>
    </row>
    <row r="57" spans="1:5">
      <c r="A57" s="3374" t="s">
        <v>3881</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3882</v>
      </c>
      <c r="B60">
        <v>3500</v>
      </c>
      <c r="C60">
        <v>18</v>
      </c>
      <c r="E60">
        <f t="shared" si="0"/>
        <v>6.4814814814814818</v>
      </c>
    </row>
    <row r="61" spans="1:5">
      <c r="E61" t="e">
        <f t="shared" si="0"/>
        <v>#DIV/0!</v>
      </c>
    </row>
    <row r="62" spans="1:5">
      <c r="A62" s="3374" t="s">
        <v>3878</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3879</v>
      </c>
      <c r="B66">
        <v>3000</v>
      </c>
      <c r="C66">
        <v>30</v>
      </c>
      <c r="E66">
        <f t="shared" si="0"/>
        <v>3.3333333333333335</v>
      </c>
    </row>
    <row r="67" spans="1:17">
      <c r="A67" s="3374" t="s">
        <v>3880</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3888</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3891</v>
      </c>
      <c r="B86">
        <v>3500</v>
      </c>
      <c r="C86">
        <v>32.89</v>
      </c>
      <c r="E86">
        <f t="shared" si="0"/>
        <v>3.5471774602209383</v>
      </c>
    </row>
    <row r="87" spans="1:5">
      <c r="B87">
        <v>4400</v>
      </c>
      <c r="C87">
        <v>32.89</v>
      </c>
      <c r="E87">
        <f t="shared" si="0"/>
        <v>4.4593088071348941</v>
      </c>
    </row>
    <row r="88" spans="1:5">
      <c r="A88" s="3374" t="s">
        <v>3892</v>
      </c>
      <c r="B88">
        <v>3600</v>
      </c>
      <c r="C88">
        <v>34.19</v>
      </c>
      <c r="E88">
        <f t="shared" si="0"/>
        <v>3.5097981866042707</v>
      </c>
    </row>
    <row r="89" spans="1:5">
      <c r="A89" s="3374" t="s">
        <v>3893</v>
      </c>
      <c r="B89">
        <v>3650</v>
      </c>
      <c r="C89">
        <v>36</v>
      </c>
      <c r="E89">
        <f t="shared" si="0"/>
        <v>3.3796296296296293</v>
      </c>
    </row>
    <row r="90" spans="1:5">
      <c r="B90">
        <v>4250</v>
      </c>
      <c r="C90">
        <v>36</v>
      </c>
      <c r="E90">
        <f t="shared" si="0"/>
        <v>3.9351851851851851</v>
      </c>
    </row>
    <row r="91" spans="1:5">
      <c r="A91" s="3374" t="s">
        <v>3894</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3896</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24" t="s">
        <v>3669</v>
      </c>
      <c r="B1" s="3924"/>
    </row>
    <row r="2" spans="1:45" s="3405" customFormat="1"/>
    <row r="3" spans="1:45" s="3405" customFormat="1">
      <c r="C3" s="3406"/>
      <c r="Q3" s="3406"/>
    </row>
    <row r="4" spans="1:45" s="3405" customFormat="1" hidden="1">
      <c r="A4" s="3925"/>
      <c r="B4" s="3925"/>
      <c r="C4" s="3925"/>
      <c r="D4" s="3925"/>
      <c r="E4" s="3925"/>
      <c r="F4" s="3925"/>
      <c r="G4" s="3925"/>
      <c r="H4" s="3925"/>
      <c r="I4" s="3925"/>
      <c r="J4" s="3925"/>
      <c r="K4" s="3925"/>
      <c r="L4" s="3925"/>
      <c r="M4" s="3925"/>
      <c r="N4" s="3925"/>
      <c r="O4" s="3407"/>
      <c r="P4" s="3407"/>
      <c r="Q4" s="3407"/>
      <c r="R4" s="3407"/>
      <c r="S4" s="3407"/>
      <c r="T4" s="3407"/>
      <c r="U4" s="3407"/>
      <c r="V4" s="3407"/>
      <c r="W4" s="3407"/>
      <c r="X4" s="3407"/>
      <c r="Y4" s="3407"/>
      <c r="Z4" s="3407"/>
      <c r="AA4" s="3408"/>
      <c r="AB4" s="3408" t="s">
        <v>3670</v>
      </c>
      <c r="AC4" s="3408" t="s">
        <v>3671</v>
      </c>
      <c r="AD4" s="3408" t="s">
        <v>3672</v>
      </c>
      <c r="AE4" s="3408" t="s">
        <v>3673</v>
      </c>
      <c r="AF4" s="3408" t="s">
        <v>3674</v>
      </c>
      <c r="AG4" s="3408" t="s">
        <v>3675</v>
      </c>
      <c r="AH4" s="3408" t="s">
        <v>3676</v>
      </c>
      <c r="AI4" s="3408" t="s">
        <v>3677</v>
      </c>
      <c r="AJ4" s="3408" t="s">
        <v>3678</v>
      </c>
      <c r="AK4" s="3408" t="s">
        <v>3679</v>
      </c>
      <c r="AL4" s="3408" t="s">
        <v>3680</v>
      </c>
      <c r="AM4" s="3408" t="s">
        <v>3681</v>
      </c>
      <c r="AN4" s="3408" t="s">
        <v>3682</v>
      </c>
      <c r="AO4" s="3408" t="s">
        <v>3683</v>
      </c>
      <c r="AP4" s="3408" t="s">
        <v>3684</v>
      </c>
      <c r="AQ4" s="3408" t="s">
        <v>3685</v>
      </c>
      <c r="AR4" s="3409" t="s">
        <v>3686</v>
      </c>
    </row>
    <row r="5" spans="1:45" s="3413" customFormat="1" hidden="1">
      <c r="A5" s="3410" t="s">
        <v>3687</v>
      </c>
      <c r="B5" s="3411" t="s">
        <v>3688</v>
      </c>
      <c r="C5" s="3926" t="s">
        <v>3689</v>
      </c>
      <c r="D5" s="3926"/>
      <c r="E5" s="3926"/>
      <c r="F5" s="3926"/>
      <c r="G5" s="3926"/>
      <c r="H5" s="3926"/>
      <c r="I5" s="3926"/>
      <c r="J5" s="3926"/>
      <c r="K5" s="3926"/>
      <c r="L5" s="3926"/>
      <c r="M5" s="3926"/>
      <c r="N5" s="3926"/>
      <c r="O5" s="3926" t="s">
        <v>3690</v>
      </c>
      <c r="P5" s="3926"/>
      <c r="Q5" s="3926"/>
      <c r="R5" s="3926"/>
      <c r="S5" s="3926"/>
      <c r="T5" s="3926"/>
      <c r="U5" s="3926"/>
      <c r="V5" s="3926"/>
      <c r="W5" s="3926"/>
      <c r="X5" s="3926"/>
      <c r="Y5" s="3926"/>
      <c r="Z5" s="3926"/>
      <c r="AA5" s="3412" t="s">
        <v>3691</v>
      </c>
      <c r="AB5" s="3412" t="s">
        <v>3692</v>
      </c>
      <c r="AC5" s="3412" t="s">
        <v>3693</v>
      </c>
      <c r="AD5" s="3412" t="s">
        <v>3694</v>
      </c>
      <c r="AE5" s="3412" t="s">
        <v>3695</v>
      </c>
      <c r="AF5" s="3412" t="s">
        <v>3696</v>
      </c>
      <c r="AG5" s="3412" t="s">
        <v>3697</v>
      </c>
      <c r="AH5" s="3412" t="s">
        <v>3698</v>
      </c>
      <c r="AI5" s="3412" t="s">
        <v>3699</v>
      </c>
      <c r="AJ5" s="3412" t="s">
        <v>3700</v>
      </c>
      <c r="AK5" s="3412" t="s">
        <v>3701</v>
      </c>
      <c r="AL5" s="3412" t="s">
        <v>3702</v>
      </c>
      <c r="AM5" s="3412" t="s">
        <v>3703</v>
      </c>
      <c r="AN5" s="3412" t="s">
        <v>3704</v>
      </c>
      <c r="AO5" s="3412" t="s">
        <v>3705</v>
      </c>
      <c r="AP5" s="3412" t="s">
        <v>3706</v>
      </c>
      <c r="AQ5" s="3412" t="s">
        <v>3707</v>
      </c>
    </row>
    <row r="6" spans="1:45" s="3413" customFormat="1" ht="12.75" hidden="1" customHeight="1">
      <c r="A6" s="3927" t="s">
        <v>3708</v>
      </c>
      <c r="B6" s="3929" t="s">
        <v>3709</v>
      </c>
      <c r="C6" s="3920" t="s">
        <v>3710</v>
      </c>
      <c r="D6" s="3920" t="s">
        <v>3711</v>
      </c>
      <c r="E6" s="3920" t="s">
        <v>3712</v>
      </c>
      <c r="F6" s="3920" t="s">
        <v>3713</v>
      </c>
      <c r="G6" s="3920" t="s">
        <v>3714</v>
      </c>
      <c r="H6" s="3920" t="s">
        <v>3715</v>
      </c>
      <c r="I6" s="3920" t="s">
        <v>3716</v>
      </c>
      <c r="J6" s="3920" t="s">
        <v>3717</v>
      </c>
      <c r="K6" s="3920" t="s">
        <v>3718</v>
      </c>
      <c r="L6" s="3920" t="s">
        <v>3719</v>
      </c>
      <c r="M6" s="3920" t="s">
        <v>3720</v>
      </c>
      <c r="N6" s="3920" t="s">
        <v>3721</v>
      </c>
      <c r="O6" s="3920" t="s">
        <v>3722</v>
      </c>
      <c r="P6" s="3920" t="s">
        <v>3723</v>
      </c>
      <c r="Q6" s="3920" t="s">
        <v>3724</v>
      </c>
      <c r="R6" s="3920" t="s">
        <v>3725</v>
      </c>
      <c r="S6" s="3920" t="s">
        <v>3726</v>
      </c>
      <c r="T6" s="3920" t="s">
        <v>3727</v>
      </c>
      <c r="U6" s="3920" t="s">
        <v>3728</v>
      </c>
      <c r="V6" s="3920" t="s">
        <v>3729</v>
      </c>
      <c r="W6" s="3920" t="s">
        <v>3730</v>
      </c>
      <c r="X6" s="3920" t="s">
        <v>3731</v>
      </c>
      <c r="Y6" s="3920" t="s">
        <v>3732</v>
      </c>
      <c r="Z6" s="3920" t="s">
        <v>3733</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28"/>
      <c r="B7" s="3929"/>
      <c r="C7" s="3920"/>
      <c r="D7" s="3920"/>
      <c r="E7" s="3920"/>
      <c r="F7" s="3920"/>
      <c r="G7" s="3920"/>
      <c r="H7" s="3920"/>
      <c r="I7" s="3920"/>
      <c r="J7" s="3920"/>
      <c r="K7" s="3920"/>
      <c r="L7" s="3920"/>
      <c r="M7" s="3920"/>
      <c r="N7" s="3920"/>
      <c r="O7" s="3920"/>
      <c r="P7" s="3920"/>
      <c r="Q7" s="3920"/>
      <c r="R7" s="3920"/>
      <c r="S7" s="3920"/>
      <c r="T7" s="3920"/>
      <c r="U7" s="3920"/>
      <c r="V7" s="3920"/>
      <c r="W7" s="3920"/>
      <c r="X7" s="3920"/>
      <c r="Y7" s="3920"/>
      <c r="Z7" s="3920"/>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3734</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3735</v>
      </c>
      <c r="AS8" s="3413" t="s">
        <v>3736</v>
      </c>
    </row>
    <row r="9" spans="1:45" s="3422" customFormat="1" hidden="1">
      <c r="A9" s="3417" t="s">
        <v>3737</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3738</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3739</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3740</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3741</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3742</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3743</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3744</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3745</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3746</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3747</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3748</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3749</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3750</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3751</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3752</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3753</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3754</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3755</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3756</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3757</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3758</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3759</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3760</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3761</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3762</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3763</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3764</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3765</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3766</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3767</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3768</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3769</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3770</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3771</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3772</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3773</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3774</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3775</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3776</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3777</v>
      </c>
      <c r="B52" s="3470" t="s">
        <v>3778</v>
      </c>
      <c r="C52" s="3470" t="s">
        <v>3779</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3780</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3779</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3781</v>
      </c>
      <c r="B58" s="3474" t="s">
        <v>3782</v>
      </c>
      <c r="C58" s="3474" t="s">
        <v>3783</v>
      </c>
      <c r="D58" s="3475"/>
      <c r="F58" s="3476" t="s">
        <v>3781</v>
      </c>
      <c r="G58" s="3477" t="s">
        <v>3784</v>
      </c>
      <c r="H58" s="3477" t="s">
        <v>3785</v>
      </c>
      <c r="I58" s="3477" t="s">
        <v>3786</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3787</v>
      </c>
      <c r="B59" s="3480">
        <v>101252.65000000002</v>
      </c>
      <c r="C59" s="3480">
        <f>344+1011</f>
        <v>1355</v>
      </c>
      <c r="D59" s="3475"/>
      <c r="F59" s="3921" t="s">
        <v>3787</v>
      </c>
      <c r="G59" s="3481" t="s">
        <v>3788</v>
      </c>
      <c r="H59" s="3481" t="s">
        <v>3789</v>
      </c>
      <c r="I59" s="3481" t="s">
        <v>3790</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3791</v>
      </c>
      <c r="B60" s="3480">
        <v>7856.1999999999953</v>
      </c>
      <c r="C60" s="3480">
        <v>490</v>
      </c>
      <c r="D60" s="3475"/>
      <c r="F60" s="3922"/>
      <c r="G60" s="3481" t="s">
        <v>3792</v>
      </c>
      <c r="H60" s="3481" t="s">
        <v>3793</v>
      </c>
      <c r="I60" s="3481" t="s">
        <v>3794</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3795</v>
      </c>
      <c r="B61" s="3480">
        <v>24817.329999999831</v>
      </c>
      <c r="C61" s="3480">
        <v>794</v>
      </c>
      <c r="D61" s="3475"/>
      <c r="F61" s="3922"/>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3686</v>
      </c>
      <c r="B62" s="3480">
        <f>SUM(B59:B61)</f>
        <v>133926.17999999985</v>
      </c>
      <c r="C62" s="3480">
        <f>SUM(C59:C61)</f>
        <v>2639</v>
      </c>
      <c r="D62" s="3475"/>
      <c r="F62" s="3923"/>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3796</v>
      </c>
      <c r="B63" s="3480">
        <v>1355</v>
      </c>
      <c r="D63" s="3475"/>
      <c r="F63" s="3483" t="s">
        <v>3797</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3798</v>
      </c>
      <c r="B64" s="3480">
        <f>[5]成本法!$C$33</f>
        <v>80559</v>
      </c>
      <c r="D64" s="3475"/>
      <c r="F64" s="3485" t="s">
        <v>3791</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3799</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3800</v>
      </c>
      <c r="B66" s="3480">
        <v>38894.370000000003</v>
      </c>
      <c r="D66" s="3475"/>
      <c r="F66" s="3485" t="s">
        <v>3795</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3801</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3828</v>
      </c>
      <c r="AC72" s="3489" t="s">
        <v>3802</v>
      </c>
      <c r="AD72" s="3489" t="s">
        <v>3803</v>
      </c>
      <c r="AE72" s="3489" t="s">
        <v>3804</v>
      </c>
      <c r="AF72" s="3489" t="s">
        <v>3805</v>
      </c>
      <c r="AG72" s="3489" t="s">
        <v>3806</v>
      </c>
      <c r="AH72" s="3489" t="s">
        <v>3807</v>
      </c>
      <c r="AI72" s="3489" t="s">
        <v>3808</v>
      </c>
      <c r="AJ72" s="3489" t="s">
        <v>3809</v>
      </c>
      <c r="AK72" s="3489" t="s">
        <v>3810</v>
      </c>
      <c r="AL72" s="3489" t="s">
        <v>3811</v>
      </c>
      <c r="AM72" s="3489" t="s">
        <v>3812</v>
      </c>
      <c r="AN72" s="3489" t="s">
        <v>3813</v>
      </c>
      <c r="AO72" s="3489" t="s">
        <v>3814</v>
      </c>
      <c r="AP72" s="3489" t="s">
        <v>3815</v>
      </c>
      <c r="AQ72" s="3489" t="s">
        <v>3829</v>
      </c>
      <c r="AR72" s="3489" t="s">
        <v>3830</v>
      </c>
      <c r="AS72" s="3489" t="s">
        <v>3831</v>
      </c>
      <c r="AT72" s="3489" t="s">
        <v>3832</v>
      </c>
      <c r="AU72" s="3489" t="s">
        <v>3833</v>
      </c>
      <c r="AV72" s="3489" t="s">
        <v>3834</v>
      </c>
      <c r="AW72" s="3489" t="s">
        <v>3835</v>
      </c>
      <c r="AX72" s="3489" t="s">
        <v>3836</v>
      </c>
      <c r="AY72" s="3489" t="s">
        <v>3837</v>
      </c>
      <c r="AZ72" s="3489" t="s">
        <v>3838</v>
      </c>
      <c r="BA72" s="3489" t="s">
        <v>3839</v>
      </c>
      <c r="BB72" s="3489" t="s">
        <v>3840</v>
      </c>
      <c r="BC72" s="3489" t="s">
        <v>3841</v>
      </c>
      <c r="BD72" s="3489" t="s">
        <v>3842</v>
      </c>
      <c r="BE72" s="3489" t="s">
        <v>3843</v>
      </c>
      <c r="BF72" s="3489" t="s">
        <v>3844</v>
      </c>
      <c r="BG72" s="3489" t="s">
        <v>3845</v>
      </c>
      <c r="BH72" s="3489" t="s">
        <v>3846</v>
      </c>
      <c r="BI72" s="3489" t="s">
        <v>3847</v>
      </c>
      <c r="BJ72" s="3489" t="s">
        <v>3848</v>
      </c>
      <c r="BK72" s="3489" t="s">
        <v>3849</v>
      </c>
      <c r="BL72" s="3489" t="s">
        <v>3850</v>
      </c>
      <c r="BM72" s="3489" t="s">
        <v>3851</v>
      </c>
      <c r="BN72" s="3489" t="s">
        <v>3852</v>
      </c>
    </row>
    <row r="73" spans="1:66" s="3490" customFormat="1" ht="13.5" customHeight="1">
      <c r="A73" s="3488" t="s">
        <v>3816</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3817</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3818</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3853</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3854</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3855</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3819</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3820</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3821</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3822</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3823</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3824</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3825</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3826</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3827</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05" t="s">
        <v>949</v>
      </c>
      <c r="B1" s="3605"/>
      <c r="C1" s="3605"/>
      <c r="D1" s="3605"/>
    </row>
    <row r="2" spans="1:4" ht="18">
      <c r="A2" s="3606" t="s">
        <v>933</v>
      </c>
      <c r="B2" s="3606"/>
      <c r="C2" s="3606"/>
      <c r="D2" s="3606"/>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06" t="s">
        <v>939</v>
      </c>
      <c r="B6" s="3606"/>
      <c r="C6" s="3606"/>
      <c r="D6" s="3606"/>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07" t="s">
        <v>942</v>
      </c>
      <c r="B11" s="3599"/>
      <c r="C11" s="3599"/>
      <c r="D11" s="3599"/>
    </row>
    <row r="12" spans="1:4" ht="15.75">
      <c r="A12" s="35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4"/>
      <c r="C12" s="3604"/>
      <c r="D12" s="3604"/>
    </row>
    <row r="13" spans="1:4" ht="30" customHeight="1">
      <c r="A13" s="35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4"/>
      <c r="C13" s="3604"/>
      <c r="D13" s="3604"/>
    </row>
    <row r="14" spans="1:4" ht="15.75" customHeight="1">
      <c r="A14" s="3599" t="str">
        <f>IF(项目基本情况!B8="抵押","4.本次评估估价师所知悉的法定优先受偿款情况说明如下：","——")</f>
        <v>4.本次评估估价师所知悉的法定优先受偿款情况说明如下：</v>
      </c>
      <c r="B14" s="3604"/>
      <c r="C14" s="3604"/>
      <c r="D14" s="3604"/>
    </row>
    <row r="15" spans="1:4" ht="42" customHeight="1">
      <c r="A15" s="35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9"/>
      <c r="C15" s="3599"/>
      <c r="D15" s="3599"/>
    </row>
    <row r="16" spans="1:4" ht="30" customHeight="1">
      <c r="A16" s="3601" t="s">
        <v>943</v>
      </c>
      <c r="B16" s="3601"/>
      <c r="C16" s="3601"/>
      <c r="D16" s="3601"/>
    </row>
    <row r="17" spans="1:4" ht="144" customHeight="1">
      <c r="A17" s="3601" t="s">
        <v>944</v>
      </c>
      <c r="B17" s="3601"/>
      <c r="C17" s="3601"/>
      <c r="D17" s="3601"/>
    </row>
    <row r="18" spans="1:4" ht="15.75" customHeight="1">
      <c r="A18" s="3599" t="str">
        <f>IF(项目基本情况!B8="抵押",结果表!K120,"——")</f>
        <v>故，本次评估不存在估价师知悉的法定优先受偿款</v>
      </c>
      <c r="B18" s="3599"/>
      <c r="C18" s="3599"/>
      <c r="D18" s="3599"/>
    </row>
    <row r="19" spans="1:4" ht="46.5" customHeight="1">
      <c r="A19" s="35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9"/>
      <c r="C19" s="3599"/>
      <c r="D19" s="3599"/>
    </row>
    <row r="20" spans="1:4" ht="57.75" customHeight="1">
      <c r="A20" s="35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9"/>
      <c r="C20" s="3599"/>
      <c r="D20" s="3599"/>
    </row>
    <row r="21" spans="1:4" ht="57.75" customHeight="1">
      <c r="A21" s="36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2"/>
      <c r="C21" s="3602"/>
      <c r="D21" s="3602"/>
    </row>
    <row r="22" spans="1:4" ht="18.75" customHeight="1">
      <c r="A22" s="3603" t="s">
        <v>945</v>
      </c>
      <c r="B22" s="3603"/>
      <c r="C22" s="3603"/>
      <c r="D22" s="3603"/>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00">
        <v>42551</v>
      </c>
      <c r="D31" s="36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13" t="s">
        <v>956</v>
      </c>
      <c r="B15" s="3608" t="s">
        <v>109</v>
      </c>
      <c r="C15" s="3609"/>
    </row>
    <row r="16" spans="1:7" ht="13.5">
      <c r="A16" s="3614"/>
      <c r="B16" s="3608" t="s">
        <v>42</v>
      </c>
      <c r="C16" s="3609"/>
    </row>
    <row r="17" spans="1:3" ht="13.5">
      <c r="A17" s="3614"/>
      <c r="B17" s="3611" t="s">
        <v>957</v>
      </c>
      <c r="C17" s="1526" t="s">
        <v>956</v>
      </c>
    </row>
    <row r="18" spans="1:3" ht="13.5">
      <c r="A18" s="3614"/>
      <c r="B18" s="3611"/>
      <c r="C18" s="1526" t="s">
        <v>958</v>
      </c>
    </row>
    <row r="19" spans="1:3" ht="13.5">
      <c r="A19" s="3614"/>
      <c r="B19" s="3611"/>
      <c r="C19" s="1526" t="s">
        <v>959</v>
      </c>
    </row>
    <row r="20" spans="1:3" ht="13.5">
      <c r="A20" s="3615"/>
      <c r="B20" s="3610" t="s">
        <v>960</v>
      </c>
      <c r="C20" s="3609"/>
    </row>
    <row r="21" spans="1:3" ht="13.5">
      <c r="A21" s="1527" t="s">
        <v>961</v>
      </c>
      <c r="B21" s="1528"/>
      <c r="C21" s="1529"/>
    </row>
    <row r="22" spans="1:3" ht="13.5">
      <c r="A22" s="3612" t="s">
        <v>962</v>
      </c>
      <c r="B22" s="3610" t="s">
        <v>963</v>
      </c>
      <c r="C22" s="3609"/>
    </row>
    <row r="23" spans="1:3" ht="13.5">
      <c r="A23" s="3612"/>
      <c r="B23" s="3610" t="s">
        <v>964</v>
      </c>
      <c r="C23" s="3609"/>
    </row>
    <row r="24" spans="1:3" ht="13.5">
      <c r="A24" s="3612"/>
      <c r="B24" s="3610" t="s">
        <v>965</v>
      </c>
      <c r="C24" s="3609"/>
    </row>
    <row r="25" spans="1:3" ht="13.5">
      <c r="A25" s="3612"/>
      <c r="B25" s="3611" t="s">
        <v>966</v>
      </c>
      <c r="C25" s="1526" t="s">
        <v>967</v>
      </c>
    </row>
    <row r="26" spans="1:3" ht="13.5">
      <c r="A26" s="3612"/>
      <c r="B26" s="3611"/>
      <c r="C26" s="1526" t="s">
        <v>968</v>
      </c>
    </row>
    <row r="27" spans="1:3" ht="13.5">
      <c r="A27" s="3612"/>
      <c r="B27" s="3611"/>
      <c r="C27" s="1526" t="s">
        <v>969</v>
      </c>
    </row>
    <row r="28" spans="1:3" ht="13.5">
      <c r="A28" s="3612"/>
      <c r="B28" s="3611"/>
      <c r="C28" s="1526" t="s">
        <v>970</v>
      </c>
    </row>
    <row r="29" spans="1:3" ht="13.5">
      <c r="A29" s="3612"/>
      <c r="B29" s="3611"/>
      <c r="C29" s="1526" t="s">
        <v>971</v>
      </c>
    </row>
    <row r="30" spans="1:3" ht="13.5">
      <c r="A30" s="3612"/>
      <c r="B30" s="3611"/>
      <c r="C30" s="1526" t="s">
        <v>972</v>
      </c>
    </row>
    <row r="31" spans="1:3" ht="13.5">
      <c r="A31" s="3612"/>
      <c r="B31" s="3611"/>
      <c r="C31" s="1526" t="s">
        <v>973</v>
      </c>
    </row>
    <row r="32" spans="1:3" ht="13.5">
      <c r="A32" s="3612"/>
      <c r="B32" s="3611"/>
      <c r="C32" s="1526" t="s">
        <v>974</v>
      </c>
    </row>
    <row r="33" spans="1:3" ht="13.5">
      <c r="A33" s="3612"/>
      <c r="B33" s="3611"/>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45433</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16" t="s">
        <v>2160</v>
      </c>
      <c r="B17" s="3616"/>
      <c r="C17" s="3616"/>
      <c r="D17" s="3616"/>
      <c r="E17" s="3616"/>
      <c r="F17" s="3616"/>
      <c r="G17" s="3616"/>
      <c r="H17" s="3616"/>
    </row>
    <row r="18" spans="1:8" ht="24" customHeight="1">
      <c r="A18" s="3617" t="s">
        <v>2161</v>
      </c>
      <c r="B18" s="3617"/>
      <c r="C18" s="3617"/>
      <c r="D18" s="2335"/>
      <c r="E18" s="3618" t="s">
        <v>2162</v>
      </c>
      <c r="F18" s="3617"/>
      <c r="G18" s="3617"/>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2024-05-21T05:23:17Z</dcterms:modified>
</cp:coreProperties>
</file>