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3"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Sheet4" sheetId="78" r:id="rId19"/>
    <sheet name="成本法" sheetId="68" r:id="rId20"/>
    <sheet name="成本法 (元)" sheetId="69" state="hidden" r:id="rId21"/>
    <sheet name="假设开发法" sheetId="12" state="hidden" r:id="rId22"/>
    <sheet name="土地比较法-住宅、综合" sheetId="39" r:id="rId23"/>
    <sheet name="收益法（汇总）" sheetId="70" r:id="rId24"/>
    <sheet name="收益法（奥特莱斯）" sheetId="15" r:id="rId25"/>
    <sheet name="收益法 (元)" sheetId="67" state="hidden" r:id="rId26"/>
    <sheet name="收益法（会所）" sheetId="77"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5">'收益法 (元)'!$A$1:$AK$69</definedName>
    <definedName name="_xlnm.Print_Area" localSheetId="24">'收益法（奥特莱斯）'!$A$1:$AK$69</definedName>
    <definedName name="_xlnm.Print_Area" localSheetId="26">'收益法（会所）'!$A$1:$AK$69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91" i="9" l="1"/>
  <c r="C90" i="9"/>
  <c r="C88" i="9"/>
  <c r="C16" i="78"/>
  <c r="D3" i="78"/>
  <c r="E80" i="39" l="1"/>
  <c r="F80" i="39" s="1"/>
  <c r="G80" i="39" s="1"/>
  <c r="H80" i="39" s="1"/>
  <c r="I80" i="39" s="1"/>
  <c r="D80" i="39"/>
  <c r="I20" i="74" l="1"/>
  <c r="G20" i="74"/>
  <c r="I19" i="74"/>
  <c r="G19" i="74"/>
  <c r="I18" i="74"/>
  <c r="G18" i="74"/>
  <c r="I17" i="74"/>
  <c r="G17" i="74"/>
  <c r="I16" i="74"/>
  <c r="G16" i="74"/>
  <c r="I15" i="74"/>
  <c r="G15" i="74"/>
  <c r="I7" i="39" l="1"/>
  <c r="G7" i="39"/>
  <c r="E7" i="39"/>
  <c r="I38" i="39"/>
  <c r="G38" i="39"/>
  <c r="E38" i="39"/>
  <c r="I5" i="39"/>
  <c r="G5" i="39"/>
  <c r="E5" i="39"/>
  <c r="D14" i="9" l="1"/>
  <c r="C14" i="9"/>
  <c r="AM7" i="1"/>
  <c r="AM6" i="1"/>
  <c r="AL7" i="1"/>
  <c r="AL6" i="1"/>
  <c r="AK7" i="1"/>
  <c r="AK6" i="1"/>
  <c r="W7" i="1"/>
  <c r="W6" i="1"/>
  <c r="V7" i="1"/>
  <c r="V6" i="1"/>
  <c r="U7" i="1"/>
  <c r="U6" i="1"/>
  <c r="Q7" i="1"/>
  <c r="Q6" i="1"/>
  <c r="L7" i="1"/>
  <c r="L6" i="1"/>
  <c r="I14" i="3" l="1"/>
  <c r="I13" i="3"/>
  <c r="N7" i="1" l="1"/>
  <c r="N6" i="1"/>
  <c r="N8" i="1"/>
  <c r="N9" i="1"/>
  <c r="N10" i="1"/>
  <c r="N11" i="1"/>
  <c r="N12" i="1"/>
  <c r="N13" i="1"/>
  <c r="B20" i="1" l="1"/>
  <c r="B21" i="1" s="1"/>
  <c r="B5" i="4" l="1"/>
  <c r="D71" i="39" l="1"/>
  <c r="E71" i="39" s="1"/>
  <c r="F71" i="39" s="1"/>
  <c r="G71" i="39" s="1"/>
  <c r="H71" i="39" s="1"/>
  <c r="I71" i="39" s="1"/>
  <c r="J71" i="39" s="1"/>
  <c r="K71" i="39" s="1"/>
  <c r="L71" i="39" s="1"/>
  <c r="M71" i="39" s="1"/>
  <c r="N71" i="39" s="1"/>
  <c r="O71" i="39" s="1"/>
  <c r="D75" i="39"/>
  <c r="J52" i="77" l="1"/>
  <c r="Q51" i="77" s="1"/>
  <c r="Y7" i="1"/>
  <c r="Y6" i="1"/>
  <c r="Q72" i="77"/>
  <c r="Q59" i="77"/>
  <c r="K59" i="77"/>
  <c r="P61" i="77" s="1"/>
  <c r="F59" i="77"/>
  <c r="Q58" i="77"/>
  <c r="J50" i="77"/>
  <c r="M47" i="77"/>
  <c r="D46" i="77"/>
  <c r="F33" i="77"/>
  <c r="F61" i="77" s="1"/>
  <c r="F31" i="77"/>
  <c r="F23" i="77"/>
  <c r="F21" i="77"/>
  <c r="F20" i="77"/>
  <c r="M19" i="77"/>
  <c r="F18" i="77"/>
  <c r="M17" i="77"/>
  <c r="F17" i="77"/>
  <c r="F15" i="77"/>
  <c r="J52" i="15"/>
  <c r="P74" i="77" l="1"/>
  <c r="D23" i="77"/>
  <c r="D22" i="77"/>
  <c r="D24" i="77"/>
  <c r="B7" i="4" l="1"/>
  <c r="D3" i="4"/>
  <c r="L3" i="71" l="1"/>
  <c r="K3" i="71"/>
  <c r="I3" i="71"/>
  <c r="J3" i="71" l="1"/>
  <c r="AD5" i="71" l="1"/>
  <c r="AG5" i="71"/>
  <c r="AH5" i="71"/>
  <c r="AE5" i="71"/>
  <c r="AF5" i="71" s="1"/>
  <c r="N5" i="71"/>
  <c r="Q5" i="71"/>
  <c r="P5" i="71"/>
  <c r="O5" i="71"/>
  <c r="Q6" i="71" l="1"/>
  <c r="P6" i="71"/>
  <c r="O6" i="71"/>
  <c r="N6"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3" i="76"/>
  <c r="B8" i="76"/>
  <c r="E12" i="76"/>
  <c r="E11" i="76"/>
  <c r="B7" i="76"/>
  <c r="E8" i="76"/>
  <c r="E7" i="76"/>
  <c r="E10" i="76"/>
  <c r="E13" i="76"/>
  <c r="B11" i="76"/>
  <c r="B12" i="76"/>
  <c r="B9" i="76"/>
  <c r="E9" i="76"/>
  <c r="B10" i="76"/>
  <c r="C76" i="9" l="1"/>
  <c r="I107" i="40" l="1"/>
  <c r="K6" i="4" l="1"/>
  <c r="B22" i="31" l="1"/>
  <c r="N56" i="9" l="1"/>
  <c r="M56" i="9"/>
  <c r="K56" i="9"/>
  <c r="E21" i="74" l="1"/>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5" i="73"/>
  <c r="F3" i="73"/>
  <c r="D3" i="73"/>
  <c r="F4" i="73"/>
  <c r="D6" i="73"/>
  <c r="D5" i="73"/>
  <c r="I1" i="73" l="1"/>
  <c r="B39" i="1" s="1"/>
  <c r="D7" i="73"/>
  <c r="D4"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X5" i="71" s="1"/>
  <c r="Y5" i="71" l="1"/>
  <c r="Z5" i="71" s="1"/>
  <c r="Y11" i="71"/>
  <c r="Z11" i="71" s="1"/>
  <c r="AB11" i="71"/>
  <c r="Y12" i="71"/>
  <c r="Z12" i="71" s="1"/>
  <c r="AB12" i="71"/>
  <c r="Y13" i="71"/>
  <c r="Z13" i="71" s="1"/>
  <c r="AB13" i="71"/>
  <c r="Y15" i="71"/>
  <c r="Z15" i="71" s="1"/>
  <c r="AB15" i="71"/>
  <c r="Y16" i="71"/>
  <c r="Z16" i="71" s="1"/>
  <c r="AB16" i="71"/>
  <c r="Y17" i="71"/>
  <c r="Z17" i="71" s="1"/>
  <c r="AB17" i="71"/>
  <c r="B36" i="71"/>
  <c r="B37" i="71" s="1"/>
  <c r="S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2" i="1"/>
  <c r="AO10" i="1"/>
  <c r="AO13" i="1"/>
  <c r="AO9" i="1"/>
  <c r="F29" i="39" l="1"/>
  <c r="AA29" i="39" s="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M13" i="1"/>
  <c r="O13" i="1" s="1"/>
  <c r="P13" i="1" s="1"/>
  <c r="E22" i="6"/>
  <c r="E23" i="6"/>
  <c r="E24" i="6"/>
  <c r="E25" i="6"/>
  <c r="E26" i="6"/>
  <c r="BC13" i="3"/>
  <c r="BD13" i="3"/>
  <c r="BE13" i="3"/>
  <c r="BF13" i="3"/>
  <c r="BG13" i="3"/>
  <c r="BH13" i="3"/>
  <c r="BI13" i="3"/>
  <c r="BJ13" i="3"/>
  <c r="BK13"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AC14" i="3"/>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s="1"/>
  <c r="AB11" i="36"/>
  <c r="AB11" i="35"/>
  <c r="J10" i="36"/>
  <c r="AC10" i="36" s="1"/>
  <c r="AB26" i="33"/>
  <c r="AB30" i="21"/>
  <c r="W31" i="34"/>
  <c r="AC13" i="36"/>
  <c r="W13" i="36"/>
  <c r="S11" i="36"/>
  <c r="W11" i="36"/>
  <c r="AB46" i="34"/>
  <c r="AA14" i="34"/>
  <c r="AB45" i="33"/>
  <c r="U31"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AC32" i="36"/>
  <c r="AC33" i="36"/>
  <c r="AA12" i="35"/>
  <c r="W23" i="35"/>
  <c r="W14" i="37"/>
  <c r="AB28" i="37"/>
  <c r="U33" i="37"/>
  <c r="U39"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C12" i="43"/>
  <c r="H19" i="40"/>
  <c r="U19" i="40" s="1"/>
  <c r="F19" i="40"/>
  <c r="S19" i="40" s="1"/>
  <c r="S14" i="40"/>
  <c r="AC13" i="40"/>
  <c r="AB33" i="40"/>
  <c r="G101" i="39"/>
  <c r="H37" i="39"/>
  <c r="AB37" i="39" s="1"/>
  <c r="H25" i="39"/>
  <c r="AB25" i="39" s="1"/>
  <c r="J25" i="39"/>
  <c r="F25" i="39"/>
  <c r="AA25" i="39" s="1"/>
  <c r="F15" i="39"/>
  <c r="AA15" i="39" s="1"/>
  <c r="H15" i="39"/>
  <c r="U15" i="39" s="1"/>
  <c r="J15" i="39"/>
  <c r="W15" i="39" s="1"/>
  <c r="H41" i="39"/>
  <c r="AB34"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s="1"/>
  <c r="AZ20"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G113" i="3"/>
  <c r="BA115" i="3"/>
  <c r="BL116" i="3"/>
  <c r="AZ116" i="3" s="1"/>
  <c r="G117" i="3"/>
  <c r="BA119" i="3"/>
  <c r="BL120" i="3"/>
  <c r="G121" i="3"/>
  <c r="BA123" i="3"/>
  <c r="AZ123" i="3" s="1"/>
  <c r="BL124" i="3"/>
  <c r="G125" i="3"/>
  <c r="BA127" i="3"/>
  <c r="AZ127" i="3" s="1"/>
  <c r="BL128" i="3"/>
  <c r="AZ128" i="3" s="1"/>
  <c r="G129" i="3"/>
  <c r="BA131" i="3"/>
  <c r="AZ131" i="3" s="1"/>
  <c r="BL132" i="3"/>
  <c r="AZ132" i="3" s="1"/>
  <c r="G133" i="3"/>
  <c r="BA135" i="3"/>
  <c r="BL136" i="3"/>
  <c r="AZ136" i="3" s="1"/>
  <c r="G137" i="3"/>
  <c r="BA139" i="3"/>
  <c r="BL140" i="3"/>
  <c r="AZ140" i="3" s="1"/>
  <c r="G141" i="3"/>
  <c r="BA143" i="3"/>
  <c r="BL144" i="3"/>
  <c r="G145" i="3"/>
  <c r="BA147" i="3"/>
  <c r="BL148" i="3"/>
  <c r="G149" i="3"/>
  <c r="BA151" i="3"/>
  <c r="AZ151" i="3" s="1"/>
  <c r="BL152" i="3"/>
  <c r="G153" i="3"/>
  <c r="BA155" i="3"/>
  <c r="AZ155" i="3" s="1"/>
  <c r="BL156" i="3"/>
  <c r="G157" i="3"/>
  <c r="BA159" i="3"/>
  <c r="AZ159" i="3"/>
  <c r="BL160" i="3"/>
  <c r="G161" i="3"/>
  <c r="BA163" i="3"/>
  <c r="BL164" i="3"/>
  <c r="G165" i="3"/>
  <c r="BA167" i="3"/>
  <c r="AZ167" i="3" s="1"/>
  <c r="BL168" i="3"/>
  <c r="G169" i="3"/>
  <c r="BA171" i="3"/>
  <c r="AZ171" i="3" s="1"/>
  <c r="BL172" i="3"/>
  <c r="G173" i="3"/>
  <c r="BA175" i="3"/>
  <c r="AZ175" i="3" s="1"/>
  <c r="BL176" i="3"/>
  <c r="AZ176" i="3" s="1"/>
  <c r="G177" i="3"/>
  <c r="BA179" i="3"/>
  <c r="BL180" i="3"/>
  <c r="G181" i="3"/>
  <c r="BA183" i="3"/>
  <c r="AZ183" i="3" s="1"/>
  <c r="BL184" i="3"/>
  <c r="G185" i="3"/>
  <c r="BA187" i="3"/>
  <c r="AZ187" i="3" s="1"/>
  <c r="BL188" i="3"/>
  <c r="G189" i="3"/>
  <c r="BA191" i="3"/>
  <c r="AZ191" i="3"/>
  <c r="BL192" i="3"/>
  <c r="G193" i="3"/>
  <c r="BA195" i="3"/>
  <c r="AZ195" i="3"/>
  <c r="BL196" i="3"/>
  <c r="G197" i="3"/>
  <c r="BA199" i="3"/>
  <c r="AZ199" i="3" s="1"/>
  <c r="BL200" i="3"/>
  <c r="G201" i="3"/>
  <c r="BA203" i="3"/>
  <c r="AZ203" i="3" s="1"/>
  <c r="BL204" i="3"/>
  <c r="AZ43" i="3"/>
  <c r="AZ47" i="3"/>
  <c r="AZ79" i="3"/>
  <c r="AZ83" i="3"/>
  <c r="AZ144" i="3"/>
  <c r="AZ160" i="3"/>
  <c r="AZ85" i="3"/>
  <c r="AZ89" i="3"/>
  <c r="AZ105"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BA382" i="3"/>
  <c r="AZ382" i="3" s="1"/>
  <c r="BL382" i="3"/>
  <c r="G383" i="3"/>
  <c r="G386" i="3"/>
  <c r="BL387" i="3"/>
  <c r="BA389" i="3"/>
  <c r="BA390" i="3"/>
  <c r="BL390" i="3"/>
  <c r="G391" i="3"/>
  <c r="G394" i="3"/>
  <c r="AZ158" i="3"/>
  <c r="AZ174" i="3"/>
  <c r="AZ190" i="3"/>
  <c r="AZ500" i="3"/>
  <c r="BA16" i="3"/>
  <c r="BL303" i="3"/>
  <c r="AZ303" i="3" s="1"/>
  <c r="G304" i="3"/>
  <c r="BA306" i="3"/>
  <c r="AZ306" i="3" s="1"/>
  <c r="BL307" i="3"/>
  <c r="AZ307" i="3" s="1"/>
  <c r="G308" i="3"/>
  <c r="BA310" i="3"/>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G332" i="3"/>
  <c r="BA334" i="3"/>
  <c r="BL335" i="3"/>
  <c r="AZ335" i="3" s="1"/>
  <c r="G336" i="3"/>
  <c r="BA338" i="3"/>
  <c r="AZ338" i="3" s="1"/>
  <c r="BL339" i="3"/>
  <c r="AZ339" i="3" s="1"/>
  <c r="G340" i="3"/>
  <c r="BL343" i="3"/>
  <c r="G344" i="3"/>
  <c r="G348" i="3"/>
  <c r="G355" i="3"/>
  <c r="G342" i="3"/>
  <c r="BL345" i="3"/>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G375" i="3"/>
  <c r="BA377" i="3"/>
  <c r="AZ377" i="3" s="1"/>
  <c r="AZ233" i="3"/>
  <c r="AZ237" i="3"/>
  <c r="AZ249" i="3"/>
  <c r="BA379" i="3"/>
  <c r="AZ379" i="3" s="1"/>
  <c r="BL380" i="3"/>
  <c r="G381" i="3"/>
  <c r="BA383" i="3"/>
  <c r="BL384" i="3"/>
  <c r="AZ384" i="3" s="1"/>
  <c r="G385" i="3"/>
  <c r="BA387" i="3"/>
  <c r="AZ387" i="3" s="1"/>
  <c r="BL388" i="3"/>
  <c r="G389" i="3"/>
  <c r="BA391" i="3"/>
  <c r="BL392" i="3"/>
  <c r="AZ392" i="3" s="1"/>
  <c r="G393" i="3"/>
  <c r="BO5" i="3"/>
  <c r="BM5" i="3"/>
  <c r="BJ5" i="3"/>
  <c r="BH5" i="3"/>
  <c r="BF5" i="3"/>
  <c r="BD5" i="3"/>
  <c r="AZ309" i="3"/>
  <c r="AZ341" i="3"/>
  <c r="BQ5" i="3"/>
  <c r="AC5" i="3"/>
  <c r="AZ549" i="3"/>
  <c r="AZ506" i="3"/>
  <c r="AZ496" i="3"/>
  <c r="G548" i="3"/>
  <c r="G538" i="3"/>
  <c r="G520" i="3"/>
  <c r="G502" i="3"/>
  <c r="BS5" i="3"/>
  <c r="BP5" i="3"/>
  <c r="BN5" i="3"/>
  <c r="AZ343" i="3"/>
  <c r="BK5" i="3"/>
  <c r="BI5" i="3"/>
  <c r="BG5" i="3"/>
  <c r="BE5" i="3"/>
  <c r="BC5" i="3"/>
  <c r="G17" i="3"/>
  <c r="BA17" i="3"/>
  <c r="BT5" i="3"/>
  <c r="AZ356" i="3"/>
  <c r="AZ364" i="3"/>
  <c r="AZ368" i="3"/>
  <c r="BA15" i="3"/>
  <c r="BR5" i="3"/>
  <c r="G28" i="6" s="1"/>
  <c r="AZ380" i="3"/>
  <c r="AZ388" i="3"/>
  <c r="AZ394" i="3"/>
  <c r="AZ499" i="3"/>
  <c r="G509" i="3"/>
  <c r="BL493" i="3"/>
  <c r="AZ390" i="3"/>
  <c r="AZ493"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9" i="1"/>
  <c r="G10" i="1"/>
  <c r="AC11" i="39"/>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AZ232" i="3"/>
  <c r="AZ235" i="3"/>
  <c r="AZ248" i="3"/>
  <c r="AZ130" i="3"/>
  <c r="AZ29" i="3"/>
  <c r="AZ31" i="3"/>
  <c r="AZ33" i="3"/>
  <c r="AZ45" i="3"/>
  <c r="AZ50" i="3"/>
  <c r="AZ82" i="3"/>
  <c r="AZ102" i="3"/>
  <c r="H74" i="43"/>
  <c r="H49" i="43"/>
  <c r="I20" i="43"/>
  <c r="F23" i="39"/>
  <c r="AA23" i="39" s="1"/>
  <c r="H27" i="36"/>
  <c r="U27" i="36" s="1"/>
  <c r="F27" i="36"/>
  <c r="AA27" i="36" s="1"/>
  <c r="H33" i="34"/>
  <c r="U33" i="34" s="1"/>
  <c r="F32" i="37"/>
  <c r="AA32" i="37" s="1"/>
  <c r="F20" i="36"/>
  <c r="AA20" i="36" s="1"/>
  <c r="J33" i="34"/>
  <c r="AC33" i="34" s="1"/>
  <c r="H23" i="39"/>
  <c r="U23" i="39" s="1"/>
  <c r="H82" i="43"/>
  <c r="K9" i="1"/>
  <c r="M9" i="1" s="1"/>
  <c r="O9" i="1" s="1"/>
  <c r="P9" i="1" s="1"/>
  <c r="AE9" i="1"/>
  <c r="S12" i="21" l="1"/>
  <c r="AA12" i="21"/>
  <c r="AC12" i="36"/>
  <c r="W12" i="36"/>
  <c r="AC23" i="39"/>
  <c r="W23" i="39"/>
  <c r="U44" i="39"/>
  <c r="AB44" i="39"/>
  <c r="W37" i="39"/>
  <c r="AC37" i="39"/>
  <c r="AC24" i="36"/>
  <c r="W24" i="36"/>
  <c r="W43" i="39"/>
  <c r="AC43" i="39"/>
  <c r="AB45" i="39"/>
  <c r="U45" i="39"/>
  <c r="AC12" i="40"/>
  <c r="W12" i="40"/>
  <c r="G398" i="3"/>
  <c r="BA399" i="3"/>
  <c r="BL399" i="3"/>
  <c r="BA400" i="3"/>
  <c r="AZ400" i="3" s="1"/>
  <c r="BA402" i="3"/>
  <c r="BL402" i="3"/>
  <c r="BL404" i="3"/>
  <c r="G405" i="3"/>
  <c r="G407" i="3"/>
  <c r="BA408" i="3"/>
  <c r="BL408" i="3"/>
  <c r="BA409" i="3"/>
  <c r="AZ409" i="3" s="1"/>
  <c r="BA410" i="3"/>
  <c r="AZ410" i="3" s="1"/>
  <c r="BA411" i="3"/>
  <c r="AZ411" i="3" s="1"/>
  <c r="BL413" i="3"/>
  <c r="G414" i="3"/>
  <c r="BA415" i="3"/>
  <c r="AZ415" i="3" s="1"/>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H87" i="43"/>
  <c r="H86" i="43"/>
  <c r="H48" i="43"/>
  <c r="H50" i="43"/>
  <c r="H75" i="43"/>
  <c r="S15" i="37"/>
  <c r="AZ391" i="3"/>
  <c r="AZ345" i="3"/>
  <c r="AZ334" i="3"/>
  <c r="AZ326" i="3"/>
  <c r="AZ311" i="3"/>
  <c r="AZ389" i="3"/>
  <c r="AZ372" i="3"/>
  <c r="AZ320" i="3"/>
  <c r="AZ313" i="3"/>
  <c r="AZ305" i="3"/>
  <c r="AA25" i="21"/>
  <c r="U35" i="35"/>
  <c r="AA41" i="34"/>
  <c r="AZ523" i="3"/>
  <c r="AZ527" i="3"/>
  <c r="AZ531" i="3"/>
  <c r="AZ535" i="3"/>
  <c r="AZ539" i="3"/>
  <c r="AZ543" i="3"/>
  <c r="AZ547" i="3"/>
  <c r="AZ559" i="3"/>
  <c r="AZ563" i="3"/>
  <c r="AZ579" i="3"/>
  <c r="AZ587" i="3"/>
  <c r="AZ504" i="3"/>
  <c r="AZ508" i="3"/>
  <c r="AZ516" i="3"/>
  <c r="AZ524" i="3"/>
  <c r="AZ528" i="3"/>
  <c r="AZ532" i="3"/>
  <c r="AZ536" i="3"/>
  <c r="AZ544" i="3"/>
  <c r="AZ554" i="3"/>
  <c r="AZ558" i="3"/>
  <c r="AZ582" i="3"/>
  <c r="AC28" i="21"/>
  <c r="W29" i="33"/>
  <c r="S45" i="33"/>
  <c r="AC30" i="34"/>
  <c r="W11" i="35"/>
  <c r="AA14" i="37"/>
  <c r="U31" i="34"/>
  <c r="AA29" i="35"/>
  <c r="U33" i="35"/>
  <c r="F9" i="36"/>
  <c r="AA9" i="36" s="1"/>
  <c r="H24" i="36"/>
  <c r="AB24" i="36" s="1"/>
  <c r="F25" i="37"/>
  <c r="AA25" i="37" s="1"/>
  <c r="J26" i="37"/>
  <c r="G582" i="3"/>
  <c r="G556" i="3"/>
  <c r="G552" i="3"/>
  <c r="G551" i="3"/>
  <c r="BL16" i="3"/>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BL239" i="3"/>
  <c r="G240" i="3"/>
  <c r="BL241" i="3"/>
  <c r="G242" i="3"/>
  <c r="G244" i="3"/>
  <c r="BL245" i="3"/>
  <c r="G246" i="3"/>
  <c r="G251" i="3"/>
  <c r="BL252" i="3"/>
  <c r="G253" i="3"/>
  <c r="BA254" i="3"/>
  <c r="BL254" i="3"/>
  <c r="BA255" i="3"/>
  <c r="AZ255" i="3" s="1"/>
  <c r="BA256" i="3"/>
  <c r="AZ256" i="3" s="1"/>
  <c r="BA257" i="3"/>
  <c r="AZ257" i="3" s="1"/>
  <c r="BA259" i="3"/>
  <c r="BL259" i="3"/>
  <c r="BA260" i="3"/>
  <c r="AZ260" i="3" s="1"/>
  <c r="BA261" i="3"/>
  <c r="AZ261" i="3" s="1"/>
  <c r="BA263" i="3"/>
  <c r="BL263" i="3"/>
  <c r="BA264" i="3"/>
  <c r="AZ264" i="3" s="1"/>
  <c r="BA265" i="3"/>
  <c r="AZ265" i="3" s="1"/>
  <c r="BL267" i="3"/>
  <c r="G268" i="3"/>
  <c r="BL269" i="3"/>
  <c r="G270" i="3"/>
  <c r="G272" i="3"/>
  <c r="BL273" i="3"/>
  <c r="G274" i="3"/>
  <c r="G276" i="3"/>
  <c r="BA277" i="3"/>
  <c r="BL277" i="3"/>
  <c r="BA278" i="3"/>
  <c r="AZ278" i="3" s="1"/>
  <c r="BA279" i="3"/>
  <c r="AZ279" i="3" s="1"/>
  <c r="BA280" i="3"/>
  <c r="AZ280" i="3" s="1"/>
  <c r="BL282" i="3"/>
  <c r="G283" i="3"/>
  <c r="BA284" i="3"/>
  <c r="AZ284" i="3" s="1"/>
  <c r="BL284" i="3"/>
  <c r="BA285" i="3"/>
  <c r="AZ285" i="3" s="1"/>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BL122"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4" i="3"/>
  <c r="BL194" i="3"/>
  <c r="BA196" i="3"/>
  <c r="AZ196" i="3" s="1"/>
  <c r="G199" i="3"/>
  <c r="BA200" i="3"/>
  <c r="AZ200" i="3" s="1"/>
  <c r="G203" i="3"/>
  <c r="G205" i="3"/>
  <c r="BL206" i="3"/>
  <c r="G207" i="3"/>
  <c r="G20" i="3"/>
  <c r="G22" i="3"/>
  <c r="BA23" i="3"/>
  <c r="AZ23" i="3" s="1"/>
  <c r="BL23" i="3"/>
  <c r="G100" i="4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AC38" i="39"/>
  <c r="S38" i="39"/>
  <c r="G1" i="77"/>
  <c r="J51" i="15"/>
  <c r="U17" i="39"/>
  <c r="W27" i="39"/>
  <c r="S42" i="39"/>
  <c r="AA41" i="39"/>
  <c r="U40" i="39"/>
  <c r="S11" i="39"/>
  <c r="M20" i="15"/>
  <c r="F34" i="77"/>
  <c r="F62" i="77" s="1"/>
  <c r="M20" i="77"/>
  <c r="A15" i="62"/>
  <c r="B61" i="72" s="1"/>
  <c r="U27" i="37"/>
  <c r="AB27" i="37"/>
  <c r="AC31" i="40"/>
  <c r="W31" i="40"/>
  <c r="W33" i="40"/>
  <c r="AC33" i="40"/>
  <c r="AA38" i="40"/>
  <c r="S38" i="40"/>
  <c r="W40" i="40"/>
  <c r="AC40" i="40"/>
  <c r="AB14" i="37"/>
  <c r="U14" i="37"/>
  <c r="AB26" i="37"/>
  <c r="U26" i="37"/>
  <c r="U25" i="37"/>
  <c r="AB25" i="37"/>
  <c r="AC32" i="40"/>
  <c r="W32" i="40"/>
  <c r="F29" i="6"/>
  <c r="AZ310" i="3"/>
  <c r="AZ16" i="3"/>
  <c r="AZ371" i="3"/>
  <c r="AZ336" i="3"/>
  <c r="AZ329" i="3"/>
  <c r="AZ321" i="3"/>
  <c r="AZ304" i="3"/>
  <c r="AZ507" i="3"/>
  <c r="AZ513" i="3"/>
  <c r="AZ521" i="3"/>
  <c r="AZ553" i="3"/>
  <c r="AZ583" i="3"/>
  <c r="AZ581" i="3"/>
  <c r="AZ518" i="3"/>
  <c r="AZ538" i="3"/>
  <c r="AZ552" i="3"/>
  <c r="U46" i="33"/>
  <c r="AA13" i="35"/>
  <c r="BL586" i="3"/>
  <c r="BL585" i="3"/>
  <c r="AZ585" i="3" s="1"/>
  <c r="J25" i="37"/>
  <c r="H38" i="40"/>
  <c r="F40" i="40"/>
  <c r="G574" i="3"/>
  <c r="G558" i="3"/>
  <c r="AZ402" i="3"/>
  <c r="AZ418" i="3"/>
  <c r="AZ434" i="3"/>
  <c r="AZ443" i="3"/>
  <c r="AZ446" i="3"/>
  <c r="AZ450" i="3"/>
  <c r="AZ451" i="3"/>
  <c r="AZ454" i="3"/>
  <c r="AZ362" i="3"/>
  <c r="AZ557" i="3"/>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AZ458" i="3"/>
  <c r="AZ469" i="3"/>
  <c r="AZ487" i="3"/>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AZ258" i="3"/>
  <c r="AZ262" i="3"/>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BL17" i="3"/>
  <c r="AZ17" i="3" s="1"/>
  <c r="BL13" i="3"/>
  <c r="G30" i="6"/>
  <c r="G31" i="6" s="1"/>
  <c r="J56" i="9"/>
  <c r="J57" i="9" s="1"/>
  <c r="A24" i="51"/>
  <c r="B18" i="72" s="1"/>
  <c r="U29" i="34"/>
  <c r="E5" i="6"/>
  <c r="D9" i="11" s="1"/>
  <c r="C9" i="11" s="1"/>
  <c r="P10" i="1"/>
  <c r="E32" i="6"/>
  <c r="L19" i="6" s="1"/>
  <c r="G1" i="68"/>
  <c r="K1" i="12"/>
  <c r="F30" i="6"/>
  <c r="AR12" i="1"/>
  <c r="T12"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2" i="67"/>
  <c r="M22" i="77"/>
  <c r="J15" i="77"/>
  <c r="F43" i="67"/>
  <c r="F13" i="15"/>
  <c r="F8" i="77"/>
  <c r="F6" i="67"/>
  <c r="M28" i="67"/>
  <c r="F16" i="15"/>
  <c r="F40" i="67"/>
  <c r="F16" i="77"/>
  <c r="M28" i="77"/>
  <c r="F26" i="67"/>
  <c r="M29" i="67"/>
  <c r="M27" i="77"/>
  <c r="F9" i="77"/>
  <c r="F37" i="67"/>
  <c r="F37" i="77"/>
  <c r="F8" i="67"/>
  <c r="J15" i="67"/>
  <c r="J15" i="15"/>
  <c r="F37" i="15"/>
  <c r="M8" i="67"/>
  <c r="C76" i="77"/>
  <c r="L48" i="15"/>
  <c r="M23" i="77"/>
  <c r="F38" i="67"/>
  <c r="M6" i="15"/>
  <c r="M28" i="15"/>
  <c r="F42" i="15"/>
  <c r="G1" i="73"/>
  <c r="L48" i="77"/>
  <c r="F6" i="77"/>
  <c r="M26" i="15"/>
  <c r="F38" i="77"/>
  <c r="F8" i="15"/>
  <c r="F40" i="77"/>
  <c r="F16" i="67"/>
  <c r="F38" i="15"/>
  <c r="M8" i="77"/>
  <c r="M23" i="67"/>
  <c r="F36" i="15"/>
  <c r="M24" i="77"/>
  <c r="M26" i="77"/>
  <c r="F9" i="67"/>
  <c r="F36" i="67"/>
  <c r="L48" i="67"/>
  <c r="M9" i="15"/>
  <c r="M8" i="15"/>
  <c r="C76" i="67"/>
  <c r="L47" i="67"/>
  <c r="M9" i="67"/>
  <c r="F13" i="67"/>
  <c r="F42" i="67"/>
  <c r="M6" i="67"/>
  <c r="L47" i="77"/>
  <c r="F26" i="15"/>
  <c r="F42" i="77"/>
  <c r="M24" i="67"/>
  <c r="F9" i="15"/>
  <c r="L47" i="15"/>
  <c r="M23" i="15"/>
  <c r="F26" i="77"/>
  <c r="C76" i="15"/>
  <c r="F36" i="77"/>
  <c r="F13" i="77"/>
  <c r="F7" i="67"/>
  <c r="M26" i="67"/>
  <c r="M22" i="15"/>
  <c r="M24" i="15"/>
  <c r="M9" i="77"/>
  <c r="F40" i="15"/>
  <c r="M6" i="77"/>
  <c r="F6" i="15"/>
  <c r="F32" i="39" l="1"/>
  <c r="AZ95" i="3"/>
  <c r="AZ71" i="3"/>
  <c r="AZ67" i="3"/>
  <c r="AZ65" i="3"/>
  <c r="AZ38" i="3"/>
  <c r="AZ194" i="3"/>
  <c r="AZ166" i="3"/>
  <c r="AZ161" i="3"/>
  <c r="AZ122" i="3"/>
  <c r="AZ300" i="3"/>
  <c r="AZ287" i="3"/>
  <c r="AZ277" i="3"/>
  <c r="AZ263" i="3"/>
  <c r="AZ259" i="3"/>
  <c r="AZ220" i="3"/>
  <c r="AZ211" i="3"/>
  <c r="AZ491" i="3"/>
  <c r="AC26" i="37"/>
  <c r="W26" i="37"/>
  <c r="AZ399" i="3"/>
  <c r="F51" i="77"/>
  <c r="F64" i="77"/>
  <c r="Q71" i="77"/>
  <c r="F66" i="77"/>
  <c r="L59" i="77"/>
  <c r="N59" i="77"/>
  <c r="L58" i="77"/>
  <c r="M59" i="77"/>
  <c r="C27" i="77"/>
  <c r="L57" i="77"/>
  <c r="L60" i="77"/>
  <c r="L56" i="77"/>
  <c r="J53" i="77"/>
  <c r="J57" i="77"/>
  <c r="J55" i="77" s="1"/>
  <c r="J58" i="77" s="1"/>
  <c r="Q50" i="77" s="1"/>
  <c r="I54" i="77"/>
  <c r="F65" i="77"/>
  <c r="F68" i="77"/>
  <c r="C7" i="43"/>
  <c r="AR10" i="1"/>
  <c r="F53" i="9"/>
  <c r="F32" i="77"/>
  <c r="F28" i="77"/>
  <c r="C28" i="77" s="1"/>
  <c r="M18" i="77"/>
  <c r="E4" i="4"/>
  <c r="B5" i="62" s="1"/>
  <c r="B73" i="72" s="1"/>
  <c r="T10" i="1"/>
  <c r="C4" i="4"/>
  <c r="B4" i="62" s="1"/>
  <c r="B71" i="72" s="1"/>
  <c r="AB38" i="40"/>
  <c r="U38" i="40"/>
  <c r="AA40" i="40"/>
  <c r="S40" i="40"/>
  <c r="AC25" i="37"/>
  <c r="W25" i="37"/>
  <c r="L58" i="67"/>
  <c r="L58" i="15"/>
  <c r="Q73" i="15" s="1"/>
  <c r="N59" i="67"/>
  <c r="L59" i="67" s="1"/>
  <c r="M59" i="67"/>
  <c r="M59" i="15"/>
  <c r="J53" i="67"/>
  <c r="I54" i="67"/>
  <c r="N59" i="15"/>
  <c r="I54" i="15"/>
  <c r="J53" i="15"/>
  <c r="L56" i="15" s="1"/>
  <c r="AQ13" i="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D68" i="39"/>
  <c r="D70" i="39" s="1"/>
  <c r="E30" i="6"/>
  <c r="K15" i="1"/>
  <c r="T9" i="1"/>
  <c r="T13" i="1"/>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K14" i="1"/>
  <c r="M14" i="1" s="1"/>
  <c r="O14" i="1" s="1"/>
  <c r="P14" i="1" s="1"/>
  <c r="BL5" i="3"/>
  <c r="C19" i="43"/>
  <c r="J59" i="9"/>
  <c r="J61" i="9" s="1"/>
  <c r="AR8" i="1"/>
  <c r="AQ8" i="1"/>
  <c r="T8" i="1"/>
  <c r="R22" i="31"/>
  <c r="B21" i="31" s="1"/>
  <c r="B40" i="1"/>
  <c r="F24" i="77"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71" i="67"/>
  <c r="F66" i="67"/>
  <c r="F50" i="67"/>
  <c r="M7" i="67"/>
  <c r="Q71" i="67"/>
  <c r="F64" i="67"/>
  <c r="C6" i="67"/>
  <c r="F65" i="67"/>
  <c r="C27" i="15"/>
  <c r="Q71" i="15"/>
  <c r="F64" i="15"/>
  <c r="F51" i="15"/>
  <c r="F65" i="15"/>
  <c r="J57" i="15"/>
  <c r="J55" i="15" s="1"/>
  <c r="J58" i="15" s="1"/>
  <c r="Q50" i="15" s="1"/>
  <c r="F68" i="15"/>
  <c r="F66" i="15"/>
  <c r="C10" i="67"/>
  <c r="AP7" i="1"/>
  <c r="C36" i="69" s="1"/>
  <c r="AB45" i="21"/>
  <c r="AC33" i="21"/>
  <c r="W33" i="21"/>
  <c r="S33" i="21"/>
  <c r="AA33" i="21"/>
  <c r="W32" i="21"/>
  <c r="AC32" i="21"/>
  <c r="AB9" i="21"/>
  <c r="U9" i="21"/>
  <c r="AA32" i="21"/>
  <c r="S32" i="21"/>
  <c r="W9" i="21"/>
  <c r="AC9" i="21"/>
  <c r="AB32" i="21"/>
  <c r="U32" i="21"/>
  <c r="AA10" i="21"/>
  <c r="S10" i="21"/>
  <c r="F31" i="15"/>
  <c r="F59" i="67"/>
  <c r="F59" i="15"/>
  <c r="F31" i="67"/>
  <c r="M17" i="15"/>
  <c r="M17" i="67"/>
  <c r="C16" i="67"/>
  <c r="F1" i="77" l="1"/>
  <c r="Q52" i="77"/>
  <c r="Q57" i="77"/>
  <c r="Q66" i="77"/>
  <c r="Q73" i="77"/>
  <c r="Q60" i="77"/>
  <c r="Q74" i="77"/>
  <c r="Q61" i="77"/>
  <c r="O7" i="1"/>
  <c r="K4" i="4"/>
  <c r="B46" i="48" s="1"/>
  <c r="B4" i="72" s="1"/>
  <c r="F60" i="77"/>
  <c r="C24" i="77"/>
  <c r="L59" i="15"/>
  <c r="Q74" i="15"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Q60" i="15"/>
  <c r="Q60" i="67"/>
  <c r="Q73" i="67"/>
  <c r="Q61" i="67"/>
  <c r="Q74" i="67"/>
  <c r="C49" i="67"/>
  <c r="F1" i="67"/>
  <c r="Q52" i="67"/>
  <c r="Q61" i="15" l="1"/>
  <c r="E37" i="43"/>
  <c r="AA7" i="36"/>
  <c r="R36" i="36" s="1"/>
  <c r="E36" i="36" s="1"/>
  <c r="E40" i="36" s="1"/>
  <c r="F40" i="36" s="1"/>
  <c r="AC11" i="37"/>
  <c r="W11" i="37"/>
  <c r="AB7" i="37"/>
  <c r="T42" i="37" s="1"/>
  <c r="G42" i="37" s="1"/>
  <c r="G46" i="37" s="1"/>
  <c r="H46" i="37" s="1"/>
  <c r="W11" i="34"/>
  <c r="AC11" i="34"/>
  <c r="J5" i="67"/>
  <c r="AB7" i="36"/>
  <c r="T36" i="36" s="1"/>
  <c r="E38" i="43"/>
  <c r="C13" i="12"/>
  <c r="C26" i="12"/>
  <c r="D25" i="12" s="1"/>
  <c r="F34" i="11"/>
  <c r="F11" i="12"/>
  <c r="F34" i="68"/>
  <c r="C36" i="68" s="1"/>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C36" i="11" l="1"/>
  <c r="J24" i="67"/>
  <c r="J18" i="67"/>
  <c r="G36" i="36"/>
  <c r="R37" i="36"/>
  <c r="AB7" i="34"/>
  <c r="T49" i="34" s="1"/>
  <c r="G49" i="34" s="1"/>
  <c r="G53" i="34" s="1"/>
  <c r="H53" i="34" s="1"/>
  <c r="W7" i="21"/>
  <c r="AA7" i="21"/>
  <c r="R48" i="21" s="1"/>
  <c r="E48" i="21" s="1"/>
  <c r="E52" i="21" s="1"/>
  <c r="F52" i="21" s="1"/>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23" i="12"/>
  <c r="R49" i="21" l="1"/>
  <c r="C48" i="21" s="1"/>
  <c r="G54" i="34"/>
  <c r="H54" i="34" s="1"/>
  <c r="I53" i="21"/>
  <c r="J53" i="21" s="1"/>
  <c r="C37" i="36"/>
  <c r="C36" i="36"/>
  <c r="G40" i="36"/>
  <c r="H40" i="36" s="1"/>
  <c r="E41" i="36"/>
  <c r="F41" i="36" s="1"/>
  <c r="G41" i="36"/>
  <c r="H41" i="36" s="1"/>
  <c r="C19"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49" i="21" l="1"/>
  <c r="C24" i="68"/>
  <c r="I63" i="40"/>
  <c r="H65" i="40"/>
  <c r="I70" i="39"/>
  <c r="J63" i="40" l="1"/>
  <c r="I65" i="40"/>
  <c r="J70" i="39"/>
  <c r="K63" i="40" l="1"/>
  <c r="J65" i="40"/>
  <c r="K70" i="39"/>
  <c r="L63" i="40" l="1"/>
  <c r="K65" i="40"/>
  <c r="L70" i="39"/>
  <c r="C17" i="67"/>
  <c r="M63" i="40" l="1"/>
  <c r="L65" i="40"/>
  <c r="M70" i="39"/>
  <c r="N63" i="40" l="1"/>
  <c r="M65" i="40"/>
  <c r="O70" i="39"/>
  <c r="N70" i="39"/>
  <c r="O63" i="40" l="1"/>
  <c r="O65" i="40" s="1"/>
  <c r="N65" i="40"/>
  <c r="C14" i="67"/>
  <c r="F7" i="40" l="1"/>
  <c r="H7" i="40"/>
  <c r="J7" i="40"/>
  <c r="C15" i="67"/>
  <c r="C18" i="67"/>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C36" i="67"/>
  <c r="J14" i="67"/>
  <c r="J13" i="67" s="1"/>
  <c r="J23" i="67" s="1"/>
  <c r="C33" i="67"/>
  <c r="C57" i="67"/>
  <c r="C61" i="67" s="1"/>
  <c r="B55" i="40"/>
  <c r="F55" i="40" s="1"/>
  <c r="B53" i="40"/>
  <c r="F53" i="40" s="1"/>
  <c r="B60" i="40"/>
  <c r="B57" i="40"/>
  <c r="B58" i="40"/>
  <c r="B59" i="40"/>
  <c r="B52" i="40"/>
  <c r="F52" i="40" s="1"/>
  <c r="B56" i="40"/>
  <c r="B51" i="40"/>
  <c r="B54" i="40"/>
  <c r="F54" i="40" s="1"/>
  <c r="C64" i="67" l="1"/>
  <c r="C56" i="67"/>
  <c r="C65" i="67" s="1"/>
  <c r="J22" i="67"/>
  <c r="C75" i="67"/>
  <c r="C37" i="67"/>
  <c r="C48" i="67"/>
  <c r="C60" i="67" s="1"/>
  <c r="AE7" i="1"/>
  <c r="C66" i="67" l="1"/>
  <c r="AE8" i="1" l="1"/>
  <c r="F41" i="77"/>
  <c r="AE6" i="1"/>
  <c r="F69" i="77" l="1"/>
  <c r="AG6" i="1"/>
  <c r="L57" i="15"/>
  <c r="L60" i="15" s="1"/>
  <c r="F41" i="15"/>
  <c r="M27" i="67"/>
  <c r="F41" i="67"/>
  <c r="M27" i="15"/>
  <c r="J26" i="67" l="1"/>
  <c r="J29" i="67" s="1"/>
  <c r="F69" i="15"/>
  <c r="Q57" i="15"/>
  <c r="Q66" i="15"/>
  <c r="F69" i="67"/>
  <c r="AO8" i="1"/>
  <c r="E2" i="69"/>
  <c r="B8" i="70" l="1"/>
  <c r="F20" i="31"/>
  <c r="E2" i="68"/>
  <c r="D2" i="35"/>
  <c r="D2" i="36"/>
  <c r="D2" i="21"/>
  <c r="D2" i="37"/>
  <c r="D2" i="33"/>
  <c r="D2" i="34"/>
  <c r="B20" i="31" l="1"/>
  <c r="B2" i="36"/>
  <c r="B3" i="36" s="1"/>
  <c r="B2" i="35"/>
  <c r="B3" i="35"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F7" i="39"/>
  <c r="S7" i="39" s="1"/>
  <c r="H7" i="39"/>
  <c r="AB7" i="39" s="1"/>
  <c r="W7" i="39" l="1"/>
  <c r="U7" i="39"/>
  <c r="AA7" i="39"/>
  <c r="H112" i="9" l="1"/>
  <c r="D21" i="53" s="1"/>
  <c r="B39" i="72" s="1"/>
  <c r="H111" i="9"/>
  <c r="D126" i="9" s="1"/>
  <c r="D19" i="53"/>
  <c r="D59" i="9"/>
  <c r="M55" i="9"/>
  <c r="B38" i="72" l="1"/>
  <c r="D20" i="53"/>
  <c r="B40" i="72" s="1"/>
  <c r="I14" i="74"/>
  <c r="B8" i="74" s="1"/>
  <c r="D127" i="9"/>
  <c r="D13" i="52" s="1"/>
  <c r="D12" i="52"/>
  <c r="H107" i="9" l="1"/>
  <c r="D122" i="9" l="1"/>
  <c r="D13" i="53"/>
  <c r="D14" i="53" l="1"/>
  <c r="B32" i="72" s="1"/>
  <c r="B30" i="72"/>
  <c r="G14" i="74"/>
  <c r="B6" i="74" s="1"/>
  <c r="D123" i="9"/>
  <c r="D9" i="52" s="1"/>
  <c r="D8" i="52"/>
  <c r="AD3" i="71" l="1"/>
  <c r="P21" i="43" s="1"/>
  <c r="P22" i="43" l="1"/>
  <c r="P23" i="43"/>
  <c r="B71" i="39" s="1"/>
  <c r="P24" i="43"/>
  <c r="B66" i="40" s="1"/>
  <c r="P25" i="43"/>
  <c r="O6" i="1" l="1"/>
  <c r="P6" i="1" l="1"/>
  <c r="P16" i="1" s="1"/>
  <c r="C11" i="12" s="1"/>
  <c r="O16" i="1"/>
  <c r="C12" i="12" l="1"/>
  <c r="C15" i="12"/>
  <c r="L46" i="67" l="1"/>
  <c r="F19" i="6" l="1"/>
  <c r="F20" i="6"/>
  <c r="E20" i="6" s="1"/>
  <c r="H14" i="3"/>
  <c r="G14" i="3" s="1"/>
  <c r="BB14" i="3"/>
  <c r="BA14" i="3" s="1"/>
  <c r="AZ14" i="3" s="1"/>
  <c r="I5" i="3" l="1"/>
  <c r="BB13" i="3"/>
  <c r="BA13" i="3" s="1"/>
  <c r="H13" i="3"/>
  <c r="H5" i="3" s="1"/>
  <c r="K7" i="1"/>
  <c r="E19" i="6"/>
  <c r="BB5" i="3"/>
  <c r="F43" i="77"/>
  <c r="F7" i="77"/>
  <c r="M29" i="77"/>
  <c r="C10" i="77" l="1"/>
  <c r="G13" i="3"/>
  <c r="C6" i="77"/>
  <c r="F50" i="77"/>
  <c r="C49" i="77" s="1"/>
  <c r="C48" i="77" s="1"/>
  <c r="M7" i="77"/>
  <c r="F71" i="77"/>
  <c r="E12" i="6"/>
  <c r="E13" i="6"/>
  <c r="E11" i="6"/>
  <c r="E10" i="6"/>
  <c r="E14" i="6"/>
  <c r="E8" i="6"/>
  <c r="E15" i="6"/>
  <c r="AZ13" i="3"/>
  <c r="AZ5" i="3" s="1"/>
  <c r="BA5" i="3"/>
  <c r="E27" i="6" s="1"/>
  <c r="K19" i="6" s="1"/>
  <c r="K6" i="1"/>
  <c r="M7" i="1"/>
  <c r="F43" i="15"/>
  <c r="C16" i="77"/>
  <c r="M29" i="15"/>
  <c r="F7" i="15"/>
  <c r="C10" i="15" l="1"/>
  <c r="C5" i="77"/>
  <c r="C32" i="77" s="1"/>
  <c r="G5" i="3"/>
  <c r="B3" i="3" s="1"/>
  <c r="C6" i="15"/>
  <c r="F50" i="15"/>
  <c r="C49" i="15" s="1"/>
  <c r="C48" i="15" s="1"/>
  <c r="M7" i="15"/>
  <c r="F71" i="15"/>
  <c r="M6" i="1"/>
  <c r="H16" i="1"/>
  <c r="K16" i="1"/>
  <c r="G16" i="1"/>
  <c r="Q16" i="1"/>
  <c r="C34" i="69"/>
  <c r="K24" i="6"/>
  <c r="M24" i="6" s="1"/>
  <c r="I24" i="6" s="1"/>
  <c r="S24" i="6" s="1"/>
  <c r="K23" i="6"/>
  <c r="M23" i="6" s="1"/>
  <c r="I23" i="6" s="1"/>
  <c r="S23" i="6" s="1"/>
  <c r="K22" i="6"/>
  <c r="M22" i="6" s="1"/>
  <c r="I22" i="6" s="1"/>
  <c r="S22" i="6" s="1"/>
  <c r="E31" i="6"/>
  <c r="K26" i="6"/>
  <c r="M26" i="6" s="1"/>
  <c r="I26" i="6" s="1"/>
  <c r="S26" i="6" s="1"/>
  <c r="K21" i="6"/>
  <c r="M21" i="6" s="1"/>
  <c r="I21" i="6" s="1"/>
  <c r="S21" i="6" s="1"/>
  <c r="K25" i="6"/>
  <c r="M25" i="6" s="1"/>
  <c r="I25" i="6" s="1"/>
  <c r="S25" i="6" s="1"/>
  <c r="K20" i="6"/>
  <c r="E51" i="40"/>
  <c r="F51" i="40" s="1"/>
  <c r="E56" i="39"/>
  <c r="E16" i="6"/>
  <c r="F27" i="6"/>
  <c r="F31" i="6" s="1"/>
  <c r="E58" i="40"/>
  <c r="F58" i="40" s="1"/>
  <c r="E63" i="39"/>
  <c r="C66" i="77"/>
  <c r="C60" i="77"/>
  <c r="S6" i="1"/>
  <c r="M19" i="6"/>
  <c r="E3" i="6"/>
  <c r="E60" i="40"/>
  <c r="F60" i="40" s="1"/>
  <c r="E65" i="39"/>
  <c r="E64" i="39"/>
  <c r="E59" i="40"/>
  <c r="F59" i="40" s="1"/>
  <c r="E61" i="39"/>
  <c r="E56" i="40"/>
  <c r="F56" i="40" s="1"/>
  <c r="E57" i="40"/>
  <c r="F57" i="40" s="1"/>
  <c r="E62" i="39"/>
  <c r="J6" i="77"/>
  <c r="J10" i="77"/>
  <c r="C16" i="15"/>
  <c r="C17" i="15"/>
  <c r="C38" i="77" l="1"/>
  <c r="C5" i="15"/>
  <c r="C32" i="15" s="1"/>
  <c r="C33" i="77"/>
  <c r="K27" i="6"/>
  <c r="J5" i="77"/>
  <c r="J26" i="77" s="1"/>
  <c r="J29" i="77" s="1"/>
  <c r="D19" i="11"/>
  <c r="C19" i="11" s="1"/>
  <c r="D14" i="12"/>
  <c r="D3" i="34"/>
  <c r="B2" i="34" s="1"/>
  <c r="B3" i="34" s="1"/>
  <c r="E6" i="6"/>
  <c r="L18" i="9"/>
  <c r="H108" i="9"/>
  <c r="D15" i="53" s="1"/>
  <c r="B31" i="72" s="1"/>
  <c r="D3" i="21"/>
  <c r="B2" i="21" s="1"/>
  <c r="B3" i="21" s="1"/>
  <c r="D37" i="11"/>
  <c r="C37" i="11" s="1"/>
  <c r="M18" i="9"/>
  <c r="B118" i="9" s="1"/>
  <c r="B14" i="74" s="1"/>
  <c r="D3" i="33"/>
  <c r="B2" i="33" s="1"/>
  <c r="B3" i="33" s="1"/>
  <c r="C17" i="4"/>
  <c r="B4" i="52" s="1"/>
  <c r="B43" i="72" s="1"/>
  <c r="D3" i="37"/>
  <c r="B2" i="37" s="1"/>
  <c r="B3" i="37" s="1"/>
  <c r="I19" i="6"/>
  <c r="T6" i="1"/>
  <c r="AQ6" i="1"/>
  <c r="AR6" i="1"/>
  <c r="C38" i="69"/>
  <c r="C35" i="69"/>
  <c r="H10" i="40"/>
  <c r="J10" i="39"/>
  <c r="F10" i="40"/>
  <c r="J10" i="40"/>
  <c r="F10" i="39"/>
  <c r="H10" i="39"/>
  <c r="C66" i="15"/>
  <c r="C60" i="15"/>
  <c r="E66" i="39"/>
  <c r="S7" i="1"/>
  <c r="M20" i="6"/>
  <c r="I20" i="6" s="1"/>
  <c r="S20" i="6" s="1"/>
  <c r="E6" i="70"/>
  <c r="F27" i="69"/>
  <c r="F27" i="68"/>
  <c r="F28" i="12"/>
  <c r="C29" i="12" s="1"/>
  <c r="D28" i="12" s="1"/>
  <c r="F27" i="11"/>
  <c r="M16" i="1"/>
  <c r="N16" i="1" s="1"/>
  <c r="J6" i="15"/>
  <c r="J10" i="15"/>
  <c r="C17" i="77"/>
  <c r="C14" i="15"/>
  <c r="C33" i="15" l="1"/>
  <c r="C38" i="15"/>
  <c r="J24" i="77"/>
  <c r="J18" i="77"/>
  <c r="C15" i="15"/>
  <c r="C18" i="15"/>
  <c r="C29" i="11"/>
  <c r="D27" i="11" s="1"/>
  <c r="C47" i="11"/>
  <c r="D45" i="11" s="1"/>
  <c r="J5" i="15"/>
  <c r="C34" i="68"/>
  <c r="L16" i="1"/>
  <c r="C34" i="11"/>
  <c r="C29" i="69"/>
  <c r="D27" i="69" s="1"/>
  <c r="C47" i="69"/>
  <c r="D45" i="69" s="1"/>
  <c r="AQ7" i="1"/>
  <c r="AR7" i="1"/>
  <c r="T7" i="1"/>
  <c r="T16" i="1" s="1"/>
  <c r="E7" i="70"/>
  <c r="E2" i="70" s="1"/>
  <c r="AA10" i="39"/>
  <c r="R47" i="39" s="1"/>
  <c r="S10" i="39"/>
  <c r="S10" i="40"/>
  <c r="AA10" i="40"/>
  <c r="AB10" i="40"/>
  <c r="U10" i="40"/>
  <c r="S16" i="1"/>
  <c r="M27" i="6"/>
  <c r="D10" i="11"/>
  <c r="C10" i="11" s="1"/>
  <c r="D20" i="12"/>
  <c r="C20" i="12" s="1"/>
  <c r="C18" i="12" s="1"/>
  <c r="D10" i="68"/>
  <c r="D10" i="69"/>
  <c r="D17" i="12"/>
  <c r="C17" i="12" s="1"/>
  <c r="C14" i="12"/>
  <c r="C16" i="12" s="1"/>
  <c r="F50" i="69"/>
  <c r="F50" i="68"/>
  <c r="F50" i="11"/>
  <c r="C47" i="68"/>
  <c r="D45" i="68" s="1"/>
  <c r="C29" i="68"/>
  <c r="D27" i="68" s="1"/>
  <c r="U10" i="39"/>
  <c r="AB10" i="39"/>
  <c r="T47" i="39" s="1"/>
  <c r="G47" i="39" s="1"/>
  <c r="AC10" i="40"/>
  <c r="W10" i="40"/>
  <c r="AC10" i="39"/>
  <c r="V47" i="39" s="1"/>
  <c r="I47" i="39" s="1"/>
  <c r="W10" i="39"/>
  <c r="I27" i="6"/>
  <c r="S19" i="6"/>
  <c r="S27" i="6" s="1"/>
  <c r="C20" i="11"/>
  <c r="C25" i="11" s="1"/>
  <c r="C24" i="11"/>
  <c r="C14" i="77"/>
  <c r="C19" i="15" l="1"/>
  <c r="C20" i="15" s="1"/>
  <c r="C26" i="15" s="1"/>
  <c r="C18" i="77"/>
  <c r="C15" i="77"/>
  <c r="E47" i="39"/>
  <c r="I52" i="39" s="1"/>
  <c r="J52" i="39" s="1"/>
  <c r="R48" i="39"/>
  <c r="C28" i="11"/>
  <c r="C27" i="11" s="1"/>
  <c r="C22" i="11"/>
  <c r="G51" i="39"/>
  <c r="H51" i="39" s="1"/>
  <c r="G52" i="39"/>
  <c r="H52" i="39" s="1"/>
  <c r="C21" i="12"/>
  <c r="D19" i="69"/>
  <c r="C10" i="69"/>
  <c r="C8" i="69" s="1"/>
  <c r="C5" i="69" s="1"/>
  <c r="J18" i="15"/>
  <c r="J24" i="15"/>
  <c r="J26" i="15"/>
  <c r="J29" i="15" s="1"/>
  <c r="I51" i="39"/>
  <c r="J51" i="39" s="1"/>
  <c r="C10" i="68"/>
  <c r="D19" i="68"/>
  <c r="D37" i="68" s="1"/>
  <c r="C37" i="68" s="1"/>
  <c r="C38" i="11"/>
  <c r="C35" i="11"/>
  <c r="C35" i="68"/>
  <c r="C38" i="68"/>
  <c r="C33" i="11" l="1"/>
  <c r="C39" i="11" s="1"/>
  <c r="C43" i="11" s="1"/>
  <c r="C31" i="11"/>
  <c r="C19" i="77"/>
  <c r="C20" i="77" s="1"/>
  <c r="C26" i="77" s="1"/>
  <c r="C33" i="68"/>
  <c r="C23" i="15"/>
  <c r="C29" i="15" s="1"/>
  <c r="D37" i="69"/>
  <c r="C37" i="69" s="1"/>
  <c r="C33" i="69" s="1"/>
  <c r="C19" i="69"/>
  <c r="C24" i="69" s="1"/>
  <c r="C47" i="39"/>
  <c r="C48" i="39"/>
  <c r="C23" i="69"/>
  <c r="C22" i="12"/>
  <c r="C30" i="12" s="1"/>
  <c r="C28" i="12" s="1"/>
  <c r="E51" i="39"/>
  <c r="F51" i="39" s="1"/>
  <c r="E52" i="39"/>
  <c r="F52" i="39" s="1"/>
  <c r="C42" i="11" l="1"/>
  <c r="C41" i="11" s="1"/>
  <c r="C46" i="11"/>
  <c r="C45" i="11" s="1"/>
  <c r="C27" i="12"/>
  <c r="C25" i="12" s="1"/>
  <c r="C32" i="12" s="1"/>
  <c r="B2" i="12" s="1"/>
  <c r="B3" i="12" s="1"/>
  <c r="C20" i="69"/>
  <c r="C25" i="69" s="1"/>
  <c r="C22" i="69" s="1"/>
  <c r="B58" i="39"/>
  <c r="F58" i="39" s="1"/>
  <c r="B57" i="39"/>
  <c r="F57" i="39" s="1"/>
  <c r="B61" i="39"/>
  <c r="F61" i="39" s="1"/>
  <c r="B59" i="39"/>
  <c r="F59" i="39" s="1"/>
  <c r="B63" i="39"/>
  <c r="F63" i="39" s="1"/>
  <c r="B60" i="39"/>
  <c r="F60" i="39" s="1"/>
  <c r="B64" i="39"/>
  <c r="F64" i="39" s="1"/>
  <c r="B62" i="39"/>
  <c r="F62" i="39" s="1"/>
  <c r="B56" i="39"/>
  <c r="F56" i="39" s="1"/>
  <c r="B65" i="39"/>
  <c r="F65" i="39" s="1"/>
  <c r="J59" i="15"/>
  <c r="J60" i="15" s="1"/>
  <c r="Q49" i="15"/>
  <c r="J19" i="15"/>
  <c r="C13" i="15"/>
  <c r="C36" i="15"/>
  <c r="C57" i="15"/>
  <c r="J14" i="15"/>
  <c r="C23" i="77"/>
  <c r="C29" i="77" s="1"/>
  <c r="C39" i="69"/>
  <c r="C43" i="69" s="1"/>
  <c r="C42" i="69"/>
  <c r="C39" i="68"/>
  <c r="C43" i="68" s="1"/>
  <c r="C42" i="68"/>
  <c r="C49" i="11" l="1"/>
  <c r="C51" i="11" s="1"/>
  <c r="C52" i="11" s="1"/>
  <c r="B2" i="11" s="1"/>
  <c r="B3" i="11" s="1"/>
  <c r="F66" i="39"/>
  <c r="B2" i="39" s="1"/>
  <c r="B3" i="39" s="1"/>
  <c r="C46" i="68"/>
  <c r="C45" i="68" s="1"/>
  <c r="C41" i="68"/>
  <c r="C46" i="69"/>
  <c r="C45" i="69" s="1"/>
  <c r="C41" i="69"/>
  <c r="C28" i="69"/>
  <c r="C27" i="69" s="1"/>
  <c r="C31" i="69" s="1"/>
  <c r="J13" i="15"/>
  <c r="J23" i="15" s="1"/>
  <c r="J22" i="15"/>
  <c r="C64" i="15"/>
  <c r="C61" i="15"/>
  <c r="C56" i="15"/>
  <c r="C65" i="15" s="1"/>
  <c r="C37" i="15"/>
  <c r="Q70" i="15"/>
  <c r="C75" i="15"/>
  <c r="L46" i="15"/>
  <c r="Q48" i="15"/>
  <c r="C6" i="68"/>
  <c r="C7" i="68" s="1"/>
  <c r="C5" i="68" s="1"/>
  <c r="J59" i="77"/>
  <c r="J60" i="77" s="1"/>
  <c r="C36" i="77"/>
  <c r="J14" i="77"/>
  <c r="J19" i="77"/>
  <c r="C57" i="77"/>
  <c r="C13" i="77"/>
  <c r="Q49" i="77"/>
  <c r="C49" i="68" l="1"/>
  <c r="C51" i="68" s="1"/>
  <c r="C56" i="11"/>
  <c r="C57" i="11" s="1"/>
  <c r="C49" i="69"/>
  <c r="C51" i="69" s="1"/>
  <c r="C52" i="69" s="1"/>
  <c r="C75" i="77"/>
  <c r="Q70" i="77"/>
  <c r="C37" i="77"/>
  <c r="C56" i="77"/>
  <c r="C65" i="77" s="1"/>
  <c r="C61" i="77"/>
  <c r="C64" i="77"/>
  <c r="J22" i="77"/>
  <c r="J13" i="77"/>
  <c r="J23" i="77" s="1"/>
  <c r="L46" i="77"/>
  <c r="Q48" i="77"/>
  <c r="C23" i="68"/>
  <c r="C20" i="68"/>
  <c r="C25" i="68" s="1"/>
  <c r="C28" i="68" l="1"/>
  <c r="C27" i="68" s="1"/>
  <c r="B2" i="69"/>
  <c r="B3" i="69" s="1"/>
  <c r="C57" i="69"/>
  <c r="C56" i="69" s="1"/>
  <c r="C22" i="68"/>
  <c r="C31" i="68" l="1"/>
  <c r="C52" i="68" s="1"/>
  <c r="B2" i="68" s="1"/>
  <c r="C19" i="9"/>
  <c r="C57" i="68" l="1"/>
  <c r="C56" i="68" s="1"/>
  <c r="C102" i="9"/>
  <c r="B3" i="68"/>
  <c r="C20" i="9"/>
  <c r="D34" i="9"/>
  <c r="D35" i="9"/>
  <c r="C103" i="9" l="1"/>
  <c r="A3" i="3" l="1"/>
  <c r="E13" i="3" l="1"/>
  <c r="E50" i="3"/>
  <c r="E373" i="3"/>
  <c r="E106" i="3"/>
  <c r="E219" i="3"/>
  <c r="E203" i="3"/>
  <c r="E481" i="3"/>
  <c r="E319" i="3"/>
  <c r="E59" i="3"/>
  <c r="E417" i="3"/>
  <c r="E228" i="3"/>
  <c r="E393" i="3"/>
  <c r="E270" i="3"/>
  <c r="E113" i="3"/>
  <c r="E42" i="3"/>
  <c r="E52" i="3"/>
  <c r="E468" i="3"/>
  <c r="E256" i="3"/>
  <c r="E328" i="3"/>
  <c r="E56" i="3"/>
  <c r="E564" i="3"/>
  <c r="E326" i="3"/>
  <c r="E420" i="3"/>
  <c r="E549" i="3"/>
  <c r="E300" i="3"/>
  <c r="E186" i="3"/>
  <c r="E398" i="3"/>
  <c r="E553" i="3"/>
  <c r="E294" i="3"/>
  <c r="E415" i="3"/>
  <c r="E234" i="3"/>
  <c r="E168" i="3"/>
  <c r="E478" i="3"/>
  <c r="E53" i="3"/>
  <c r="E110" i="3"/>
  <c r="E520" i="3"/>
  <c r="E99" i="3"/>
  <c r="E369" i="3"/>
  <c r="E293" i="3"/>
  <c r="E80" i="3"/>
  <c r="L6" i="3"/>
  <c r="E419" i="3"/>
  <c r="E244" i="3"/>
  <c r="E492" i="3"/>
  <c r="E295" i="3"/>
  <c r="E449" i="3"/>
  <c r="E239" i="3"/>
  <c r="E189" i="3"/>
  <c r="E172" i="3"/>
  <c r="E136" i="3"/>
  <c r="E66" i="3"/>
  <c r="E241" i="3"/>
  <c r="E477" i="3"/>
  <c r="E171" i="3"/>
  <c r="E118" i="3"/>
  <c r="E145" i="3"/>
  <c r="E452" i="3"/>
  <c r="E23" i="3"/>
  <c r="E459" i="3"/>
  <c r="E130" i="3"/>
  <c r="E325" i="3"/>
  <c r="E438" i="3"/>
  <c r="E521" i="3"/>
  <c r="E224" i="3"/>
  <c r="S6" i="3"/>
  <c r="E43" i="3"/>
  <c r="E122" i="3"/>
  <c r="E316" i="3"/>
  <c r="E229" i="3"/>
  <c r="E535" i="3"/>
  <c r="E127" i="3"/>
  <c r="AP6" i="3"/>
  <c r="E268" i="3"/>
  <c r="E339" i="3"/>
  <c r="E16" i="3"/>
  <c r="E217" i="3"/>
  <c r="E115" i="3"/>
  <c r="Y6" i="3"/>
  <c r="AS6" i="3"/>
  <c r="E212" i="3"/>
  <c r="E289" i="3"/>
  <c r="W6" i="3"/>
  <c r="E248" i="3"/>
  <c r="E466" i="3"/>
  <c r="E338" i="3"/>
  <c r="E129" i="3"/>
  <c r="AG6" i="3"/>
  <c r="E30" i="3"/>
  <c r="E263" i="3"/>
  <c r="E227" i="3"/>
  <c r="E434" i="3"/>
  <c r="E192" i="3"/>
  <c r="E402" i="3"/>
  <c r="E271" i="3"/>
  <c r="E399" i="3"/>
  <c r="E232" i="3"/>
  <c r="E391" i="3"/>
  <c r="E497" i="3"/>
  <c r="I6" i="3"/>
  <c r="E267" i="3"/>
  <c r="E126" i="3"/>
  <c r="E487" i="3"/>
  <c r="E125" i="3"/>
  <c r="E320" i="3"/>
  <c r="E114" i="3"/>
  <c r="E137" i="3"/>
  <c r="E111" i="3"/>
  <c r="E515" i="3"/>
  <c r="E283" i="3"/>
  <c r="E58" i="3"/>
  <c r="E460" i="3"/>
  <c r="E528" i="3"/>
  <c r="E198" i="3"/>
  <c r="E175" i="3"/>
  <c r="E546" i="3"/>
  <c r="E330" i="3"/>
  <c r="E176" i="3"/>
  <c r="E450" i="3"/>
  <c r="E584" i="3"/>
  <c r="E443" i="3"/>
  <c r="E509" i="3"/>
  <c r="E169" i="3"/>
  <c r="E213" i="3"/>
  <c r="E324" i="3"/>
  <c r="E202" i="3"/>
  <c r="E422" i="3"/>
  <c r="E305" i="3"/>
  <c r="E484" i="3"/>
  <c r="E28" i="3"/>
  <c r="E277" i="3"/>
  <c r="E532" i="3"/>
  <c r="E69" i="3"/>
  <c r="E83" i="3"/>
  <c r="E26" i="3"/>
  <c r="E233" i="3"/>
  <c r="E547" i="3"/>
  <c r="E149" i="3"/>
  <c r="E123" i="3"/>
  <c r="E562" i="3"/>
  <c r="E195" i="3"/>
  <c r="P6" i="3"/>
  <c r="E526" i="3"/>
  <c r="E321" i="3"/>
  <c r="E304" i="3"/>
  <c r="E174" i="3"/>
  <c r="E178" i="3"/>
  <c r="E448" i="3"/>
  <c r="E21" i="3"/>
  <c r="E109" i="3"/>
  <c r="E489" i="3"/>
  <c r="E191" i="3"/>
  <c r="E313" i="3"/>
  <c r="E165" i="3"/>
  <c r="E514" i="3"/>
  <c r="E194" i="3"/>
  <c r="E147" i="3"/>
  <c r="E154" i="3"/>
  <c r="E455" i="3"/>
  <c r="E55" i="3"/>
  <c r="E116" i="3"/>
  <c r="E284" i="3"/>
  <c r="E349" i="3"/>
  <c r="E554" i="3"/>
  <c r="AN6" i="3"/>
  <c r="E207" i="3"/>
  <c r="AA6" i="3"/>
  <c r="E49" i="3"/>
  <c r="E332" i="3"/>
  <c r="E214" i="3"/>
  <c r="E365" i="3"/>
  <c r="E496" i="3"/>
  <c r="E48" i="3"/>
  <c r="E367" i="3"/>
  <c r="E135" i="3"/>
  <c r="E522" i="3"/>
  <c r="E451" i="3"/>
  <c r="E555" i="3"/>
  <c r="E64" i="3"/>
  <c r="E27" i="3"/>
  <c r="E312" i="3"/>
  <c r="E560" i="3"/>
  <c r="E551" i="3"/>
  <c r="E381" i="3"/>
  <c r="E15" i="3"/>
  <c r="E475" i="3"/>
  <c r="E238" i="3"/>
  <c r="E250" i="3"/>
  <c r="E378" i="3"/>
  <c r="E500" i="3"/>
  <c r="E495" i="3"/>
  <c r="E117" i="3"/>
  <c r="E583" i="3"/>
  <c r="E34" i="3"/>
  <c r="E276" i="3"/>
  <c r="E376" i="3"/>
  <c r="E143" i="3"/>
  <c r="E160" i="3"/>
  <c r="E121" i="3"/>
  <c r="E552" i="3"/>
  <c r="E458" i="3"/>
  <c r="AB6" i="3"/>
  <c r="E587" i="3"/>
  <c r="E314" i="3"/>
  <c r="E163" i="3"/>
  <c r="E152" i="3"/>
  <c r="E442" i="3"/>
  <c r="E170" i="3"/>
  <c r="E544" i="3"/>
  <c r="E280" i="3"/>
  <c r="E512" i="3"/>
  <c r="E441" i="3"/>
  <c r="E120" i="3"/>
  <c r="E358" i="3"/>
  <c r="E32" i="3"/>
  <c r="E236" i="3"/>
  <c r="E259" i="3"/>
  <c r="E431" i="3"/>
  <c r="E17" i="3"/>
  <c r="E242" i="3"/>
  <c r="E388" i="3"/>
  <c r="E88" i="3"/>
  <c r="E573" i="3"/>
  <c r="E465" i="3"/>
  <c r="E98" i="3"/>
  <c r="E575" i="3"/>
  <c r="E543" i="3"/>
  <c r="E340" i="3"/>
  <c r="E209" i="3"/>
  <c r="E380" i="3"/>
  <c r="E556" i="3"/>
  <c r="E142" i="3"/>
  <c r="E421" i="3"/>
  <c r="E407" i="3"/>
  <c r="E100" i="3"/>
  <c r="E585" i="3"/>
  <c r="E504" i="3"/>
  <c r="E350" i="3"/>
  <c r="E336" i="3"/>
  <c r="E333" i="3"/>
  <c r="E536" i="3"/>
  <c r="E166" i="3"/>
  <c r="E366" i="3"/>
  <c r="E278" i="3"/>
  <c r="E513" i="3"/>
  <c r="E491" i="3"/>
  <c r="E579" i="3"/>
  <c r="E185" i="3"/>
  <c r="E361" i="3"/>
  <c r="E383" i="3"/>
  <c r="E225" i="3"/>
  <c r="E408" i="3"/>
  <c r="E508" i="3"/>
  <c r="E425" i="3"/>
  <c r="E71" i="3"/>
  <c r="E177" i="3"/>
  <c r="Q6" i="3"/>
  <c r="E559" i="3"/>
  <c r="E524" i="3"/>
  <c r="E409" i="3"/>
  <c r="E433" i="3"/>
  <c r="E89" i="3"/>
  <c r="E87" i="3"/>
  <c r="E348" i="3"/>
  <c r="E566" i="3"/>
  <c r="E102" i="3"/>
  <c r="E494" i="3"/>
  <c r="E310" i="3"/>
  <c r="E416" i="3"/>
  <c r="E230" i="3"/>
  <c r="E299" i="3"/>
  <c r="E527" i="3"/>
  <c r="E540" i="3"/>
  <c r="E502" i="3"/>
  <c r="E456" i="3"/>
  <c r="E418" i="3"/>
  <c r="E323" i="3"/>
  <c r="E96" i="3"/>
  <c r="E25" i="3"/>
  <c r="E576" i="3"/>
  <c r="E51" i="3"/>
  <c r="E572" i="3"/>
  <c r="E531" i="3"/>
  <c r="E423" i="3"/>
  <c r="E253" i="3"/>
  <c r="E161" i="3"/>
  <c r="E86" i="3"/>
  <c r="E360" i="3"/>
  <c r="E103" i="3"/>
  <c r="E542" i="3"/>
  <c r="V6" i="3"/>
  <c r="E79" i="3"/>
  <c r="E105" i="3"/>
  <c r="E375" i="3"/>
  <c r="E286" i="3"/>
  <c r="T6" i="3"/>
  <c r="E523" i="3"/>
  <c r="E22" i="3"/>
  <c r="E428" i="3"/>
  <c r="E463" i="3"/>
  <c r="E223" i="3"/>
  <c r="E184" i="3"/>
  <c r="E377" i="3"/>
  <c r="E557" i="3"/>
  <c r="E385" i="3"/>
  <c r="E180" i="3"/>
  <c r="E539" i="3"/>
  <c r="E445" i="3"/>
  <c r="I4" i="6"/>
  <c r="G3" i="43" s="1"/>
  <c r="AY6" i="3"/>
  <c r="E362" i="3"/>
  <c r="E38" i="3"/>
  <c r="E62" i="3"/>
  <c r="E31" i="3"/>
  <c r="E429" i="3"/>
  <c r="E296" i="3"/>
  <c r="E354" i="3"/>
  <c r="E258" i="3"/>
  <c r="E432" i="3"/>
  <c r="AJ6" i="3"/>
  <c r="E216" i="3"/>
  <c r="E183" i="3"/>
  <c r="E235" i="3"/>
  <c r="E139" i="3"/>
  <c r="E218" i="3"/>
  <c r="E392" i="3"/>
  <c r="E424" i="3"/>
  <c r="E446" i="3"/>
  <c r="E193" i="3"/>
  <c r="AR6" i="3"/>
  <c r="E488" i="3"/>
  <c r="AO6" i="3"/>
  <c r="E309" i="3"/>
  <c r="E44" i="3"/>
  <c r="E476" i="3"/>
  <c r="E245" i="3"/>
  <c r="E141" i="3"/>
  <c r="E205" i="3"/>
  <c r="E20" i="3"/>
  <c r="E580" i="3"/>
  <c r="E537" i="3"/>
  <c r="E306" i="3"/>
  <c r="E386" i="3"/>
  <c r="E240" i="3"/>
  <c r="E400" i="3"/>
  <c r="E322" i="3"/>
  <c r="E298" i="3"/>
  <c r="E565" i="3"/>
  <c r="E275" i="3"/>
  <c r="E119" i="3"/>
  <c r="E507" i="3"/>
  <c r="E530" i="3"/>
  <c r="E480" i="3"/>
  <c r="E404" i="3"/>
  <c r="E181" i="3"/>
  <c r="E519" i="3"/>
  <c r="E311" i="3"/>
  <c r="E406" i="3"/>
  <c r="E153" i="3"/>
  <c r="E462" i="3"/>
  <c r="E479" i="3"/>
  <c r="E101" i="3"/>
  <c r="E73" i="3"/>
  <c r="E435" i="3"/>
  <c r="E370" i="3"/>
  <c r="E196" i="3"/>
  <c r="E210" i="3"/>
  <c r="E516" i="3"/>
  <c r="E260" i="3"/>
  <c r="E208" i="3"/>
  <c r="E426" i="3"/>
  <c r="E39" i="3"/>
  <c r="E534" i="3"/>
  <c r="E308" i="3"/>
  <c r="E401" i="3"/>
  <c r="E33" i="3"/>
  <c r="E558" i="3"/>
  <c r="E91" i="3"/>
  <c r="E85" i="3"/>
  <c r="E363" i="3"/>
  <c r="E159" i="3"/>
  <c r="E107" i="3"/>
  <c r="E394" i="3"/>
  <c r="E132" i="3"/>
  <c r="E261" i="3"/>
  <c r="E327" i="3"/>
  <c r="E384" i="3"/>
  <c r="E578" i="3"/>
  <c r="E510" i="3"/>
  <c r="E357" i="3"/>
  <c r="E511" i="3"/>
  <c r="E187" i="3"/>
  <c r="E469" i="3"/>
  <c r="E237" i="3"/>
  <c r="E108" i="3"/>
  <c r="E264" i="3"/>
  <c r="E444" i="3"/>
  <c r="E199" i="3"/>
  <c r="E577" i="3"/>
  <c r="E307" i="3"/>
  <c r="E414" i="3"/>
  <c r="E486" i="3"/>
  <c r="E439" i="3"/>
  <c r="E82" i="3"/>
  <c r="E78" i="3"/>
  <c r="E41" i="3"/>
  <c r="Z6" i="3"/>
  <c r="E81" i="3"/>
  <c r="AM6" i="3"/>
  <c r="E403" i="3"/>
  <c r="E382" i="3"/>
  <c r="E167" i="3"/>
  <c r="E352" i="3"/>
  <c r="E364" i="3"/>
  <c r="E318" i="3"/>
  <c r="E571" i="3"/>
  <c r="AK6" i="3"/>
  <c r="E266" i="3"/>
  <c r="E155" i="3"/>
  <c r="E231" i="3"/>
  <c r="E220" i="3"/>
  <c r="E485" i="3"/>
  <c r="E29" i="3"/>
  <c r="E188" i="3"/>
  <c r="E128" i="3"/>
  <c r="E74" i="3"/>
  <c r="E262" i="3"/>
  <c r="E297" i="3"/>
  <c r="E157" i="3"/>
  <c r="E525" i="3"/>
  <c r="E390" i="3"/>
  <c r="E158" i="3"/>
  <c r="E60" i="3"/>
  <c r="E483" i="3"/>
  <c r="E156" i="3"/>
  <c r="E84" i="3"/>
  <c r="E273" i="3"/>
  <c r="E255" i="3"/>
  <c r="E569" i="3"/>
  <c r="E387" i="3"/>
  <c r="E561" i="3"/>
  <c r="E482" i="3"/>
  <c r="E197" i="3"/>
  <c r="E317" i="3"/>
  <c r="E518" i="3"/>
  <c r="E545" i="3"/>
  <c r="E351" i="3"/>
  <c r="E97" i="3"/>
  <c r="E131" i="3"/>
  <c r="E301" i="3"/>
  <c r="E164" i="3"/>
  <c r="E246" i="3"/>
  <c r="AF6" i="3"/>
  <c r="E372" i="3"/>
  <c r="E498" i="3"/>
  <c r="E453" i="3"/>
  <c r="E371" i="3"/>
  <c r="E211" i="3"/>
  <c r="E430" i="3"/>
  <c r="E282" i="3"/>
  <c r="E215" i="3"/>
  <c r="E563" i="3"/>
  <c r="I3" i="6"/>
  <c r="E146" i="3"/>
  <c r="E315" i="3"/>
  <c r="E112" i="3"/>
  <c r="E274" i="3"/>
  <c r="E344" i="3"/>
  <c r="E285" i="3"/>
  <c r="E138" i="3"/>
  <c r="E95" i="3"/>
  <c r="R6" i="3"/>
  <c r="E427" i="3"/>
  <c r="E538" i="3"/>
  <c r="E179" i="3"/>
  <c r="E18" i="3"/>
  <c r="E104" i="3"/>
  <c r="E93" i="3"/>
  <c r="E75" i="3"/>
  <c r="E269" i="3"/>
  <c r="E292" i="3"/>
  <c r="E247" i="3"/>
  <c r="E503" i="3"/>
  <c r="E281" i="3"/>
  <c r="E140" i="3"/>
  <c r="E144" i="3"/>
  <c r="E331" i="3"/>
  <c r="E505" i="3"/>
  <c r="E151" i="3"/>
  <c r="E221" i="3"/>
  <c r="E329" i="3"/>
  <c r="E36" i="3"/>
  <c r="E257" i="3"/>
  <c r="E288" i="3"/>
  <c r="E359" i="3"/>
  <c r="E65" i="3"/>
  <c r="E57" i="3"/>
  <c r="E499" i="3"/>
  <c r="E405" i="3"/>
  <c r="E506" i="3"/>
  <c r="E19" i="3"/>
  <c r="E412" i="3"/>
  <c r="E40" i="3"/>
  <c r="E173" i="3"/>
  <c r="E355" i="3"/>
  <c r="E334" i="3"/>
  <c r="E581" i="3"/>
  <c r="AI6" i="3"/>
  <c r="E77" i="3"/>
  <c r="E567" i="3"/>
  <c r="E379" i="3"/>
  <c r="E68" i="3"/>
  <c r="E389" i="3"/>
  <c r="E517" i="3"/>
  <c r="E454" i="3"/>
  <c r="U6" i="3"/>
  <c r="E303" i="3"/>
  <c r="E356" i="3"/>
  <c r="E343" i="3"/>
  <c r="E447" i="3"/>
  <c r="K6" i="3"/>
  <c r="E265" i="3"/>
  <c r="E471" i="3"/>
  <c r="E24" i="3"/>
  <c r="E345" i="3"/>
  <c r="E61" i="3"/>
  <c r="E342" i="3"/>
  <c r="E440" i="3"/>
  <c r="E467" i="3"/>
  <c r="E133" i="3"/>
  <c r="E570" i="3"/>
  <c r="E574" i="3"/>
  <c r="E37" i="3"/>
  <c r="E353" i="3"/>
  <c r="E473" i="3"/>
  <c r="AE6" i="3"/>
  <c r="E548" i="3"/>
  <c r="E190" i="3"/>
  <c r="E397" i="3"/>
  <c r="E162" i="3"/>
  <c r="E472" i="3"/>
  <c r="E14" i="3"/>
  <c r="E54" i="3"/>
  <c r="E63" i="3"/>
  <c r="E413" i="3"/>
  <c r="E204" i="3"/>
  <c r="E251" i="3"/>
  <c r="J6" i="3"/>
  <c r="E249" i="3"/>
  <c r="E541" i="3"/>
  <c r="E335" i="3"/>
  <c r="E411" i="3"/>
  <c r="E76" i="3"/>
  <c r="E45" i="3"/>
  <c r="E493" i="3"/>
  <c r="E533" i="3"/>
  <c r="E287" i="3"/>
  <c r="E94" i="3"/>
  <c r="E470" i="3"/>
  <c r="E148" i="3"/>
  <c r="E67" i="3"/>
  <c r="E291" i="3"/>
  <c r="E374" i="3"/>
  <c r="E396" i="3"/>
  <c r="E254" i="3"/>
  <c r="E550" i="3"/>
  <c r="AQ6" i="3"/>
  <c r="E279" i="3"/>
  <c r="E457" i="3"/>
  <c r="O6" i="3"/>
  <c r="E47" i="3"/>
  <c r="E90" i="3"/>
  <c r="E124" i="3"/>
  <c r="AL6" i="3"/>
  <c r="E368" i="3"/>
  <c r="E272" i="3"/>
  <c r="N6" i="3"/>
  <c r="E395" i="3"/>
  <c r="E150" i="3"/>
  <c r="E501" i="3"/>
  <c r="E436" i="3"/>
  <c r="E586" i="3"/>
  <c r="E252" i="3"/>
  <c r="X6" i="3"/>
  <c r="E206" i="3"/>
  <c r="E346" i="3"/>
  <c r="AH6" i="3"/>
  <c r="E568" i="3"/>
  <c r="E200" i="3"/>
  <c r="E182" i="3"/>
  <c r="E464" i="3"/>
  <c r="E474" i="3"/>
  <c r="E461" i="3"/>
  <c r="E347" i="3"/>
  <c r="E243" i="3"/>
  <c r="E337" i="3"/>
  <c r="E92" i="3"/>
  <c r="E437" i="3"/>
  <c r="E222" i="3"/>
  <c r="E72" i="3"/>
  <c r="E341" i="3"/>
  <c r="E582" i="3"/>
  <c r="E201" i="3"/>
  <c r="E290" i="3"/>
  <c r="E302" i="3"/>
  <c r="E35" i="3"/>
  <c r="E226" i="3"/>
  <c r="E490" i="3"/>
  <c r="E410" i="3"/>
  <c r="E46" i="3"/>
  <c r="E70" i="3"/>
  <c r="AD6" i="3"/>
  <c r="AC6" i="3" s="1"/>
  <c r="E529" i="3"/>
  <c r="M6" i="3"/>
  <c r="E134" i="3"/>
  <c r="I7" i="6"/>
  <c r="AF11" i="43" l="1"/>
  <c r="AF13" i="43" s="1"/>
  <c r="AB11" i="43"/>
  <c r="AB13" i="43" s="1"/>
  <c r="AC11" i="43"/>
  <c r="AC13" i="43" s="1"/>
  <c r="Y11" i="43"/>
  <c r="Y13" i="43" s="1"/>
  <c r="H22" i="43"/>
  <c r="L101" i="43"/>
  <c r="N104" i="46"/>
  <c r="F22" i="43"/>
  <c r="AD11" i="43"/>
  <c r="AD13" i="43" s="1"/>
  <c r="Z11" i="43"/>
  <c r="Z13" i="43" s="1"/>
  <c r="AA11" i="43"/>
  <c r="AA13" i="43" s="1"/>
  <c r="AE11" i="43"/>
  <c r="AE13" i="43" s="1"/>
  <c r="AG11" i="43"/>
  <c r="AG13" i="43" s="1"/>
  <c r="AI11" i="43"/>
  <c r="AI13" i="43" s="1"/>
  <c r="Z7" i="43"/>
  <c r="N101" i="43"/>
  <c r="G101" i="43"/>
  <c r="D101" i="43"/>
  <c r="I101" i="43"/>
  <c r="AH11" i="43"/>
  <c r="AH13" i="43" s="1"/>
  <c r="AJ11" i="43"/>
  <c r="AJ13" i="43" s="1"/>
  <c r="E101" i="43"/>
  <c r="G22" i="43"/>
  <c r="J101" i="43"/>
  <c r="E22" i="43"/>
  <c r="D22" i="43" s="1"/>
  <c r="C101" i="43"/>
  <c r="H101" i="43"/>
  <c r="M101" i="43"/>
  <c r="F101" i="43"/>
  <c r="K101" i="43"/>
  <c r="B113" i="43"/>
  <c r="AY23" i="3"/>
  <c r="BA6" i="3"/>
  <c r="AY302" i="3"/>
  <c r="AY482" i="3"/>
  <c r="AY260" i="3"/>
  <c r="AY360" i="3"/>
  <c r="AY398" i="3"/>
  <c r="AY137" i="3"/>
  <c r="AY14" i="3"/>
  <c r="AY362" i="3"/>
  <c r="AY224" i="3"/>
  <c r="AY289" i="3"/>
  <c r="AY116" i="3"/>
  <c r="AY84" i="3"/>
  <c r="AY373" i="3"/>
  <c r="AY108" i="3"/>
  <c r="AY356" i="3"/>
  <c r="AY549" i="3"/>
  <c r="AY534" i="3"/>
  <c r="AY570" i="3"/>
  <c r="AY490" i="3"/>
  <c r="AY343" i="3"/>
  <c r="AY88" i="3"/>
  <c r="AY580" i="3"/>
  <c r="AY250" i="3"/>
  <c r="AY551" i="3"/>
  <c r="AY451" i="3"/>
  <c r="AY307" i="3"/>
  <c r="AY297" i="3"/>
  <c r="AY513" i="3"/>
  <c r="AY201" i="3"/>
  <c r="AY381" i="3"/>
  <c r="AY210" i="3"/>
  <c r="BM6" i="3"/>
  <c r="AY189" i="3"/>
  <c r="AY484" i="3"/>
  <c r="AY531" i="3"/>
  <c r="AY331" i="3"/>
  <c r="AY119" i="3"/>
  <c r="AY82" i="3"/>
  <c r="AY237" i="3"/>
  <c r="AY355" i="3"/>
  <c r="AY68" i="3"/>
  <c r="AY389" i="3"/>
  <c r="AY393" i="3"/>
  <c r="AY516" i="3"/>
  <c r="AY122" i="3"/>
  <c r="AY399" i="3"/>
  <c r="AY216" i="3"/>
  <c r="AY195" i="3"/>
  <c r="AY15" i="3"/>
  <c r="AY447" i="3"/>
  <c r="AY366" i="3"/>
  <c r="AY475" i="3"/>
  <c r="AY426" i="3"/>
  <c r="AY148" i="3"/>
  <c r="AY455" i="3"/>
  <c r="AY270" i="3"/>
  <c r="AY438" i="3"/>
  <c r="AY174" i="3"/>
  <c r="AY505" i="3"/>
  <c r="AY394" i="3"/>
  <c r="AY257" i="3"/>
  <c r="AY59" i="3"/>
  <c r="AY465" i="3"/>
  <c r="AY60" i="3"/>
  <c r="AY246" i="3"/>
  <c r="AY114" i="3"/>
  <c r="AY414" i="3"/>
  <c r="AY96" i="3"/>
  <c r="AY313" i="3"/>
  <c r="AY509" i="3"/>
  <c r="AY264" i="3"/>
  <c r="AY70" i="3"/>
  <c r="AY504" i="3"/>
  <c r="AY292" i="3"/>
  <c r="AY269" i="3"/>
  <c r="AY89" i="3"/>
  <c r="AY239" i="3"/>
  <c r="AY279" i="3"/>
  <c r="AY435" i="3"/>
  <c r="AY32" i="3"/>
  <c r="AY461" i="3"/>
  <c r="AY140" i="3"/>
  <c r="AY576" i="3"/>
  <c r="AY474" i="3"/>
  <c r="AY322" i="3"/>
  <c r="AY528" i="3"/>
  <c r="AY30" i="3"/>
  <c r="AY304" i="3"/>
  <c r="AY112" i="3"/>
  <c r="AY422" i="3"/>
  <c r="AY130" i="3"/>
  <c r="AY271" i="3"/>
  <c r="BO6" i="3"/>
  <c r="AY526" i="3"/>
  <c r="AY163" i="3"/>
  <c r="AY550" i="3"/>
  <c r="AY587" i="3"/>
  <c r="AY127" i="3"/>
  <c r="AY502" i="3"/>
  <c r="AY345" i="3"/>
  <c r="AY519" i="3"/>
  <c r="AY446" i="3"/>
  <c r="AY197" i="3"/>
  <c r="AY231" i="3"/>
  <c r="AY45" i="3"/>
  <c r="AY395" i="3"/>
  <c r="AY155" i="3"/>
  <c r="AY143" i="3"/>
  <c r="AY265" i="3"/>
  <c r="AY402" i="3"/>
  <c r="AY64" i="3"/>
  <c r="AY480" i="3"/>
  <c r="AY507" i="3"/>
  <c r="AY20" i="3"/>
  <c r="AY212" i="3"/>
  <c r="AY183" i="3"/>
  <c r="AY354" i="3"/>
  <c r="AY469" i="3"/>
  <c r="AY565" i="3"/>
  <c r="AY251" i="3"/>
  <c r="BQ6" i="3"/>
  <c r="AY56" i="3"/>
  <c r="AY310" i="3"/>
  <c r="AY136" i="3"/>
  <c r="BI6" i="3"/>
  <c r="AY466" i="3"/>
  <c r="AY131" i="3"/>
  <c r="AY28" i="3"/>
  <c r="AY274" i="3"/>
  <c r="AY80" i="3"/>
  <c r="AY187" i="3"/>
  <c r="AY273" i="3"/>
  <c r="AY75" i="3"/>
  <c r="AY562" i="3"/>
  <c r="AY254" i="3"/>
  <c r="AY308" i="3"/>
  <c r="AY235" i="3"/>
  <c r="AY530" i="3"/>
  <c r="AY421" i="3"/>
  <c r="AY87" i="3"/>
  <c r="AY152" i="3"/>
  <c r="AY303" i="3"/>
  <c r="AY217" i="3"/>
  <c r="AY544" i="3"/>
  <c r="AY33" i="3"/>
  <c r="AY278" i="3"/>
  <c r="BH6" i="3"/>
  <c r="AY225" i="3"/>
  <c r="AY377" i="3"/>
  <c r="AY280" i="3"/>
  <c r="AY220" i="3"/>
  <c r="AY211" i="3"/>
  <c r="AY352" i="3"/>
  <c r="AY102" i="3"/>
  <c r="AY281" i="3"/>
  <c r="AY372" i="3"/>
  <c r="AY190" i="3"/>
  <c r="AY109" i="3"/>
  <c r="AY333" i="3"/>
  <c r="AY411" i="3"/>
  <c r="AY494" i="3"/>
  <c r="AY287" i="3"/>
  <c r="AY471" i="3"/>
  <c r="AY524" i="3"/>
  <c r="AY192" i="3"/>
  <c r="AY346" i="3"/>
  <c r="AY55" i="3"/>
  <c r="AY391" i="3"/>
  <c r="AY586" i="3"/>
  <c r="AY74" i="3"/>
  <c r="AY363" i="3"/>
  <c r="AY229" i="3"/>
  <c r="AY557" i="3"/>
  <c r="AY52" i="3"/>
  <c r="AY291" i="3"/>
  <c r="AY368" i="3"/>
  <c r="AY121" i="3"/>
  <c r="AY483" i="3"/>
  <c r="AY572" i="3"/>
  <c r="AY81" i="3"/>
  <c r="AY396" i="3"/>
  <c r="AY434" i="3"/>
  <c r="AY545" i="3"/>
  <c r="AY301" i="3"/>
  <c r="AY408" i="3"/>
  <c r="AY164" i="3"/>
  <c r="AY477" i="3"/>
  <c r="AY176" i="3"/>
  <c r="AY268" i="3"/>
  <c r="AY228" i="3"/>
  <c r="AY208" i="3"/>
  <c r="AY440" i="3"/>
  <c r="AY548" i="3"/>
  <c r="AY385" i="3"/>
  <c r="AY508" i="3"/>
  <c r="AY467" i="3"/>
  <c r="AY40" i="3"/>
  <c r="AY157" i="3"/>
  <c r="AY535" i="3"/>
  <c r="AY486" i="3"/>
  <c r="AY132" i="3"/>
  <c r="AY306" i="3"/>
  <c r="AY405" i="3"/>
  <c r="AY35" i="3"/>
  <c r="AY579" i="3"/>
  <c r="AY266" i="3"/>
  <c r="AY16" i="3"/>
  <c r="AY491" i="3"/>
  <c r="AY104" i="3"/>
  <c r="AY299" i="3"/>
  <c r="AY553" i="3"/>
  <c r="AY409" i="3"/>
  <c r="BT6" i="3"/>
  <c r="AY71" i="3"/>
  <c r="AY19" i="3"/>
  <c r="AY479" i="3"/>
  <c r="AY532" i="3"/>
  <c r="AY341" i="3"/>
  <c r="AY227" i="3"/>
  <c r="AY100" i="3"/>
  <c r="AY497" i="3"/>
  <c r="AY160" i="3"/>
  <c r="AY277" i="3"/>
  <c r="AY232" i="3"/>
  <c r="AY407" i="3"/>
  <c r="AY194" i="3"/>
  <c r="AY462" i="3"/>
  <c r="AY230" i="3"/>
  <c r="AY441" i="3"/>
  <c r="AY203" i="3"/>
  <c r="AY36" i="3"/>
  <c r="AY328" i="3"/>
  <c r="AY470" i="3"/>
  <c r="AY118" i="3"/>
  <c r="AY332" i="3"/>
  <c r="AY223" i="3"/>
  <c r="AY376" i="3"/>
  <c r="AY323" i="3"/>
  <c r="AY334" i="3"/>
  <c r="AY53" i="3"/>
  <c r="AY365" i="3"/>
  <c r="AY525" i="3"/>
  <c r="AY336" i="3"/>
  <c r="AY47" i="3"/>
  <c r="AY22" i="3"/>
  <c r="AY34" i="3"/>
  <c r="AY111" i="3"/>
  <c r="AY460" i="3"/>
  <c r="AY327" i="3"/>
  <c r="BE6" i="3"/>
  <c r="AY185" i="3"/>
  <c r="AY262" i="3"/>
  <c r="AY73" i="3"/>
  <c r="AY452" i="3"/>
  <c r="AY561" i="3"/>
  <c r="AY86" i="3"/>
  <c r="AY390" i="3"/>
  <c r="AY150" i="3"/>
  <c r="AY431" i="3"/>
  <c r="AY339" i="3"/>
  <c r="AY236" i="3"/>
  <c r="AY420" i="3"/>
  <c r="AY133" i="3"/>
  <c r="AY166" i="3"/>
  <c r="AY316" i="3"/>
  <c r="AY585" i="3"/>
  <c r="AY101" i="3"/>
  <c r="AY234" i="3"/>
  <c r="AY458" i="3"/>
  <c r="AY542" i="3"/>
  <c r="AY135" i="3"/>
  <c r="AY456" i="3"/>
  <c r="AY184" i="3"/>
  <c r="AY338" i="3"/>
  <c r="AY67" i="3"/>
  <c r="AY123" i="3"/>
  <c r="AY489" i="3"/>
  <c r="AY379" i="3"/>
  <c r="AY540" i="3"/>
  <c r="AY198" i="3"/>
  <c r="AY255" i="3"/>
  <c r="BB6" i="3"/>
  <c r="AY258" i="3"/>
  <c r="AY449" i="3"/>
  <c r="AY520" i="3"/>
  <c r="AY21" i="3"/>
  <c r="AY337" i="3"/>
  <c r="AY415" i="3"/>
  <c r="AY493" i="3"/>
  <c r="AY248" i="3"/>
  <c r="AY547" i="3"/>
  <c r="AY293" i="3"/>
  <c r="AY400" i="3"/>
  <c r="AY115" i="3"/>
  <c r="AY335" i="3"/>
  <c r="AY342" i="3"/>
  <c r="AY180" i="3"/>
  <c r="AY177" i="3"/>
  <c r="AY31" i="3"/>
  <c r="AY142" i="3"/>
  <c r="AY42" i="3"/>
  <c r="AY44" i="3"/>
  <c r="AY353" i="3"/>
  <c r="AY501" i="3"/>
  <c r="AY312" i="3"/>
  <c r="AY46" i="3"/>
  <c r="AY91" i="3"/>
  <c r="AY511" i="3"/>
  <c r="AY209" i="3"/>
  <c r="AY417" i="3"/>
  <c r="AY134" i="3"/>
  <c r="AY161" i="3"/>
  <c r="AY159" i="3"/>
  <c r="AY583" i="3"/>
  <c r="AY295" i="3"/>
  <c r="AY380" i="3"/>
  <c r="AY437" i="3"/>
  <c r="AY261" i="3"/>
  <c r="AY193" i="3"/>
  <c r="AY324" i="3"/>
  <c r="AY523" i="3"/>
  <c r="AY445" i="3"/>
  <c r="AY151" i="3"/>
  <c r="AY200" i="3"/>
  <c r="AY66" i="3"/>
  <c r="AY245" i="3"/>
  <c r="AY77" i="3"/>
  <c r="AY294" i="3"/>
  <c r="AY24" i="3"/>
  <c r="AY488" i="3"/>
  <c r="AY584" i="3"/>
  <c r="AY369" i="3"/>
  <c r="AY499" i="3"/>
  <c r="AY167" i="3"/>
  <c r="AY512" i="3"/>
  <c r="AY416" i="3"/>
  <c r="AY90" i="3"/>
  <c r="AY444" i="3"/>
  <c r="AY574" i="3"/>
  <c r="AY117" i="3"/>
  <c r="AY186" i="3"/>
  <c r="AY464" i="3"/>
  <c r="AY577" i="3"/>
  <c r="AY321" i="3"/>
  <c r="AY110" i="3"/>
  <c r="AY13" i="3"/>
  <c r="AY375" i="3"/>
  <c r="AY514" i="3"/>
  <c r="AY575" i="3"/>
  <c r="AY283" i="3"/>
  <c r="AY65" i="3"/>
  <c r="AY285" i="3"/>
  <c r="AY50" i="3"/>
  <c r="AY539" i="3"/>
  <c r="AY215" i="3"/>
  <c r="AY552" i="3"/>
  <c r="AY305" i="3"/>
  <c r="AY79" i="3"/>
  <c r="AY568" i="3"/>
  <c r="AY521" i="3"/>
  <c r="AY318" i="3"/>
  <c r="AY541" i="3"/>
  <c r="AY149" i="3"/>
  <c r="BJ6" i="3"/>
  <c r="AY317" i="3"/>
  <c r="AY546" i="3"/>
  <c r="AY282" i="3"/>
  <c r="AY410" i="3"/>
  <c r="AY78" i="3"/>
  <c r="AY424" i="3"/>
  <c r="AY367" i="3"/>
  <c r="AY191" i="3"/>
  <c r="AY350" i="3"/>
  <c r="AY404" i="3"/>
  <c r="AY178" i="3"/>
  <c r="AY93" i="3"/>
  <c r="AY340" i="3"/>
  <c r="AY559" i="3"/>
  <c r="AY218" i="3"/>
  <c r="AY537" i="3"/>
  <c r="AY330" i="3"/>
  <c r="AY288" i="3"/>
  <c r="AY567" i="3"/>
  <c r="AY175" i="3"/>
  <c r="AY383" i="3"/>
  <c r="AY564" i="3"/>
  <c r="AY298" i="3"/>
  <c r="AY527" i="3"/>
  <c r="AY325" i="3"/>
  <c r="BS6" i="3"/>
  <c r="AY25" i="3"/>
  <c r="AY481" i="3"/>
  <c r="AY387" i="3"/>
  <c r="AY18" i="3"/>
  <c r="AY256" i="3"/>
  <c r="AY314" i="3"/>
  <c r="AY94" i="3"/>
  <c r="AY442" i="3"/>
  <c r="AY129" i="3"/>
  <c r="BF6" i="3"/>
  <c r="AY349" i="3"/>
  <c r="AY554" i="3"/>
  <c r="AY138" i="3"/>
  <c r="AY569" i="3"/>
  <c r="AY371" i="3"/>
  <c r="AY443" i="3"/>
  <c r="AY500" i="3"/>
  <c r="BP6" i="3"/>
  <c r="AY361" i="3"/>
  <c r="AY536" i="3"/>
  <c r="AY275" i="3"/>
  <c r="AY286" i="3"/>
  <c r="AY573" i="3"/>
  <c r="AY319" i="3"/>
  <c r="AY103" i="3"/>
  <c r="AY38" i="3"/>
  <c r="AY156" i="3"/>
  <c r="AY468" i="3"/>
  <c r="AY582" i="3"/>
  <c r="AY348" i="3"/>
  <c r="AY154" i="3"/>
  <c r="AY168" i="3"/>
  <c r="AY492" i="3"/>
  <c r="AY425" i="3"/>
  <c r="AY457" i="3"/>
  <c r="AY358" i="3"/>
  <c r="AY214" i="3"/>
  <c r="AY427" i="3"/>
  <c r="AY453" i="3"/>
  <c r="AY517" i="3"/>
  <c r="BC6" i="3"/>
  <c r="AY199" i="3"/>
  <c r="AY182" i="3"/>
  <c r="AY57" i="3"/>
  <c r="AY518" i="3"/>
  <c r="AY450" i="3"/>
  <c r="AY120" i="3"/>
  <c r="AY272" i="3"/>
  <c r="AY144" i="3"/>
  <c r="AY253" i="3"/>
  <c r="AY529" i="3"/>
  <c r="AY463" i="3"/>
  <c r="AY92" i="3"/>
  <c r="AY165" i="3"/>
  <c r="AY219" i="3"/>
  <c r="AY202" i="3"/>
  <c r="AY170" i="3"/>
  <c r="AY169" i="3"/>
  <c r="AY213" i="3"/>
  <c r="AY555" i="3"/>
  <c r="AY454" i="3"/>
  <c r="AY563" i="3"/>
  <c r="AY51" i="3"/>
  <c r="AY473" i="3"/>
  <c r="AY533" i="3"/>
  <c r="AY247" i="3"/>
  <c r="AY259" i="3"/>
  <c r="AY472" i="3"/>
  <c r="AY571" i="3"/>
  <c r="AY48" i="3"/>
  <c r="AY364" i="3"/>
  <c r="AY439" i="3"/>
  <c r="AY578" i="3"/>
  <c r="AY249" i="3"/>
  <c r="AY558" i="3"/>
  <c r="AY128" i="3"/>
  <c r="AY448" i="3"/>
  <c r="AY196" i="3"/>
  <c r="AY204" i="3"/>
  <c r="AY412" i="3"/>
  <c r="AY326" i="3"/>
  <c r="AY105" i="3"/>
  <c r="AY162" i="3"/>
  <c r="AY238" i="3"/>
  <c r="AY72" i="3"/>
  <c r="AY370" i="3"/>
  <c r="AY406" i="3"/>
  <c r="AY543" i="3"/>
  <c r="AY153" i="3"/>
  <c r="AY320" i="3"/>
  <c r="AY538" i="3"/>
  <c r="AY62" i="3"/>
  <c r="AY359" i="3"/>
  <c r="AY107" i="3"/>
  <c r="AY240" i="3"/>
  <c r="AY566" i="3"/>
  <c r="AY188" i="3"/>
  <c r="AY428" i="3"/>
  <c r="AY413" i="3"/>
  <c r="AY39" i="3"/>
  <c r="AY296" i="3"/>
  <c r="AY418" i="3"/>
  <c r="AY205" i="3"/>
  <c r="AY403" i="3"/>
  <c r="AY226" i="3"/>
  <c r="AY222" i="3"/>
  <c r="AY85" i="3"/>
  <c r="AY244" i="3"/>
  <c r="AY147" i="3"/>
  <c r="AY498" i="3"/>
  <c r="AY179" i="3"/>
  <c r="AY221" i="3"/>
  <c r="BR6" i="3"/>
  <c r="AY487" i="3"/>
  <c r="AY37" i="3"/>
  <c r="AY581" i="3"/>
  <c r="AY290" i="3"/>
  <c r="AY392" i="3"/>
  <c r="AY206" i="3"/>
  <c r="AY433" i="3"/>
  <c r="AY276" i="3"/>
  <c r="AY386" i="3"/>
  <c r="AY315" i="3"/>
  <c r="AY522" i="3"/>
  <c r="AY113" i="3"/>
  <c r="AY419" i="3"/>
  <c r="AY29" i="3"/>
  <c r="AY173" i="3"/>
  <c r="AY478" i="3"/>
  <c r="AY284" i="3"/>
  <c r="AY429" i="3"/>
  <c r="AY560" i="3"/>
  <c r="AY99" i="3"/>
  <c r="AY329" i="3"/>
  <c r="AY495" i="3"/>
  <c r="AY242" i="3"/>
  <c r="AY97" i="3"/>
  <c r="AY207" i="3"/>
  <c r="BN6" i="3"/>
  <c r="AY459" i="3"/>
  <c r="AY263" i="3"/>
  <c r="BK6" i="3"/>
  <c r="AY41" i="3"/>
  <c r="AY510" i="3"/>
  <c r="D3" i="6"/>
  <c r="AY27" i="3"/>
  <c r="AY171" i="3"/>
  <c r="AY311" i="3"/>
  <c r="AY126" i="3"/>
  <c r="AY243" i="3"/>
  <c r="AY49" i="3"/>
  <c r="AY17" i="3"/>
  <c r="AY347" i="3"/>
  <c r="AY432" i="3"/>
  <c r="AY95" i="3"/>
  <c r="AY382" i="3"/>
  <c r="AY300" i="3"/>
  <c r="AY401" i="3"/>
  <c r="AY76" i="3"/>
  <c r="AY125" i="3"/>
  <c r="AY374" i="3"/>
  <c r="AY145" i="3"/>
  <c r="AY357" i="3"/>
  <c r="AY423" i="3"/>
  <c r="AY98" i="3"/>
  <c r="AY146" i="3"/>
  <c r="AY556" i="3"/>
  <c r="AY233" i="3"/>
  <c r="AY124" i="3"/>
  <c r="AY26" i="3"/>
  <c r="AY61" i="3"/>
  <c r="AY397" i="3"/>
  <c r="AY388" i="3"/>
  <c r="AY430" i="3"/>
  <c r="BG6" i="3"/>
  <c r="AY158" i="3"/>
  <c r="AY344" i="3"/>
  <c r="AY506" i="3"/>
  <c r="AY63" i="3"/>
  <c r="AY378" i="3"/>
  <c r="BL6" i="3"/>
  <c r="AY241" i="3"/>
  <c r="BD6" i="3"/>
  <c r="AY139" i="3"/>
  <c r="AY252" i="3"/>
  <c r="AY43" i="3"/>
  <c r="AY436" i="3"/>
  <c r="AY69" i="3"/>
  <c r="AY141" i="3"/>
  <c r="AY384" i="3"/>
  <c r="AY181" i="3"/>
  <c r="AY309" i="3"/>
  <c r="AY503" i="3"/>
  <c r="AY496" i="3"/>
  <c r="AY267" i="3"/>
  <c r="AY476" i="3"/>
  <c r="AY515" i="3"/>
  <c r="AY172" i="3"/>
  <c r="AY485" i="3"/>
  <c r="AY54" i="3"/>
  <c r="AY351" i="3"/>
  <c r="AY83" i="3"/>
  <c r="AY58" i="3"/>
  <c r="AY106" i="3"/>
  <c r="H6" i="3"/>
  <c r="E6" i="3" s="1"/>
  <c r="H20" i="6" l="1"/>
  <c r="E61" i="40"/>
  <c r="F61" i="40" s="1"/>
  <c r="B2" i="40" s="1"/>
  <c r="B3" i="40" s="1"/>
  <c r="D23" i="6"/>
  <c r="M19" i="9"/>
  <c r="C118" i="9" s="1"/>
  <c r="C14" i="74" s="1"/>
  <c r="D25" i="6"/>
  <c r="C18" i="4"/>
  <c r="D15" i="6"/>
  <c r="D8" i="6"/>
  <c r="H19" i="6"/>
  <c r="H23" i="6"/>
  <c r="H24" i="6"/>
  <c r="H26" i="6"/>
  <c r="H21" i="6"/>
  <c r="H25" i="6"/>
  <c r="R25" i="6" s="1"/>
  <c r="H22" i="6"/>
  <c r="D29" i="6"/>
  <c r="D13" i="6"/>
  <c r="D9" i="6"/>
  <c r="D11" i="6"/>
  <c r="D6" i="6"/>
  <c r="D10" i="6"/>
  <c r="D28" i="6"/>
  <c r="D30" i="6" s="1"/>
  <c r="L19" i="9"/>
  <c r="C21" i="9" s="1"/>
  <c r="D24" i="6"/>
  <c r="R24" i="6" s="1"/>
  <c r="D5" i="6"/>
  <c r="D20" i="6"/>
  <c r="R20" i="6" s="1"/>
  <c r="R7" i="1" s="1"/>
  <c r="D12" i="6"/>
  <c r="D14" i="6"/>
  <c r="D16" i="6" s="1"/>
  <c r="D21" i="6"/>
  <c r="R21" i="6" s="1"/>
  <c r="R8" i="1" s="1"/>
  <c r="D22" i="6"/>
  <c r="R22" i="6" s="1"/>
  <c r="D26" i="6"/>
  <c r="D19" i="6"/>
  <c r="K106" i="43"/>
  <c r="K103" i="43"/>
  <c r="K104" i="43"/>
  <c r="K105" i="43"/>
  <c r="K102" i="43"/>
  <c r="K109" i="43"/>
  <c r="K107" i="43"/>
  <c r="M106" i="43"/>
  <c r="M105" i="43"/>
  <c r="M102" i="43"/>
  <c r="M103" i="43"/>
  <c r="M104" i="43"/>
  <c r="M109" i="43"/>
  <c r="M107" i="43"/>
  <c r="C107" i="43"/>
  <c r="C105" i="43"/>
  <c r="C103" i="43"/>
  <c r="C109" i="43"/>
  <c r="C106" i="43"/>
  <c r="C102" i="43"/>
  <c r="C104" i="43"/>
  <c r="J109" i="43"/>
  <c r="J106" i="43"/>
  <c r="J102" i="43"/>
  <c r="J104" i="43"/>
  <c r="J107" i="43"/>
  <c r="J105" i="43"/>
  <c r="J103" i="43"/>
  <c r="E102" i="43"/>
  <c r="E106" i="43"/>
  <c r="E104" i="43"/>
  <c r="E105" i="43"/>
  <c r="E103" i="43"/>
  <c r="E107" i="43"/>
  <c r="E109" i="43"/>
  <c r="D103" i="43"/>
  <c r="D102" i="43"/>
  <c r="D104" i="43"/>
  <c r="D107" i="43"/>
  <c r="D106" i="43"/>
  <c r="D105" i="43"/>
  <c r="D109" i="43"/>
  <c r="N102" i="43"/>
  <c r="N104" i="43"/>
  <c r="N106" i="43"/>
  <c r="N107" i="43"/>
  <c r="N105" i="43"/>
  <c r="N103" i="43"/>
  <c r="N109" i="43"/>
  <c r="L104" i="43"/>
  <c r="L105" i="43"/>
  <c r="L106" i="43"/>
  <c r="L103" i="43"/>
  <c r="L102" i="43"/>
  <c r="L107" i="43"/>
  <c r="L109" i="43"/>
  <c r="I116" i="43"/>
  <c r="J116" i="43" s="1"/>
  <c r="K116" i="43" s="1"/>
  <c r="L116" i="43" s="1"/>
  <c r="M116" i="43" s="1"/>
  <c r="I117" i="43"/>
  <c r="J117" i="43" s="1"/>
  <c r="K117" i="43" s="1"/>
  <c r="L117" i="43" s="1"/>
  <c r="M117" i="43" s="1"/>
  <c r="D118" i="43"/>
  <c r="E118" i="43" s="1"/>
  <c r="F118" i="43" s="1"/>
  <c r="B116" i="43"/>
  <c r="C116" i="43" s="1"/>
  <c r="D115" i="43"/>
  <c r="E115" i="43" s="1"/>
  <c r="F115" i="43" s="1"/>
  <c r="G115" i="43" s="1"/>
  <c r="H115" i="43" s="1"/>
  <c r="D116" i="43"/>
  <c r="E116" i="43" s="1"/>
  <c r="F116" i="43" s="1"/>
  <c r="G116" i="43" s="1"/>
  <c r="H116" i="43" s="1"/>
  <c r="B117" i="43"/>
  <c r="C117" i="43" s="1"/>
  <c r="B115" i="43"/>
  <c r="B118" i="43"/>
  <c r="C118" i="43" s="1"/>
  <c r="I118" i="43"/>
  <c r="J118" i="43" s="1"/>
  <c r="K118" i="43" s="1"/>
  <c r="L118" i="43" s="1"/>
  <c r="M118" i="43" s="1"/>
  <c r="D117" i="43"/>
  <c r="E117" i="43" s="1"/>
  <c r="F117" i="43" s="1"/>
  <c r="G117" i="43" s="1"/>
  <c r="H117" i="43" s="1"/>
  <c r="I115" i="43"/>
  <c r="J115" i="43" s="1"/>
  <c r="K115" i="43" s="1"/>
  <c r="L115" i="43" s="1"/>
  <c r="M115" i="43" s="1"/>
  <c r="G118" i="43"/>
  <c r="H118" i="43" s="1"/>
  <c r="F102" i="43"/>
  <c r="F109" i="43"/>
  <c r="F105" i="43"/>
  <c r="F103" i="43"/>
  <c r="F104" i="43"/>
  <c r="F107" i="43"/>
  <c r="F106" i="43"/>
  <c r="H109" i="43"/>
  <c r="H104" i="43"/>
  <c r="H106" i="43"/>
  <c r="H105" i="43"/>
  <c r="H103" i="43"/>
  <c r="H102" i="43"/>
  <c r="H107" i="43"/>
  <c r="I109" i="43"/>
  <c r="I104" i="43"/>
  <c r="I105" i="43"/>
  <c r="I106" i="43"/>
  <c r="I107" i="43"/>
  <c r="I103" i="43"/>
  <c r="I102" i="43"/>
  <c r="G107" i="43"/>
  <c r="G105" i="43"/>
  <c r="G106" i="43"/>
  <c r="G104" i="43"/>
  <c r="G103" i="43"/>
  <c r="G102" i="43"/>
  <c r="G109" i="43"/>
  <c r="M21" i="67"/>
  <c r="F35" i="67"/>
  <c r="M21" i="77"/>
  <c r="F35" i="77"/>
  <c r="R26" i="6" l="1"/>
  <c r="F63" i="77"/>
  <c r="C62" i="77" s="1"/>
  <c r="C59" i="77" s="1"/>
  <c r="C58" i="77" s="1"/>
  <c r="C67" i="77" s="1"/>
  <c r="C68" i="77" s="1"/>
  <c r="C71" i="77" s="1"/>
  <c r="C34" i="77"/>
  <c r="C31" i="77" s="1"/>
  <c r="C30" i="77" s="1"/>
  <c r="C39" i="77" s="1"/>
  <c r="J20" i="77"/>
  <c r="J17" i="77" s="1"/>
  <c r="J16" i="77" s="1"/>
  <c r="J25" i="77" s="1"/>
  <c r="F63" i="67"/>
  <c r="C62" i="67" s="1"/>
  <c r="C59" i="67" s="1"/>
  <c r="C58" i="67" s="1"/>
  <c r="C67" i="67" s="1"/>
  <c r="C68" i="67" s="1"/>
  <c r="C34" i="67"/>
  <c r="C31" i="67" s="1"/>
  <c r="C30" i="67" s="1"/>
  <c r="C39" i="67" s="1"/>
  <c r="J20" i="67"/>
  <c r="J17" i="67" s="1"/>
  <c r="J16" i="67" s="1"/>
  <c r="J25" i="67" s="1"/>
  <c r="R19" i="6"/>
  <c r="D27" i="6"/>
  <c r="D31" i="6" s="1"/>
  <c r="C4" i="52"/>
  <c r="B45" i="72" s="1"/>
  <c r="A7" i="51"/>
  <c r="B7" i="72" s="1"/>
  <c r="A10" i="51"/>
  <c r="B9" i="72" s="1"/>
  <c r="C115" i="43"/>
  <c r="D113" i="43" s="1"/>
  <c r="J22" i="43" s="1"/>
  <c r="S6" i="43"/>
  <c r="T6" i="43" s="1"/>
  <c r="V6" i="43" s="1"/>
  <c r="C23" i="43"/>
  <c r="C21" i="43" s="1"/>
  <c r="S3" i="43"/>
  <c r="T3" i="43" s="1"/>
  <c r="V3" i="43" s="1"/>
  <c r="S5" i="43"/>
  <c r="T5" i="43" s="1"/>
  <c r="V5" i="43" s="1"/>
  <c r="S4" i="43"/>
  <c r="T4" i="43" s="1"/>
  <c r="V4" i="43" s="1"/>
  <c r="S2" i="43"/>
  <c r="T2" i="43" s="1"/>
  <c r="V2" i="43" s="1"/>
  <c r="S7" i="43"/>
  <c r="T7" i="43" s="1"/>
  <c r="V7" i="43" s="1"/>
  <c r="H27" i="6"/>
  <c r="R23" i="6"/>
  <c r="L51" i="77"/>
  <c r="L51" i="67"/>
  <c r="Q67" i="77" l="1"/>
  <c r="L57" i="67"/>
  <c r="L60" i="67" s="1"/>
  <c r="Q67" i="67"/>
  <c r="C29" i="43"/>
  <c r="R6" i="1"/>
  <c r="R27" i="6"/>
  <c r="C71" i="67"/>
  <c r="Q69" i="77"/>
  <c r="Q68" i="77" s="1"/>
  <c r="C80" i="77"/>
  <c r="C79" i="77" s="1"/>
  <c r="C40" i="77"/>
  <c r="I5" i="6"/>
  <c r="I6" i="6"/>
  <c r="Q69" i="67"/>
  <c r="Q68" i="67" s="1"/>
  <c r="C80" i="67"/>
  <c r="C79" i="67" s="1"/>
  <c r="C40" i="67"/>
  <c r="C45" i="67" s="1"/>
  <c r="C46" i="67" s="1"/>
  <c r="M21" i="15"/>
  <c r="F35" i="15"/>
  <c r="F63" i="15" l="1"/>
  <c r="C62" i="15" s="1"/>
  <c r="C59" i="15" s="1"/>
  <c r="C58" i="15" s="1"/>
  <c r="C67" i="15" s="1"/>
  <c r="C68" i="15" s="1"/>
  <c r="C71" i="15" s="1"/>
  <c r="C34" i="15"/>
  <c r="C31" i="15" s="1"/>
  <c r="C30" i="15" s="1"/>
  <c r="C39" i="15" s="1"/>
  <c r="J20" i="15"/>
  <c r="J17" i="15" s="1"/>
  <c r="J16" i="15" s="1"/>
  <c r="J25" i="15" s="1"/>
  <c r="R16" i="1"/>
  <c r="Q56" i="67"/>
  <c r="Q65" i="67"/>
  <c r="D2" i="67"/>
  <c r="C83" i="67"/>
  <c r="C82" i="67" s="1"/>
  <c r="Q47" i="67"/>
  <c r="Q53" i="67" s="1"/>
  <c r="C43" i="67"/>
  <c r="C46" i="77"/>
  <c r="Q56" i="77"/>
  <c r="Q62" i="77" s="1"/>
  <c r="Q47" i="77"/>
  <c r="Q53" i="77" s="1"/>
  <c r="B2" i="77"/>
  <c r="C43" i="77"/>
  <c r="Q65" i="77"/>
  <c r="Q75" i="77" s="1"/>
  <c r="C83" i="77"/>
  <c r="C82" i="77" s="1"/>
  <c r="C30" i="43"/>
  <c r="E30" i="43" s="1"/>
  <c r="C27" i="43" s="1"/>
  <c r="E29" i="43"/>
  <c r="C26" i="43" s="1"/>
  <c r="Q66" i="67"/>
  <c r="Q57" i="67"/>
  <c r="E6" i="76"/>
  <c r="AO7" i="1"/>
  <c r="L51" i="15"/>
  <c r="B7" i="70" l="1"/>
  <c r="E2" i="76"/>
  <c r="Q67" i="15"/>
  <c r="B3" i="77"/>
  <c r="Q75" i="67"/>
  <c r="B2" i="43"/>
  <c r="B3" i="67"/>
  <c r="B2" i="67"/>
  <c r="Q62" i="67"/>
  <c r="Q69" i="15"/>
  <c r="Q68" i="15" s="1"/>
  <c r="C80" i="15"/>
  <c r="C79" i="15" s="1"/>
  <c r="C40" i="15"/>
  <c r="B6" i="76"/>
  <c r="B2" i="76" l="1"/>
  <c r="B3" i="76" s="1"/>
  <c r="C46" i="15"/>
  <c r="Q65" i="15"/>
  <c r="Q75" i="15" s="1"/>
  <c r="C83" i="15"/>
  <c r="C82" i="15" s="1"/>
  <c r="Q56" i="15"/>
  <c r="Q62" i="15" s="1"/>
  <c r="B2" i="15"/>
  <c r="C43" i="15"/>
  <c r="Q47" i="15"/>
  <c r="Q53" i="15" s="1"/>
  <c r="B3" i="43"/>
  <c r="AO6" i="1"/>
  <c r="B6" i="70" l="1"/>
  <c r="B2" i="70" s="1"/>
  <c r="B3" i="15"/>
  <c r="D19" i="9"/>
  <c r="D102" i="9" l="1"/>
  <c r="G19" i="9"/>
  <c r="D21" i="9"/>
  <c r="D22" i="9"/>
  <c r="B3" i="70"/>
  <c r="D20" i="9"/>
  <c r="G20" i="9" l="1"/>
  <c r="D103" i="9"/>
  <c r="G21" i="9"/>
  <c r="C32" i="9"/>
  <c r="H118" i="9" l="1"/>
  <c r="C35" i="9"/>
  <c r="F118" i="9" s="1"/>
  <c r="C34" i="9" l="1"/>
  <c r="D118" i="9" s="1"/>
  <c r="D4" i="52" s="1"/>
  <c r="B47" i="72" s="1"/>
  <c r="F4" i="52"/>
  <c r="B51" i="72" s="1"/>
  <c r="G118" i="9"/>
  <c r="G4" i="52" s="1"/>
  <c r="B52" i="72" s="1"/>
  <c r="F119" i="9"/>
  <c r="F5" i="52" s="1"/>
  <c r="B53" i="72" s="1"/>
  <c r="D119" i="9"/>
  <c r="D5" i="52" s="1"/>
  <c r="B49" i="72" s="1"/>
  <c r="H119" i="9"/>
  <c r="H5" i="52" s="1"/>
  <c r="C104" i="9"/>
  <c r="H101" i="9"/>
  <c r="I118" i="9"/>
  <c r="D14" i="74"/>
  <c r="H4" i="52"/>
  <c r="E14" i="74" l="1"/>
  <c r="F14" i="74"/>
  <c r="D5" i="53"/>
  <c r="H109" i="9"/>
  <c r="C105" i="9"/>
  <c r="H102" i="9"/>
  <c r="D7" i="53" s="1"/>
  <c r="B21" i="72" s="1"/>
  <c r="I4" i="52"/>
  <c r="E118" i="9"/>
  <c r="E4" i="52" s="1"/>
  <c r="B48" i="72" s="1"/>
  <c r="B20" i="72" l="1"/>
  <c r="D6" i="53"/>
  <c r="B22" i="72" s="1"/>
  <c r="H110" i="9"/>
  <c r="D18" i="53" s="1"/>
  <c r="B35" i="72" s="1"/>
  <c r="D124" i="9"/>
  <c r="D16" i="53"/>
  <c r="D17" i="53" l="1"/>
  <c r="B36" i="72" s="1"/>
  <c r="B34" i="72"/>
  <c r="D125" i="9"/>
  <c r="D11" i="52" s="1"/>
  <c r="H14" i="74"/>
  <c r="D10" i="52"/>
  <c r="B16" i="74" l="1"/>
  <c r="C16" i="74" l="1"/>
  <c r="H16" i="74" l="1"/>
  <c r="D16" i="74" l="1"/>
  <c r="E16" i="74" l="1"/>
  <c r="F16" i="74"/>
  <c r="B20" i="74" l="1"/>
  <c r="C20" i="74" l="1"/>
  <c r="D20" i="74" l="1"/>
  <c r="H20" i="74"/>
  <c r="F20" i="74" l="1"/>
  <c r="E20" i="74"/>
  <c r="B19" i="74" l="1"/>
  <c r="C19" i="74" l="1"/>
  <c r="H19" i="74" l="1"/>
  <c r="D19" i="74"/>
  <c r="F19" i="74" l="1"/>
  <c r="E19" i="74"/>
  <c r="B18" i="74" l="1"/>
  <c r="C18" i="74" l="1"/>
  <c r="H18" i="74" l="1"/>
  <c r="D18" i="74" l="1"/>
  <c r="F18" i="74" l="1"/>
  <c r="E18" i="74"/>
  <c r="B17" i="74" l="1"/>
  <c r="C17" i="74" l="1"/>
  <c r="H17" i="74" l="1"/>
  <c r="D17" i="74" l="1"/>
  <c r="F17" i="74" l="1"/>
  <c r="E17" i="74"/>
  <c r="B15" i="74" l="1"/>
  <c r="B1" i="74" s="1"/>
  <c r="C8" i="74" l="1"/>
  <c r="C6" i="74"/>
  <c r="C15" i="74" l="1"/>
  <c r="B2" i="74" s="1"/>
  <c r="D6" i="74" l="1"/>
  <c r="D8" i="74"/>
  <c r="D15" i="74" l="1"/>
  <c r="H15" i="74"/>
  <c r="B7" i="74" s="1"/>
  <c r="D7" i="74" l="1"/>
  <c r="M49" i="9"/>
  <c r="C7" i="74"/>
  <c r="E15" i="74"/>
  <c r="B5" i="74"/>
  <c r="F15" i="74"/>
  <c r="L65" i="9" l="1"/>
  <c r="M65" i="9" s="1"/>
  <c r="L66" i="9"/>
  <c r="M66" i="9" s="1"/>
  <c r="L67" i="9"/>
  <c r="M67" i="9" s="1"/>
  <c r="L64" i="9"/>
  <c r="M64" i="9" s="1"/>
  <c r="L68" i="9"/>
  <c r="M68" i="9" s="1"/>
  <c r="L63" i="9"/>
  <c r="M63" i="9" s="1"/>
  <c r="C5" i="74"/>
  <c r="D5" i="74"/>
  <c r="M48" i="9"/>
  <c r="D45" i="9"/>
  <c r="M69" i="9" l="1"/>
  <c r="N69" i="9" s="1"/>
  <c r="C72" i="9"/>
  <c r="C64" i="9"/>
  <c r="C63" i="9" s="1"/>
  <c r="C67" i="9" s="1"/>
  <c r="C68" i="9" s="1"/>
  <c r="D54" i="9" s="1"/>
  <c r="D48" i="9" s="1"/>
  <c r="M52" i="9" s="1"/>
  <c r="C93" i="9"/>
  <c r="C86" i="9" s="1"/>
  <c r="C78" i="9"/>
  <c r="C73" i="9" s="1"/>
  <c r="D53" i="9"/>
  <c r="C85" i="9"/>
  <c r="D52" i="9"/>
  <c r="D55" i="9"/>
  <c r="M53" i="9" s="1"/>
  <c r="C95" i="9" l="1"/>
  <c r="C79" i="9"/>
  <c r="C97" i="9" l="1"/>
  <c r="D58" i="9" s="1"/>
  <c r="D56" i="9" s="1"/>
  <c r="M54" i="9" s="1"/>
  <c r="N57" i="9" s="1"/>
  <c r="N58" i="9" s="1"/>
  <c r="C96" i="9"/>
  <c r="E96" i="9" s="1"/>
  <c r="E97"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<sst xmlns="http://schemas.openxmlformats.org/spreadsheetml/2006/main" count="7806" uniqueCount="3156">
  <si>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</si>
  <si>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</si>
  <si>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</si>
  <si>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</si>
  <si>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</si>
  <si>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</si>
  <si>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</si>
  <si>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</si>
  <si>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</si>
  <si>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</si>
  <si>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</si>
  <si>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</si>
  <si>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</si>
  <si>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</si>
  <si>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</si>
  <si>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</si>
  <si>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</si>
  <si>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</si>
  <si>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</si>
  <si>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</si>
  <si>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</si>
  <si>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</si>
  <si>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</si>
  <si>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</si>
  <si>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</si>
  <si>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</si>
  <si>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</si>
  <si>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</si>
  <si>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</si>
  <si>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</si>
  <si>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</si>
  <si>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</si>
  <si>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</si>
  <si>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</si>
  <si>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</si>
  <si>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</si>
  <si>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</si>
  <si>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</si>
  <si>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</si>
  <si>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</si>
  <si>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</si>
  <si>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</si>
  <si>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</si>
  <si>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</si>
  <si>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</si>
  <si>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</si>
  <si>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</si>
  <si>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</si>
  <si>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</si>
  <si>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</si>
  <si>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</si>
  <si>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</si>
  <si>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</si>
  <si>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</si>
  <si>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</si>
  <si>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</si>
  <si>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</si>
  <si>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</si>
  <si>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</si>
  <si>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</si>
  <si>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</si>
  <si>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</si>
  <si>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</si>
  <si>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</si>
  <si>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</si>
  <si>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</si>
  <si>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</si>
  <si>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</si>
  <si>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</si>
  <si>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</si>
  <si>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</si>
  <si>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</si>
  <si>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</si>
  <si>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</si>
  <si>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</si>
  <si>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</si>
  <si>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</si>
  <si>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</si>
  <si>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</si>
  <si>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</si>
  <si>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</si>
  <si>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</si>
  <si>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</si>
  <si>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</si>
  <si>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</si>
  <si>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</si>
  <si>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</si>
  <si>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</si>
  <si>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</si>
  <si>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</si>
  <si>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</si>
  <si>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</si>
  <si>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</si>
  <si>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</si>
  <si>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</si>
  <si>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</si>
  <si>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</si>
  <si>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</si>
  <si>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</si>
  <si>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</si>
  <si>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</si>
  <si>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</si>
  <si>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</si>
  <si>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</si>
  <si>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</si>
  <si>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</si>
  <si>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</si>
  <si>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</si>
  <si>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</si>
  <si>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</si>
  <si>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</si>
  <si>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</si>
  <si>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</si>
  <si>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</si>
  <si>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</si>
  <si>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</si>
  <si>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</si>
  <si>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</si>
  <si>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</si>
  <si>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</si>
  <si>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</si>
  <si>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</si>
  <si>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</si>
  <si>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</si>
  <si>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</si>
  <si>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</si>
  <si>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</si>
  <si>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</si>
  <si>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</si>
  <si>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</si>
  <si>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</si>
  <si>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</si>
  <si>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</si>
  <si>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</si>
  <si>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</si>
  <si>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</si>
  <si>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</si>
  <si>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</si>
  <si>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</si>
  <si>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</si>
  <si>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</si>
  <si>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</si>
  <si>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</si>
  <si>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</si>
  <si>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</si>
  <si>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</si>
  <si>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</si>
  <si>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</si>
  <si>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</si>
  <si>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</si>
  <si>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</si>
  <si>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</si>
  <si>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</si>
  <si>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</si>
  <si>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</si>
  <si>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</si>
  <si>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</si>
  <si>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</si>
  <si>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</si>
  <si>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</si>
  <si>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</si>
  <si>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</si>
  <si>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</si>
  <si>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</si>
  <si>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</si>
  <si>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</si>
  <si>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</si>
  <si>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</si>
  <si>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</si>
  <si>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</si>
  <si>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</si>
  <si>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</si>
  <si>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</si>
  <si>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</si>
  <si>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</si>
  <si>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</si>
  <si>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</si>
  <si>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</si>
  <si>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</si>
  <si>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</si>
  <si>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</si>
  <si>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</si>
  <si>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</si>
  <si>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</si>
  <si>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</si>
  <si>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</si>
  <si>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</si>
  <si>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</si>
  <si>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</si>
  <si>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</si>
  <si>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</si>
  <si>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</si>
  <si>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</si>
  <si>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</si>
  <si>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</si>
  <si>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</si>
  <si>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</si>
  <si>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</si>
  <si>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</si>
  <si>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</si>
  <si>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</si>
  <si>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</si>
  <si>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</si>
  <si>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</si>
  <si>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</si>
  <si>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</si>
  <si>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</si>
  <si>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</si>
  <si>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</si>
  <si>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</si>
  <si>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</si>
  <si>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</si>
  <si>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</si>
  <si>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</si>
  <si>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</si>
  <si>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</si>
  <si>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</si>
  <si>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</si>
  <si>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</si>
  <si>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</si>
  <si>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</si>
  <si>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</si>
  <si>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</si>
  <si>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</si>
  <si>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</si>
  <si>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</si>
  <si>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</si>
  <si>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</si>
  <si>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</si>
  <si>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</si>
  <si>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</si>
  <si>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</si>
  <si>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</si>
  <si>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</si>
  <si>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</si>
  <si>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</si>
  <si>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</si>
  <si>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</si>
  <si>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</si>
  <si>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</si>
  <si>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</si>
  <si>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</si>
  <si>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</si>
  <si>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</si>
  <si>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</si>
  <si>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</si>
  <si>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</si>
  <si>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</si>
  <si>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</si>
  <si>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</si>
  <si>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</si>
  <si>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</si>
  <si>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</si>
  <si>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</si>
  <si>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</si>
  <si>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</si>
  <si>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</si>
  <si>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</si>
  <si>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</si>
  <si>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</si>
  <si>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</si>
  <si>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</si>
  <si>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</si>
  <si>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</si>
  <si>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</si>
  <si>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</si>
  <si>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</si>
  <si>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</si>
  <si>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</si>
  <si>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</si>
  <si>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</si>
  <si>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</si>
  <si>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</si>
  <si>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</si>
  <si>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</si>
  <si>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</si>
  <si>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</si>
  <si>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</si>
  <si>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</si>
  <si>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</si>
  <si>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</si>
  <si>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</si>
  <si>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</si>
  <si>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</si>
  <si>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</si>
  <si>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</si>
  <si>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</si>
  <si>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</si>
  <si>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</si>
  <si>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</si>
  <si>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</si>
  <si>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</si>
  <si>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</si>
  <si>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</si>
  <si>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</si>
  <si>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</si>
  <si>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</si>
  <si>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</si>
  <si>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</si>
  <si>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</si>
  <si>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</si>
  <si>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</si>
  <si>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</si>
  <si>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</si>
  <si>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</si>
  <si>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</si>
  <si>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</si>
  <si>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</si>
  <si>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</si>
  <si>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</si>
  <si>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</si>
  <si>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</si>
  <si>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</si>
  <si>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</si>
  <si>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</si>
  <si>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</si>
  <si>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</si>
  <si>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</si>
  <si>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</si>
  <si>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</si>
  <si>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</si>
  <si>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</si>
  <si>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</si>
  <si>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</si>
  <si>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</si>
  <si>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</si>
  <si>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</si>
  <si>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</si>
  <si>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</si>
  <si>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</si>
  <si>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</si>
  <si>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</si>
  <si>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</si>
  <si>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</si>
  <si>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</si>
  <si>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</si>
  <si>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</si>
  <si>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</si>
  <si>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</si>
  <si>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</si>
  <si>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</si>
  <si>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</si>
  <si>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</si>
  <si>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</si>
  <si>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</si>
  <si>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</si>
  <si>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</si>
  <si>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</si>
  <si>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</si>
  <si>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</si>
  <si>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</si>
  <si>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</si>
  <si>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</si>
  <si>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</si>
  <si>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</si>
  <si>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</si>
  <si>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</si>
  <si>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</si>
  <si>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</si>
  <si>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</si>
  <si>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</si>
  <si>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</si>
  <si>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</si>
  <si>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</si>
  <si>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</si>
  <si>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</si>
  <si>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</si>
  <si>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</si>
  <si>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</si>
  <si>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</si>
  <si>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</si>
  <si>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</si>
  <si>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</si>
  <si>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</si>
  <si>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</si>
  <si>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</si>
  <si>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</si>
  <si>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</si>
  <si>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</si>
  <si>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</si>
  <si>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</si>
  <si>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</si>
  <si>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</si>
  <si>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</si>
  <si>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</si>
  <si>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</si>
  <si>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</si>
  <si>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</si>
  <si>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</si>
  <si>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</si>
  <si>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</si>
  <si>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</si>
  <si>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</si>
  <si>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</si>
  <si>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</si>
  <si>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</si>
  <si>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</si>
  <si>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</si>
  <si>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</si>
  <si>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</si>
  <si>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</si>
  <si>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</si>
  <si>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</si>
  <si>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</si>
  <si>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</si>
  <si>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</si>
  <si>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</si>
  <si>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</si>
  <si>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</si>
  <si>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</si>
  <si>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</si>
  <si>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</si>
  <si>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</si>
  <si>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</si>
  <si>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</si>
  <si>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</si>
  <si>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</si>
  <si>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</si>
  <si>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</si>
  <si>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</si>
  <si>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</si>
  <si>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</si>
  <si>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</si>
  <si>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</si>
  <si>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</si>
  <si>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</si>
  <si>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</si>
  <si>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</si>
  <si>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</si>
  <si>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</si>
  <si>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</si>
  <si>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</si>
  <si>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</si>
  <si>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</si>
  <si>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</si>
  <si>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</si>
  <si>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</si>
  <si>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</si>
  <si>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</si>
  <si>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</si>
  <si>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</si>
  <si>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</si>
  <si>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</si>
  <si>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</si>
  <si>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</si>
  <si>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</si>
  <si>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</si>
  <si>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</si>
  <si>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</si>
  <si>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</si>
  <si>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</si>
  <si>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</si>
  <si>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</si>
  <si>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</si>
  <si>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</si>
  <si>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</si>
  <si>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</si>
  <si>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</si>
  <si>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</si>
  <si>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</si>
  <si>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</si>
  <si>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</si>
  <si>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</si>
  <si>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</si>
  <si>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</si>
  <si>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</si>
  <si>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</si>
  <si>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</si>
  <si>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</si>
  <si>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</si>
  <si>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</si>
  <si>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</si>
  <si>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</si>
  <si>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</si>
  <si>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</si>
  <si>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</si>
  <si>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</si>
  <si>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</si>
  <si>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</si>
  <si>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</si>
  <si>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</si>
  <si>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</si>
  <si>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</si>
  <si>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</si>
  <si>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</si>
  <si>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</si>
  <si>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</si>
  <si>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</si>
  <si>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</si>
  <si>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</si>
  <si>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</si>
  <si>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</si>
  <si>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</si>
  <si>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</si>
  <si>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</si>
  <si>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</si>
  <si>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</si>
  <si>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</si>
  <si>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</si>
  <si>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</si>
  <si>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</si>
  <si>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</si>
  <si>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</si>
  <si>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</si>
  <si>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</si>
  <si>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</si>
  <si>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</si>
  <si>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</si>
  <si>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</si>
  <si>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</si>
  <si>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</si>
  <si>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</si>
  <si>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</si>
  <si>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</si>
  <si>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</si>
  <si>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</si>
  <si>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</si>
  <si>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</si>
  <si>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</si>
  <si>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</si>
  <si>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</si>
  <si>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</si>
  <si>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</si>
  <si>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</si>
  <si>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</si>
  <si>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</si>
  <si>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</si>
  <si>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</si>
  <si>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</si>
  <si>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</si>
  <si>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</si>
  <si>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</si>
  <si>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</si>
  <si>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</si>
  <si>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</si>
  <si>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</si>
  <si>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</si>
  <si>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</si>
  <si>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</si>
  <si>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</si>
  <si>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</si>
  <si>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</si>
  <si>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</si>
  <si>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</si>
  <si>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</si>
  <si>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</si>
  <si>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</si>
  <si>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</si>
  <si>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</si>
  <si>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</si>
  <si>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</si>
  <si>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</si>
  <si>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</si>
  <si>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</si>
  <si>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</si>
  <si>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</si>
  <si>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</si>
  <si>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</si>
  <si>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</si>
  <si>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</si>
  <si>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</si>
  <si>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</si>
  <si>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</si>
  <si>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</si>
  <si>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</si>
  <si>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</si>
  <si>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</si>
  <si>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</si>
  <si>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</si>
  <si>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</si>
  <si>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</si>
  <si>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</si>
  <si>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</si>
  <si>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</si>
  <si>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</si>
  <si>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</si>
  <si>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</si>
  <si>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</si>
  <si>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</si>
  <si>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</si>
  <si>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</si>
  <si>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</si>
  <si>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</si>
  <si>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</si>
  <si>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</si>
  <si>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</si>
  <si>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</si>
  <si>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</si>
  <si>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</si>
  <si>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</si>
  <si>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</si>
  <si>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</si>
  <si>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</si>
  <si>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</si>
  <si>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</si>
  <si>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</si>
  <si>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</si>
  <si>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</si>
  <si>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</si>
  <si>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</si>
  <si>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</si>
  <si>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</si>
  <si>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</si>
  <si>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</si>
  <si>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</si>
  <si>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</si>
  <si>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</si>
  <si>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</si>
  <si>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</si>
  <si>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</si>
  <si>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</si>
  <si>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</si>
  <si>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</si>
  <si>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</si>
  <si>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</si>
  <si>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</si>
  <si>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</si>
  <si>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</si>
  <si>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</si>
  <si>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</si>
  <si>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</si>
  <si>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</si>
  <si>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</si>
  <si>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</si>
  <si>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</si>
  <si>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</si>
  <si>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</si>
  <si>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</si>
  <si>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</si>
  <si>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</si>
  <si>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</si>
  <si>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</si>
  <si>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</si>
  <si>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</si>
  <si>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</si>
  <si>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</si>
  <si>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</si>
  <si>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</si>
  <si>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</si>
  <si>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</si>
  <si>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</si>
  <si>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</si>
  <si>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</si>
  <si>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</si>
  <si>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</si>
  <si>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</si>
  <si>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</si>
  <si>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</si>
  <si>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</si>
  <si>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</si>
  <si>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</si>
  <si>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</si>
  <si>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</si>
  <si>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</si>
  <si>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</si>
  <si>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</si>
  <si>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</si>
  <si>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</si>
  <si>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</si>
  <si>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</si>
  <si>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</si>
  <si>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</si>
  <si>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</si>
  <si>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</si>
  <si>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</si>
  <si>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</si>
  <si>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</si>
  <si>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</si>
  <si>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</si>
  <si>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</si>
  <si>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</si>
  <si>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</si>
  <si>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</si>
  <si>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</si>
  <si>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</si>
  <si>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</si>
  <si>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</si>
  <si>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</si>
  <si>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</si>
  <si>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</si>
  <si>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</si>
  <si>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</si>
  <si>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</si>
  <si>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</si>
  <si>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</si>
  <si>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</si>
  <si>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</si>
  <si>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</si>
  <si>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</si>
  <si>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</si>
  <si>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</si>
  <si>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</si>
  <si>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</si>
  <si>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</si>
  <si>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</si>
  <si>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</si>
  <si>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</si>
  <si>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</si>
  <si>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</si>
  <si>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</si>
  <si>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</si>
  <si>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</si>
  <si>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</si>
  <si>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</si>
  <si>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</si>
  <si>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</si>
  <si>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</si>
  <si>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</si>
  <si>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</si>
  <si>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</si>
  <si>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</si>
  <si>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</si>
  <si>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</si>
  <si>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</si>
  <si>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</si>
  <si>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</si>
  <si>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</si>
  <si>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</si>
  <si>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</si>
  <si>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</si>
  <si>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</si>
  <si>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</si>
  <si>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</si>
  <si>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</si>
  <si>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</si>
  <si>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</si>
  <si>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</si>
  <si>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</si>
  <si>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</si>
  <si>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</si>
  <si>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</si>
  <si>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</si>
  <si>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</si>
  <si>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</si>
  <si>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</si>
  <si>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</si>
  <si>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</si>
  <si>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</si>
  <si>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</si>
  <si>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</si>
  <si>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</si>
  <si>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</si>
  <si>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</si>
  <si>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</si>
  <si>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</si>
  <si>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</si>
  <si>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</si>
  <si>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</si>
  <si>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</si>
  <si>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</si>
  <si>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</si>
  <si>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</si>
  <si>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</si>
  <si>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</si>
  <si>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</si>
  <si>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</si>
  <si>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</si>
  <si>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</si>
  <si>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</si>
  <si>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</si>
  <si>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</si>
  <si>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</si>
  <si>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</si>
  <si>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</si>
  <si>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</si>
  <si>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</si>
  <si>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</si>
  <si>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</si>
  <si>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</si>
  <si>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</si>
  <si>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</si>
  <si>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</si>
  <si>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</si>
  <si>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</si>
  <si>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</si>
  <si>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</si>
  <si>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</si>
  <si>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</si>
  <si>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</si>
  <si>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</si>
  <si>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</si>
  <si>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</si>
  <si>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</si>
  <si>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</si>
  <si>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</si>
  <si>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</si>
  <si>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</si>
  <si>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</si>
  <si>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</si>
  <si>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</si>
  <si>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</si>
  <si>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</si>
  <si>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</si>
  <si>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</si>
  <si>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</si>
  <si>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</si>
  <si>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</si>
  <si>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</si>
  <si>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</si>
  <si>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</si>
  <si>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</si>
  <si>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</si>
  <si>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</si>
  <si>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</si>
  <si>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</si>
  <si>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</si>
  <si>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</si>
  <si>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</si>
  <si>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</si>
  <si>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</si>
  <si>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</si>
  <si>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</si>
  <si>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</si>
  <si>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</si>
  <si>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</si>
  <si>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</si>
  <si>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</si>
  <si>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</si>
  <si>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</si>
  <si>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</si>
  <si>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</si>
  <si>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</si>
  <si>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</si>
  <si>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</si>
  <si>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</si>
  <si>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</si>
  <si>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</si>
  <si>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</si>
  <si>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</si>
  <si>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</si>
  <si>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</si>
  <si>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</si>
  <si>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</si>
  <si>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</si>
  <si>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</si>
  <si>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</si>
  <si>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</si>
  <si>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</si>
  <si>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</si>
  <si>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</si>
  <si>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</si>
  <si>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</si>
  <si>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</si>
  <si>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</si>
  <si>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</si>
  <si>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</si>
  <si>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</si>
  <si>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</si>
  <si>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</si>
  <si>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</si>
  <si>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</si>
  <si>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</si>
  <si>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</si>
  <si>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</si>
  <si>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</si>
  <si>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</si>
  <si>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</si>
  <si>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</si>
  <si>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</si>
  <si>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</si>
  <si>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</si>
  <si>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</si>
  <si>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</si>
  <si>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</si>
  <si>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</si>
  <si>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</si>
  <si>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</si>
  <si>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</si>
  <si>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</si>
  <si>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</si>
  <si>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</si>
  <si>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</si>
  <si>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</si>
  <si>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</si>
  <si>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</si>
  <si>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</si>
  <si>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</si>
  <si>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</si>
  <si>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</si>
  <si>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</si>
  <si>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</si>
  <si>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</si>
  <si>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</si>
  <si>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</si>
  <si>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</si>
  <si>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</si>
  <si>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</si>
  <si>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</si>
  <si>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</si>
  <si>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</si>
  <si>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</si>
  <si>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</si>
  <si>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</si>
  <si>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</si>
  <si>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</si>
  <si>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</si>
  <si>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</si>
  <si>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</si>
  <si>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</si>
  <si>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</si>
  <si>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</si>
  <si>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</si>
  <si>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</si>
  <si>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</si>
  <si>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</si>
  <si>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</si>
  <si>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</si>
  <si>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</si>
  <si>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</si>
  <si>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</si>
  <si>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</si>
  <si>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</si>
  <si>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</si>
  <si>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</si>
  <si>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</si>
  <si>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</si>
  <si>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</si>
  <si>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</si>
  <si>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</si>
  <si>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</si>
  <si>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</si>
  <si>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</si>
  <si>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</si>
  <si>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</si>
  <si>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</si>
  <si>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</si>
  <si>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</si>
  <si>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</si>
  <si>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</si>
  <si>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</si>
  <si>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</si>
  <si>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</si>
  <si>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</si>
  <si>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</si>
  <si>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</si>
  <si>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</si>
  <si>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</si>
  <si>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</si>
  <si>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</si>
  <si>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</si>
  <si>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</si>
  <si>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</si>
  <si>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</si>
  <si>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</si>
  <si>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</si>
  <si>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</si>
  <si>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</si>
  <si>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</si>
  <si>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</si>
  <si>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</si>
  <si>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</si>
  <si>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</si>
  <si>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</si>
  <si>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</si>
  <si>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</si>
  <si>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</si>
  <si>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</si>
  <si>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</si>
  <si>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</si>
  <si>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</si>
  <si>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</si>
  <si>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</si>
  <si>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</si>
  <si>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</si>
  <si>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</si>
  <si>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</si>
  <si>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</si>
  <si>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</si>
  <si>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</si>
  <si>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</si>
  <si>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</si>
  <si>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</si>
  <si>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</si>
  <si>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</si>
  <si>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</si>
  <si>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</si>
  <si>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</si>
  <si>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</si>
  <si>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</si>
  <si>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</si>
  <si>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</si>
  <si>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</si>
  <si>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</si>
  <si>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</si>
  <si>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</si>
  <si>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</si>
  <si>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</si>
  <si>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</si>
  <si>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</si>
  <si>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</si>
  <si>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</si>
  <si>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</si>
  <si>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</si>
  <si>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</si>
  <si>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</si>
  <si>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</si>
  <si>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</si>
  <si>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</si>
  <si>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</si>
  <si>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</si>
  <si>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</si>
  <si>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</si>
  <si>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</si>
  <si>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</si>
  <si>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</si>
  <si>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</si>
  <si>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</si>
  <si>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</si>
  <si>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</si>
  <si>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</si>
  <si>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</si>
  <si>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</si>
  <si>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</si>
  <si>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</si>
  <si>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</si>
  <si>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</si>
  <si>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</si>
  <si>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</si>
  <si>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</si>
  <si>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</si>
  <si>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</si>
  <si>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</si>
  <si>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</si>
  <si>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</si>
  <si>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</si>
  <si>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</si>
  <si>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</si>
  <si>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</si>
  <si>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</si>
  <si>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</si>
  <si>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</si>
  <si>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</si>
  <si>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</si>
  <si>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</si>
  <si>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</si>
  <si>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</si>
  <si>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</si>
  <si>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</si>
  <si>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</si>
  <si>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</si>
  <si>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</si>
  <si>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</si>
  <si>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</si>
  <si>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</si>
  <si>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</si>
  <si>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</si>
  <si>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</si>
  <si>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</si>
  <si>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</si>
  <si>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</si>
  <si>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</si>
  <si>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</si>
  <si>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</si>
  <si>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</si>
  <si>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</si>
  <si>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</si>
  <si>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</si>
  <si>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</si>
  <si>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</si>
  <si>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</si>
  <si>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</si>
  <si>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</si>
  <si>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</si>
  <si>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</si>
  <si>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</si>
  <si>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</si>
  <si>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</si>
  <si>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</si>
  <si>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</si>
  <si>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</si>
  <si>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</si>
  <si>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</si>
  <si>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</si>
  <si>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</si>
  <si>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</si>
  <si>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</si>
  <si>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</si>
  <si>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</si>
  <si>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</si>
  <si>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</si>
  <si>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</si>
  <si>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</si>
  <si>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</si>
  <si>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</si>
  <si>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</si>
  <si>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</si>
  <si>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</si>
  <si>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</si>
  <si>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</si>
  <si>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</si>
  <si>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</si>
  <si>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</si>
  <si>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</si>
  <si>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</si>
  <si>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</si>
  <si>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</si>
  <si>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</si>
  <si>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</si>
  <si>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</si>
  <si>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</si>
  <si>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</si>
  <si>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</si>
  <si>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</si>
  <si>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</si>
  <si>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</si>
  <si>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</si>
  <si>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</si>
  <si>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</si>
  <si>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</si>
  <si>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</si>
  <si>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</si>
  <si>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</si>
  <si>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</si>
  <si>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</si>
  <si>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</si>
  <si>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</si>
  <si>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</si>
  <si>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</si>
  <si>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</si>
  <si>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</si>
  <si>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</si>
  <si>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</si>
  <si>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</si>
  <si>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</si>
  <si>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</si>
  <si>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</si>
  <si>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</si>
  <si>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</si>
  <si>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</si>
  <si>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</si>
  <si>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</si>
  <si>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</si>
  <si>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</si>
  <si>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</si>
  <si>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</si>
  <si>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</si>
  <si>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</si>
  <si>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</si>
  <si>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</si>
  <si>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</si>
  <si>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</si>
  <si>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</si>
  <si>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</si>
  <si>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</si>
  <si>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</si>
  <si>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</si>
  <si>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</si>
  <si>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</si>
  <si>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</si>
  <si>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</si>
  <si>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</si>
  <si>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</si>
  <si>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</si>
  <si>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</si>
  <si>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</si>
  <si>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</si>
  <si>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</si>
  <si>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</si>
  <si>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</si>
  <si>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</si>
  <si>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</si>
  <si>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</si>
  <si>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</si>
  <si>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</si>
  <si>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</si>
  <si>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</si>
  <si>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</si>
  <si>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</si>
  <si>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</si>
  <si>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</si>
  <si>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</si>
  <si>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</si>
  <si>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</si>
  <si>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</si>
  <si>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</si>
  <si>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</si>
  <si>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</si>
  <si>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</si>
  <si>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</si>
  <si>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</si>
  <si>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</si>
  <si>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</si>
  <si>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</si>
  <si>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</si>
  <si>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</si>
  <si>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</si>
  <si>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</si>
  <si>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</si>
  <si>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</si>
  <si>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</si>
  <si>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</si>
  <si>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</si>
  <si>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</si>
  <si>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</si>
  <si>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</si>
  <si>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</si>
  <si>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</si>
  <si>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</si>
  <si>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</si>
  <si>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</si>
  <si>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</si>
  <si>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</si>
  <si>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</si>
  <si>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</si>
  <si>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</si>
  <si>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</si>
  <si>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</si>
  <si>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</si>
  <si>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</si>
  <si>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</si>
  <si>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</si>
  <si>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</si>
  <si>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</si>
  <si>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</si>
  <si>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</si>
  <si>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</si>
  <si>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</si>
  <si>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</si>
  <si>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</si>
  <si>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</si>
  <si>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</si>
  <si>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</si>
  <si>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</si>
  <si>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</si>
  <si>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</si>
  <si>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</si>
  <si>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</si>
  <si>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</si>
  <si>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</si>
  <si>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</si>
  <si>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</si>
  <si>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</si>
  <si>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</si>
  <si>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</si>
  <si>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</si>
  <si>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</si>
  <si>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</si>
  <si>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</si>
  <si>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</si>
  <si>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</si>
  <si>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</si>
  <si>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</si>
  <si>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</si>
  <si>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</si>
  <si>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</si>
  <si>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</si>
  <si>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</si>
  <si>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</si>
  <si>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</si>
  <si>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</si>
  <si>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</si>
  <si>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</si>
  <si>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</si>
  <si>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</si>
  <si>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</si>
  <si>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</si>
  <si>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</si>
  <si>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</si>
  <si>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</si>
  <si>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</si>
  <si>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</si>
  <si>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</si>
  <si>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</si>
  <si>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</si>
  <si>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</si>
  <si>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</si>
  <si>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</si>
  <si>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</si>
  <si>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</si>
  <si>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</si>
  <si>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</si>
  <si>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</si>
  <si>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</si>
  <si>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</si>
  <si>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</si>
  <si>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</si>
  <si>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</si>
  <si>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</si>
  <si>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</si>
  <si>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</si>
  <si>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</si>
  <si>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</si>
  <si>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</si>
  <si>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</si>
  <si>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</si>
  <si>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</si>
  <si>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</si>
  <si>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</si>
  <si>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</si>
  <si>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</si>
  <si>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</si>
  <si>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</si>
  <si>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</si>
  <si>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</si>
  <si>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</si>
  <si>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</si>
  <si>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</si>
  <si>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</si>
  <si>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</si>
  <si>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</si>
  <si>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</si>
  <si>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</si>
  <si>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</si>
  <si>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</si>
  <si>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</si>
  <si>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</si>
  <si>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</si>
  <si>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</si>
  <si>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</si>
  <si>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</si>
  <si>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</si>
  <si>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</si>
  <si>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</si>
  <si>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</si>
  <si>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</si>
  <si>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</si>
  <si>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</si>
  <si>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</si>
  <si>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</si>
  <si>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</si>
  <si>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</si>
  <si>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</si>
  <si>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</si>
  <si>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</si>
  <si>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</si>
  <si>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</si>
  <si>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</si>
  <si>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</si>
  <si>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</si>
  <si>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</si>
  <si>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</si>
  <si>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</si>
  <si>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</si>
  <si>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</si>
  <si>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</si>
  <si>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</si>
  <si>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</si>
  <si>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</si>
  <si>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</si>
  <si>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</si>
  <si>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</si>
  <si>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</si>
  <si>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</si>
  <si>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</si>
  <si>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</si>
  <si>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</si>
  <si>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</si>
  <si>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</si>
  <si>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</si>
  <si>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</si>
  <si>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</si>
  <si>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</si>
  <si>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</si>
  <si>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</si>
  <si>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</si>
  <si>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</si>
  <si>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</si>
  <si>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</si>
  <si>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</si>
  <si>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</si>
  <si>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</si>
  <si>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</si>
  <si>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</si>
  <si>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</si>
  <si>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</si>
  <si>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</si>
  <si>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</si>
  <si>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</si>
  <si>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</si>
  <si>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</si>
  <si>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</si>
  <si>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</si>
  <si>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</si>
  <si>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</si>
  <si>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</si>
  <si>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</si>
  <si>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</si>
  <si>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</si>
  <si>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</si>
  <si>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</si>
  <si>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</si>
  <si>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</si>
  <si>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</si>
  <si>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</si>
  <si>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</si>
  <si>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</si>
  <si>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</si>
  <si>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</si>
  <si>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</si>
  <si>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</si>
  <si>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</si>
  <si>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</si>
  <si>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</si>
  <si>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</si>
  <si>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</si>
  <si>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</si>
  <si>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</si>
  <si>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</si>
  <si>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</si>
  <si>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</si>
  <si>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</si>
  <si>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</si>
  <si>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</si>
  <si>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</si>
  <si>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</si>
  <si>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</si>
  <si>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</si>
  <si>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</si>
  <si>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</si>
  <si>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</si>
  <si>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</si>
  <si>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</si>
  <si>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</si>
  <si>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</si>
  <si>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</si>
  <si>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</si>
  <si>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</si>
  <si>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</si>
  <si>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</si>
  <si>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</si>
  <si>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</si>
  <si>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</si>
  <si>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</si>
  <si>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</si>
  <si>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</si>
  <si>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</si>
  <si>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</si>
  <si>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</si>
  <si>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</si>
  <si>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</si>
  <si>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</si>
  <si>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</si>
  <si>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</si>
  <si>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</si>
  <si>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</si>
  <si>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</si>
  <si>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</si>
  <si>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</si>
  <si>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</si>
  <si>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</si>
  <si>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</si>
  <si>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</si>
  <si>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</si>
  <si>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</si>
  <si>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</si>
  <si>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</si>
  <si>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</si>
  <si>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</si>
  <si>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</si>
  <si>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</si>
  <si>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</si>
  <si>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</si>
  <si>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</si>
  <si>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</si>
  <si>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</si>
  <si>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</si>
  <si>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</si>
  <si>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</si>
  <si>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</si>
  <si>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</si>
  <si>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</si>
  <si>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</si>
  <si>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</si>
  <si>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</si>
  <si>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</si>
  <si>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</si>
  <si>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</si>
  <si>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</si>
  <si>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</si>
  <si>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</si>
  <si>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</si>
  <si>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</si>
  <si>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</si>
  <si>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</si>
  <si>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</si>
  <si>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</si>
  <si>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</si>
  <si>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</si>
  <si>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</si>
  <si>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</si>
  <si>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</si>
  <si>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</si>
  <si>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</si>
  <si>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</si>
  <si>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</si>
  <si>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</si>
  <si>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</si>
  <si>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</si>
  <si>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</si>
  <si>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</si>
  <si>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</si>
  <si>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</si>
  <si>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</si>
  <si>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</si>
  <si>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</si>
  <si>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</si>
  <si>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</si>
  <si>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</si>
  <si>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</si>
  <si>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</si>
  <si>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</si>
  <si>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</si>
  <si>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</si>
  <si>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</si>
  <si>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</si>
  <si>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</si>
  <si>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</si>
  <si>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</si>
  <si>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</si>
  <si>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</si>
  <si>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</si>
  <si>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</si>
  <si>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</si>
  <si>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</si>
  <si>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</si>
  <si>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</si>
  <si>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</si>
  <si>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</si>
  <si>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</si>
  <si>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</si>
  <si>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</si>
  <si>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</si>
  <si>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</si>
  <si>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</si>
  <si>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</si>
  <si>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</si>
  <si>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</si>
  <si>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</si>
  <si>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</si>
  <si>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</si>
  <si>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</si>
  <si>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</si>
  <si>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</si>
  <si>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</si>
  <si>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</si>
  <si>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</si>
  <si>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</si>
  <si>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</si>
  <si>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</si>
  <si>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</si>
  <si>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</si>
  <si>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</si>
  <si>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</si>
  <si>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</si>
  <si>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</si>
  <si>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</si>
  <si>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</si>
  <si>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</si>
  <si>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</si>
  <si>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</si>
  <si>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</si>
  <si>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</si>
  <si>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</si>
  <si>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</si>
  <si>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</si>
  <si>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</si>
  <si>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</si>
  <si>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</si>
  <si>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</si>
  <si>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</si>
  <si>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</si>
  <si>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</si>
  <si>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</si>
  <si>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</si>
  <si>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</si>
  <si>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</si>
  <si>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</si>
  <si>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</si>
  <si>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</si>
  <si>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</si>
  <si>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</si>
  <si>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</si>
  <si>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</si>
  <si>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</si>
  <si>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</si>
  <si>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</si>
  <si>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</si>
  <si>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</si>
  <si>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</si>
  <si>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</si>
  <si>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</si>
  <si>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</si>
  <si>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</si>
  <si>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</si>
  <si>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</si>
  <si>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</si>
  <si>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</si>
  <si>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</si>
  <si>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</si>
  <si>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</si>
  <si>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</si>
  <si>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</si>
  <si>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</si>
  <si>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</si>
  <si>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</si>
  <si>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</si>
  <si>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</si>
  <si>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</si>
  <si>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</si>
  <si>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</si>
  <si>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</si>
  <si>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</si>
  <si>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</si>
  <si>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</si>
  <si>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</si>
  <si>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</si>
  <si>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</si>
  <si>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</si>
  <si>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</si>
  <si>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</si>
  <si>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</si>
  <si>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</si>
  <si>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</si>
  <si>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</si>
  <si>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</si>
  <si>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</si>
  <si>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</si>
  <si>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</si>
  <si>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</si>
  <si>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</si>
  <si>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</si>
  <si>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</si>
  <si>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</si>
  <si>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</si>
  <si>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</si>
  <si>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</si>
  <si>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</si>
  <si>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</si>
  <si>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</si>
  <si>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</si>
  <si>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</si>
  <si>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</si>
  <si>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</si>
  <si>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</si>
  <si>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</si>
  <si>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</si>
  <si>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</si>
  <si>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</si>
  <si>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</si>
  <si>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</si>
  <si>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</si>
  <si>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</si>
  <si>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</si>
  <si>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</si>
  <si>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</si>
  <si>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</si>
  <si>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</si>
  <si>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</si>
  <si>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</si>
  <si>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</si>
  <si>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</si>
  <si>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</si>
  <si>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</si>
  <si>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</si>
  <si>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</si>
  <si>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</si>
  <si>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</si>
  <si>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</si>
  <si>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</si>
  <si>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</si>
  <si>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</si>
  <si>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</si>
  <si>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</si>
  <si>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</si>
  <si>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</si>
  <si>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</si>
  <si>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</si>
  <si>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</si>
  <si>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</si>
  <si>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</si>
  <si>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</si>
  <si>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</si>
  <si>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</si>
  <si>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</si>
  <si>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</si>
  <si>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</si>
  <si>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</si>
  <si>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</si>
  <si>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</si>
  <si>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</si>
  <si>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</si>
  <si>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</si>
  <si>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</si>
  <si>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</si>
  <si>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</si>
  <si>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</si>
  <si>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</si>
  <si>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</si>
  <si>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</si>
  <si>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</si>
  <si>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</si>
  <si>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</si>
  <si>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</si>
  <si>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</si>
  <si>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</si>
  <si>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</si>
  <si>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</si>
  <si>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</si>
  <si>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</si>
  <si>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</si>
  <si>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</si>
  <si>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</si>
  <si>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</si>
  <si>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</si>
  <si>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</si>
  <si>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</si>
  <si>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</si>
  <si>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</si>
  <si>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</si>
  <si>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</si>
  <si>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</si>
  <si>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</si>
  <si>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</si>
  <si>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</si>
  <si>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</si>
  <si>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</si>
  <si>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</si>
  <si>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</si>
  <si>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</si>
  <si>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</si>
  <si>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</si>
  <si>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</si>
  <si>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</si>
  <si>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</si>
  <si>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</si>
  <si>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</si>
  <si>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</si>
  <si>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</si>
  <si>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</si>
  <si>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</si>
  <si>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</si>
  <si>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</si>
  <si>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</si>
  <si>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</si>
  <si>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</si>
  <si>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</si>
  <si>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</si>
  <si>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</si>
  <si>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</si>
  <si>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</si>
  <si>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</si>
  <si>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</si>
  <si>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</si>
  <si>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</si>
  <si>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</si>
  <si>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</si>
  <si>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</si>
  <si>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</si>
  <si>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</si>
  <si>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</si>
  <si>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</si>
  <si>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</si>
  <si>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</si>
  <si>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</si>
  <si>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</si>
  <si>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</si>
  <si>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</si>
  <si>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</si>
  <si>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</si>
  <si>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</si>
  <si>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</si>
  <si>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</si>
  <si>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</si>
  <si>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</si>
  <si>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</si>
  <si>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</si>
  <si>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</si>
  <si>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</si>
  <si>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</si>
  <si>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</si>
  <si>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</si>
  <si>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</si>
  <si>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</si>
  <si>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</si>
  <si>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</si>
  <si>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</si>
  <si>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</si>
  <si>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</si>
  <si>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</si>
  <si>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</si>
  <si>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</si>
  <si>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</si>
  <si>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</si>
  <si>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</si>
  <si>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</si>
  <si>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</si>
  <si>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</si>
  <si>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</si>
  <si>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</si>
  <si>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</si>
  <si>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</si>
  <si>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</si>
  <si>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</si>
  <si>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</si>
  <si>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</si>
  <si>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</si>
  <si>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</si>
  <si>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</si>
  <si>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</si>
  <si>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</si>
  <si>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</si>
  <si>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</si>
  <si>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</si>
  <si>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</si>
  <si>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</si>
  <si>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</si>
  <si>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</si>
  <si>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</si>
  <si>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</si>
  <si>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</si>
  <si>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</si>
  <si>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</si>
  <si>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</si>
  <si>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</si>
  <si>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</si>
  <si>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</si>
  <si>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</si>
  <si>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</si>
  <si>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</si>
  <si>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</si>
  <si>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</si>
  <si>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</si>
  <si>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</si>
  <si>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</si>
  <si>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</si>
  <si>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</si>
  <si>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</si>
  <si>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</si>
  <si>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</si>
  <si>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</si>
  <si>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</si>
  <si>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</si>
  <si>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</si>
  <si>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</si>
  <si>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</si>
  <si>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</si>
  <si>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</si>
  <si>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</si>
  <si>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</si>
  <si>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</si>
  <si>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</si>
  <si>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</si>
  <si>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</si>
  <si>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</si>
  <si>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</si>
  <si>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</si>
  <si>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</si>
  <si>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</si>
  <si>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</si>
  <si>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</si>
  <si>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</si>
  <si>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</si>
  <si>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</si>
  <si>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</si>
  <si>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</si>
  <si>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</si>
  <si>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</si>
  <si>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</si>
  <si>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</si>
  <si>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</si>
  <si>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</si>
  <si>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</si>
  <si>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</si>
  <si>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</si>
  <si>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</si>
  <si>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</si>
  <si>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</si>
  <si>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</si>
  <si>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</si>
  <si>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</si>
  <si>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</si>
  <si>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</si>
  <si>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</si>
  <si>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</si>
  <si>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</si>
  <si>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</si>
  <si>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</si>
  <si>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</si>
  <si>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</si>
  <si>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</si>
  <si>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</si>
  <si>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</si>
  <si>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</si>
  <si>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</si>
  <si>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</si>
  <si>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</si>
  <si>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</si>
  <si>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</si>
  <si>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</si>
  <si>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</si>
  <si>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</si>
  <si>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</si>
  <si>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</si>
  <si>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</si>
  <si>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</si>
  <si>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</si>
  <si>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</si>
  <si>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</si>
  <si>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</si>
  <si>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</si>
  <si>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</si>
  <si>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</si>
  <si>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</si>
  <si>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</si>
  <si>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</si>
  <si>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</si>
  <si>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</si>
  <si>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</si>
  <si>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</si>
  <si>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</si>
  <si>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</si>
  <si>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</si>
  <si>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</si>
  <si>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</si>
  <si>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</si>
  <si>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</si>
  <si>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</si>
  <si>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</si>
  <si>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</si>
  <si>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</si>
  <si>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</si>
  <si>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</si>
  <si>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</si>
  <si>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</si>
  <si>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</si>
  <si>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</si>
  <si>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</si>
  <si>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</si>
  <si>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</si>
  <si>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</si>
  <si>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</si>
  <si>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</si>
  <si>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</si>
  <si>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</si>
  <si>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</si>
  <si>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</si>
  <si>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</si>
  <si>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</si>
  <si>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</si>
  <si>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</si>
  <si>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</si>
  <si>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</si>
  <si>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</si>
  <si>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</si>
  <si>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</si>
  <si>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</si>
  <si>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</si>
  <si>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</si>
  <si>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</si>
  <si>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</si>
  <si>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</si>
  <si>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</si>
  <si>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</si>
  <si>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</si>
  <si>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</si>
  <si>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</si>
  <si>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</si>
  <si>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</si>
  <si>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</si>
  <si>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</si>
  <si>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</si>
  <si>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</si>
  <si>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</si>
  <si>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</si>
  <si>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</si>
  <si>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</si>
  <si>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</si>
  <si>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</si>
  <si>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</si>
  <si>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</si>
  <si>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</si>
  <si>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</si>
  <si>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</si>
  <si>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</si>
  <si>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</si>
  <si>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</si>
  <si>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</si>
  <si>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</si>
  <si>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</si>
  <si>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</si>
  <si>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</si>
  <si>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</si>
  <si>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</si>
  <si>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</si>
  <si>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</si>
  <si>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</si>
  <si>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</si>
  <si>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</si>
  <si>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</si>
  <si>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</si>
  <si>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</si>
  <si>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</si>
  <si>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</si>
  <si>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</si>
  <si>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</si>
  <si>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</si>
  <si>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</si>
  <si>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</si>
  <si>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</si>
  <si>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</si>
  <si>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</si>
  <si>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</si>
  <si>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</si>
  <si>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</si>
  <si>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</si>
  <si>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</si>
  <si>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</si>
  <si>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</si>
  <si>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</si>
  <si>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</si>
  <si>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</si>
  <si>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</si>
  <si>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</si>
  <si>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</si>
  <si>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</si>
  <si>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</si>
  <si>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</si>
  <si>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</si>
  <si>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</si>
  <si>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</si>
  <si>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</si>
  <si>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</si>
  <si>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</si>
  <si>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</si>
  <si>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</si>
  <si>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</si>
  <si>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</si>
  <si>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</si>
  <si>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</si>
  <si>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</si>
  <si>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</si>
  <si>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</si>
  <si>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</si>
  <si>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</si>
  <si>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</si>
  <si>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</si>
  <si>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</si>
  <si>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</si>
  <si>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</si>
  <si>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</si>
  <si>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</si>
  <si>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</si>
  <si>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</si>
  <si>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</si>
  <si>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</si>
  <si>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</si>
  <si>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</si>
  <si>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</si>
  <si>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</si>
  <si>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</si>
  <si>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</si>
  <si>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</si>
  <si>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</si>
  <si>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</si>
  <si>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</si>
  <si>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</si>
  <si>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</si>
  <si>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</si>
  <si>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</si>
  <si>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</si>
  <si>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</si>
  <si>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</si>
  <si>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</si>
  <si>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</si>
  <si>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</si>
  <si>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</si>
  <si>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</si>
  <si>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</si>
  <si>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</si>
  <si>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</si>
  <si>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</si>
  <si>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</si>
  <si>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</si>
  <si>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</si>
  <si>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</si>
  <si>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</si>
  <si>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</si>
  <si>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</si>
  <si>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</si>
  <si>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</si>
  <si>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</si>
  <si>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</si>
  <si>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</si>
  <si>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</si>
  <si>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</si>
  <si>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</si>
  <si>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</si>
  <si>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</si>
  <si>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</si>
  <si>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</si>
  <si>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</si>
  <si>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</si>
  <si>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</si>
  <si>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</si>
  <si>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</si>
  <si>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</si>
  <si>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</si>
  <si>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</si>
  <si>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</si>
  <si>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</si>
  <si>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</si>
  <si>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</si>
  <si>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</si>
  <si>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</si>
  <si>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</si>
  <si>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</si>
  <si>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</si>
  <si>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</si>
  <si>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</si>
  <si>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</si>
  <si>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</si>
  <si>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</si>
  <si>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</si>
  <si>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</si>
  <si>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</si>
  <si>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</si>
  <si>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</si>
  <si>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</si>
  <si>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</si>
  <si>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</si>
  <si>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</si>
  <si>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</si>
  <si>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</si>
  <si>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</si>
  <si>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</si>
  <si>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</si>
  <si>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</si>
  <si>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</si>
  <si>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</si>
  <si>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</si>
  <si>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</si>
  <si>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</si>
  <si>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</si>
  <si>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</si>
  <si>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</si>
  <si>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</si>
  <si>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</si>
  <si>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</si>
  <si>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</si>
  <si>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</si>
  <si>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</si>
  <si>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</si>
  <si>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</si>
  <si>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</si>
  <si>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</si>
  <si>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</si>
  <si>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</si>
  <si>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</si>
  <si>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</si>
  <si>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</si>
  <si>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</si>
  <si>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</si>
  <si>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</si>
  <si>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</si>
  <si>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</si>
  <si>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</si>
  <si>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</si>
  <si>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</si>
  <si>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</si>
  <si>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</si>
  <si>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</si>
  <si>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</si>
  <si>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</si>
  <si>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</si>
  <si>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</si>
  <si>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</si>
  <si>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</si>
  <si>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</si>
  <si>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</si>
  <si>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</si>
  <si>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</si>
  <si>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</si>
  <si>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</si>
  <si>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</si>
  <si>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</si>
  <si>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</si>
  <si>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</si>
  <si>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</si>
  <si>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</si>
  <si>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</si>
  <si>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</si>
  <si>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</si>
  <si>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</si>
  <si>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</si>
  <si>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</si>
  <si>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</si>
  <si>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</si>
  <si>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</si>
  <si>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</si>
  <si>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</si>
  <si>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</si>
  <si>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</si>
  <si>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</si>
  <si>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</si>
  <si>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</si>
  <si>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</si>
  <si>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</si>
  <si>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</si>
  <si>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</si>
  <si>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</si>
  <si>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</si>
  <si>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</si>
  <si>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</si>
  <si>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</si>
  <si>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</si>
  <si>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</si>
  <si>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</si>
  <si>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</si>
  <si>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</si>
  <si>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</si>
  <si>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</si>
  <si>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</si>
  <si>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</si>
  <si>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</si>
  <si>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</si>
  <si>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</si>
  <si>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</si>
  <si>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</si>
  <si>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</si>
  <si>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</si>
  <si>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</si>
  <si>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</si>
  <si>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</si>
  <si>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</si>
  <si>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</si>
  <si>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</si>
  <si>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</si>
  <si>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</si>
  <si>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</si>
  <si>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</si>
  <si>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</si>
  <si>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</si>
  <si>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</si>
  <si>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</si>
  <si>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</si>
  <si>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</si>
  <si>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</si>
  <si>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</si>
  <si>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</si>
  <si>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</si>
  <si>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</si>
  <si>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</si>
  <si>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</si>
  <si>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</si>
  <si>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</si>
  <si>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</si>
  <si>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</si>
  <si>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</si>
  <si>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</si>
  <si>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</si>
  <si>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</si>
  <si>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</si>
  <si>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</si>
  <si>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</si>
  <si>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</si>
  <si>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</si>
  <si>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</si>
  <si>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</si>
  <si>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</si>
  <si>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</si>
  <si>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</si>
  <si>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</si>
  <si>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</si>
  <si>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</si>
  <si>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</si>
  <si>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</si>
  <si>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</si>
  <si>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</si>
  <si>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</si>
  <si>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</si>
  <si>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</si>
  <si>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</si>
  <si>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</si>
  <si>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</si>
  <si>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</si>
  <si>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</si>
  <si>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</si>
  <si>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</si>
  <si>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</si>
  <si>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</si>
  <si>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</si>
  <si>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</si>
  <si>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</si>
  <si>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</si>
  <si>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</si>
  <si>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</si>
  <si>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</si>
  <si>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</si>
  <si>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</si>
  <si>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</si>
  <si>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</si>
  <si>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</si>
  <si>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</si>
  <si>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</si>
  <si>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</si>
  <si>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</si>
  <si>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</si>
  <si>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</si>
  <si>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</si>
  <si>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</si>
  <si>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</si>
  <si>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</si>
  <si>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</si>
  <si>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</si>
  <si>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</si>
  <si>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</si>
  <si>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</si>
  <si>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</si>
  <si>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</si>
  <si>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</si>
  <si>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</si>
  <si>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</si>
  <si>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</si>
  <si>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</si>
  <si>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</si>
  <si>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</si>
  <si>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</si>
  <si>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</si>
  <si>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</si>
  <si>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</si>
  <si>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</si>
  <si>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</si>
  <si>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</si>
  <si>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</si>
  <si>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</si>
  <si>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</si>
  <si>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</si>
  <si>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</si>
  <si>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</si>
  <si>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</si>
  <si>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</si>
  <si>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</si>
  <si>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</si>
  <si>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</si>
  <si>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</si>
  <si>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</si>
  <si>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</si>
  <si>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</si>
  <si>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</si>
  <si>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</si>
  <si>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</si>
  <si>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</si>
  <si>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</si>
  <si>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</si>
  <si>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</si>
  <si>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</si>
  <si>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</si>
  <si>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</si>
  <si>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</si>
  <si>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</si>
  <si>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</si>
  <si>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</si>
  <si>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</si>
  <si>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</si>
  <si>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</si>
  <si>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</si>
  <si>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</si>
  <si>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</si>
  <si>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</si>
  <si>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</si>
  <si>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</si>
  <si>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</si>
  <si>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</si>
  <si>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</si>
  <si>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</si>
  <si>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</si>
  <si>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</si>
  <si>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</si>
  <si>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</si>
  <si>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</si>
  <si>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</si>
  <si>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</si>
  <si>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</si>
  <si>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</si>
  <si>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</si>
  <si>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</si>
  <si>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</si>
  <si>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</si>
  <si>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</si>
  <si>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</si>
  <si>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</si>
  <si>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</si>
  <si>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</si>
  <si>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</si>
  <si>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</si>
  <si>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</si>
  <si>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</si>
  <si>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</si>
  <si>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</si>
  <si>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</si>
  <si>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</si>
  <si>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</si>
  <si>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</si>
  <si>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</si>
  <si>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</si>
  <si>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</si>
  <si>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</si>
  <si>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</si>
  <si>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</si>
  <si>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</si>
  <si>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</si>
  <si>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</si>
  <si>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</si>
  <si>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</si>
  <si>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</si>
  <si>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</si>
  <si>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</si>
  <si>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</si>
  <si>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</si>
  <si>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</si>
  <si>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</si>
  <si>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</si>
  <si>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</si>
  <si>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</si>
  <si>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</si>
  <si>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</si>
  <si>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</si>
  <si>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</si>
  <si>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</si>
  <si>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</si>
  <si>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</si>
  <si>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</si>
  <si>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</si>
  <si>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</si>
  <si>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</si>
  <si>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</si>
  <si>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</si>
  <si>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</si>
  <si>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</si>
  <si>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</si>
  <si>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</si>
  <si>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</si>
  <si>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</si>
  <si>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</si>
  <si>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</si>
  <si>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</si>
  <si>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</si>
  <si>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</si>
  <si>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</si>
  <si>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</si>
  <si>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</si>
  <si>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</si>
  <si>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</si>
  <si>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</si>
  <si>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</si>
  <si>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</si>
  <si>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</si>
  <si>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</si>
  <si>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</si>
  <si>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</si>
  <si>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</si>
  <si>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</si>
  <si>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</si>
  <si>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</si>
  <si>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</si>
  <si>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</si>
  <si>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</si>
  <si>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</si>
  <si>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</si>
  <si>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</si>
  <si>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</si>
  <si>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</si>
  <si>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</si>
  <si>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</si>
  <si>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</si>
  <si>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</si>
  <si>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</si>
  <si>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</si>
  <si>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</si>
  <si>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</si>
  <si>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</si>
  <si>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</si>
  <si>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</si>
  <si>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</si>
  <si>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</si>
  <si>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</si>
  <si>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</si>
  <si>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</si>
  <si>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</si>
  <si>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</si>
  <si>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</si>
  <si>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</si>
  <si>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</si>
  <si>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</si>
  <si>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</si>
  <si>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</si>
  <si>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</si>
  <si>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</si>
  <si>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</si>
  <si>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</si>
  <si>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</si>
  <si>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</si>
  <si>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</si>
  <si>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</si>
  <si>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</si>
  <si>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</si>
  <si>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</si>
  <si>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</si>
  <si>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</si>
  <si>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</si>
  <si>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</si>
  <si>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</si>
  <si>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</si>
  <si>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</si>
  <si>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</si>
  <si>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</si>
  <si>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</si>
  <si>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</si>
  <si>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</si>
  <si>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</si>
  <si>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</si>
  <si>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</si>
  <si>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</si>
  <si>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</si>
  <si>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</si>
  <si>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</si>
  <si>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</si>
  <si>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</si>
  <si>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</si>
  <si>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</si>
  <si>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</si>
  <si>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</si>
  <si>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</si>
  <si>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</si>
  <si>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</si>
  <si>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</si>
  <si>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</si>
  <si>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</si>
  <si>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</si>
  <si>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</si>
  <si>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</si>
  <si>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</si>
  <si>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</si>
  <si>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</si>
  <si>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</si>
  <si>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</si>
  <si>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</si>
  <si>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</si>
  <si>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</si>
  <si>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</si>
  <si>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</si>
  <si>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</si>
  <si>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</si>
  <si>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</si>
  <si>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</si>
  <si>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</si>
  <si>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</si>
  <si>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</si>
  <si>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</si>
  <si>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</si>
  <si>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</si>
  <si>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</si>
  <si>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</si>
  <si>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</si>
  <si>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</si>
  <si>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</si>
  <si>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</si>
  <si>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</si>
  <si>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</si>
  <si>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</si>
  <si>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</si>
  <si>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</si>
  <si>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</si>
  <si>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</si>
  <si>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</si>
  <si>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</si>
  <si>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</si>
  <si>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</si>
  <si>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</si>
  <si>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</si>
  <si>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</si>
  <si>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</si>
  <si>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</si>
  <si>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</si>
  <si>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</si>
  <si>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</si>
  <si>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</si>
  <si>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</si>
  <si>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</si>
  <si>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</si>
  <si>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</si>
  <si>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</si>
  <si>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</si>
  <si>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</si>
  <si>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</si>
  <si>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</si>
  <si>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</si>
  <si>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</si>
  <si>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</si>
  <si>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</si>
  <si>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</si>
  <si>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</si>
  <si>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</si>
  <si>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</si>
  <si>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</si>
  <si>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</si>
  <si>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</si>
  <si>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</si>
  <si>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</si>
  <si>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</si>
  <si>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</si>
  <si>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</si>
  <si>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</si>
  <si>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</si>
  <si>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</si>
  <si>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</si>
  <si>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</si>
  <si>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</si>
  <si>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</si>
  <si>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</si>
  <si>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</si>
  <si>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</si>
  <si>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</si>
  <si>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</si>
  <si>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</si>
  <si>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</si>
  <si>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</si>
  <si>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</si>
  <si>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</si>
  <si>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</si>
  <si>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</si>
  <si>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</si>
  <si>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</si>
  <si>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</si>
  <si>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</si>
  <si>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</si>
  <si>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</si>
  <si>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</si>
  <si>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</si>
  <si>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</si>
  <si>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</si>
  <si>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</si>
  <si>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</si>
  <si>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</si>
  <si>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</si>
  <si>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</si>
  <si>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</si>
  <si>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</si>
  <si>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</si>
  <si>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</si>
  <si>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</si>
  <si>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</si>
  <si>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</si>
  <si>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</si>
  <si>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</si>
  <si>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</si>
  <si>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</si>
  <si>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</si>
  <si>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</si>
  <si>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</si>
  <si>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</si>
  <si>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</si>
  <si>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</si>
  <si>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</si>
  <si>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</si>
  <si>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</si>
  <si>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</si>
  <si>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</si>
  <si>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</si>
  <si>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</si>
  <si>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</si>
  <si>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</si>
  <si>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</si>
  <si>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</si>
  <si>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</si>
  <si>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</si>
  <si>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</si>
  <si>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</si>
  <si>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</si>
  <si>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</si>
  <si>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</si>
  <si>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</si>
  <si>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</si>
  <si>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</si>
  <si>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</si>
  <si>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</si>
  <si>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</si>
  <si>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</si>
  <si>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</si>
  <si>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</si>
  <si>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</si>
  <si>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</si>
  <si>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</si>
  <si>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</si>
  <si>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</si>
  <si>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</si>
  <si>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</si>
  <si>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</si>
  <si>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</si>
  <si>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</si>
  <si>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</si>
  <si>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</si>
  <si>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</si>
  <si>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</si>
  <si>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</si>
  <si>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</si>
  <si>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</si>
  <si>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</si>
  <si>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</si>
  <si>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</si>
  <si>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</si>
  <si>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</si>
  <si>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</si>
  <si>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</si>
  <si>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</si>
  <si>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</si>
  <si>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</si>
  <si>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</si>
  <si>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</si>
  <si>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</si>
  <si>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</si>
  <si>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</si>
  <si>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</si>
  <si>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</si>
  <si>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</si>
  <si>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</si>
  <si>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</si>
  <si>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</si>
  <si>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</si>
  <si>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</si>
  <si>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</si>
  <si>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</si>
  <si>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</si>
  <si>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</si>
  <si>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</si>
  <si>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</si>
  <si>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</si>
  <si>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</si>
  <si>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</si>
  <si>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</si>
  <si>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</si>
  <si>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</si>
  <si>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</si>
  <si>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</si>
  <si>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</si>
  <si>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</si>
  <si>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</si>
  <si>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</si>
  <si>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</si>
  <si>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</si>
  <si>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</si>
  <si>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</si>
  <si>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</si>
  <si>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</si>
  <si>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</si>
  <si>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</si>
  <si>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</si>
  <si>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</si>
  <si>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</si>
  <si>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</si>
  <si>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</si>
  <si>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</si>
  <si>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</si>
  <si>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</si>
  <si>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</si>
  <si>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</si>
  <si>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</si>
  <si>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</si>
  <si>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</si>
  <si>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</si>
  <si>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</si>
  <si>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</si>
  <si>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</si>
  <si>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</si>
  <si>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</si>
  <si>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</si>
  <si>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</si>
  <si>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</si>
  <si>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</si>
  <si>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</si>
  <si>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</si>
  <si>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</si>
  <si>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</si>
  <si>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</si>
  <si>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</si>
  <si>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</si>
  <si>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</si>
  <si>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</si>
  <si>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</si>
  <si>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</si>
  <si>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</si>
  <si>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</si>
  <si>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</si>
  <si>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</si>
  <si>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</si>
  <si>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</si>
  <si>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</si>
  <si>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</si>
  <si>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</si>
  <si>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</si>
  <si>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</si>
  <si>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</si>
  <si>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</si>
  <si>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</si>
  <si>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</si>
  <si>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</si>
  <si>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</si>
  <si>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</si>
  <si>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</si>
  <si>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</si>
  <si>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</si>
  <si>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</si>
  <si>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</si>
  <si>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</si>
  <si>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</si>
  <si>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</si>
  <si>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</si>
  <si>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</si>
  <si>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</si>
  <si>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</si>
  <si>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</si>
  <si>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</si>
  <si>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</si>
  <si>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</si>
  <si>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</si>
  <si>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</si>
  <si>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</si>
  <si>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</si>
  <si>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</si>
  <si>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</si>
  <si>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</si>
  <si>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</si>
  <si>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</si>
  <si>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</si>
  <si>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</si>
  <si>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</si>
  <si>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</si>
  <si>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</si>
  <si>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</si>
  <si>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</si>
  <si>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</si>
  <si>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</si>
  <si>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</si>
  <si>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</si>
  <si>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</si>
  <si>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</si>
  <si>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</si>
  <si>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</si>
  <si>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</si>
  <si>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</si>
  <si>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</si>
  <si>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</si>
  <si>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</si>
  <si>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</si>
  <si>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</si>
  <si>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</si>
  <si>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</si>
  <si>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</si>
  <si>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</si>
  <si>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</si>
  <si>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</si>
  <si>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</si>
  <si>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</si>
  <si>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</si>
  <si>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</si>
  <si>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</si>
  <si>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</si>
  <si>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</si>
  <si>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</si>
  <si>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</si>
  <si>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</si>
  <si>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</si>
  <si>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</si>
  <si>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</si>
  <si>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</si>
  <si>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</si>
  <si>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</si>
  <si>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</si>
  <si>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</si>
  <si>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</si>
  <si>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</si>
  <si>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</si>
  <si>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</si>
  <si>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</si>
  <si>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</si>
  <si>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</si>
  <si>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</si>
  <si>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</si>
  <si>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</si>
  <si>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</si>
  <si>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</si>
  <si>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</si>
  <si>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</si>
  <si>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</si>
  <si>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</si>
  <si>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</si>
  <si>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</si>
  <si>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</si>
  <si>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</si>
  <si>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</si>
  <si>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</si>
  <si>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</si>
  <si>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</si>
  <si>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</si>
  <si>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</si>
  <si>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</si>
  <si>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</si>
  <si>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</si>
  <si>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</si>
  <si>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</si>
  <si>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</si>
  <si>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</si>
  <si>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</si>
  <si>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</si>
  <si>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</si>
  <si>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</si>
  <si>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</si>
  <si>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</si>
  <si>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</si>
  <si>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</si>
  <si>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</si>
  <si>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</si>
  <si>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</si>
  <si>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</si>
  <si>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</si>
  <si>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</si>
  <si>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</si>
  <si>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</si>
  <si>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</si>
  <si>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</si>
  <si>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</si>
  <si>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</si>
  <si>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</si>
  <si>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</si>
  <si>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</si>
  <si>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</si>
  <si>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</si>
  <si>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</si>
  <si>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</si>
  <si>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</si>
  <si>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</si>
  <si>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</si>
  <si>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</si>
  <si>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</si>
  <si>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</si>
  <si>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</si>
  <si>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</si>
  <si>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</si>
  <si>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</si>
  <si>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</si>
  <si>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</si>
  <si>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</si>
  <si>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</si>
  <si>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</si>
  <si>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</si>
  <si>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</si>
  <si>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</si>
  <si>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</si>
  <si>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</si>
  <si>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</si>
  <si>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</si>
  <si>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</si>
  <si>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</si>
  <si>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</si>
  <si>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</si>
  <si>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</si>
  <si>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</si>
  <si>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</si>
  <si>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</si>
  <si>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</si>
  <si>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</si>
  <si>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</si>
  <si>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</si>
  <si>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</si>
  <si>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</si>
  <si>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</si>
  <si>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</si>
  <si>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</si>
  <si>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</si>
  <si>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</si>
  <si>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</si>
  <si>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</si>
  <si>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</si>
  <si>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</si>
  <si>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</si>
  <si>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</si>
  <si>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</si>
  <si>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</si>
  <si>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</si>
  <si>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</si>
  <si>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</si>
  <si>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</si>
  <si>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</si>
  <si>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</si>
  <si>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</si>
  <si>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</si>
  <si>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</si>
  <si>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</si>
  <si>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</si>
  <si>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</si>
  <si>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</si>
  <si>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</si>
  <si>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</si>
  <si>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</si>
  <si>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</si>
  <si>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</si>
  <si>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</si>
  <si>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</si>
  <si>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</si>
  <si>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</si>
  <si>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</si>
  <si>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</si>
  <si>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</si>
  <si>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</si>
  <si>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</si>
  <si>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</si>
  <si>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</si>
  <si>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</si>
  <si>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</si>
  <si>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</si>
  <si>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</si>
  <si>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</si>
  <si>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</si>
  <si>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</si>
  <si>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</si>
  <si>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</si>
  <si>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</si>
  <si>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</si>
  <si>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</si>
  <si>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</si>
  <si>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</si>
  <si>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</si>
  <si>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</si>
  <si>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</si>
  <si>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</si>
  <si>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</si>
  <si>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</si>
  <si>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</si>
  <si>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</si>
  <si>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</si>
  <si>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</si>
  <si>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</si>
  <si>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</si>
  <si>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</si>
  <si>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</si>
  <si>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</si>
  <si>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</si>
  <si>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</si>
  <si>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</si>
  <si>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</si>
  <si>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</si>
  <si>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</si>
  <si>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</si>
  <si>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郑燚</t>
  </si>
  <si>
    <t>王鹏</t>
  </si>
  <si>
    <t>中诚信托有限责任公司</t>
    <phoneticPr fontId="6" type="noConversion"/>
  </si>
  <si>
    <t>抵押</t>
  </si>
  <si>
    <t>房地产抵押价值</t>
  </si>
  <si>
    <t>其他：</t>
  </si>
  <si>
    <t>企业</t>
  </si>
  <si>
    <t>出让</t>
  </si>
  <si>
    <r>
      <rPr>
        <sz val="12"/>
        <color theme="9" tint="-0.249977111117893"/>
        <rFont val="宋体"/>
        <family val="3"/>
        <charset val="134"/>
      </rPr>
      <t>佛山市三水区芦苞镇芦苞大道</t>
    </r>
    <r>
      <rPr>
        <sz val="12"/>
        <color theme="9" tint="-0.249977111117893"/>
        <rFont val="Arial"/>
        <family val="2"/>
      </rPr>
      <t>33</t>
    </r>
    <r>
      <rPr>
        <sz val="12"/>
        <color theme="9" tint="-0.249977111117893"/>
        <rFont val="宋体"/>
        <family val="3"/>
        <charset val="134"/>
      </rPr>
      <t>号</t>
    </r>
    <phoneticPr fontId="6" type="noConversion"/>
  </si>
  <si>
    <t>广东省</t>
    <phoneticPr fontId="6" type="noConversion"/>
  </si>
  <si>
    <t>是</t>
  </si>
  <si>
    <t>复印件</t>
  </si>
  <si>
    <t>居住项目</t>
  </si>
  <si>
    <t>现房</t>
  </si>
  <si>
    <t>通路</t>
  </si>
  <si>
    <t>通电</t>
  </si>
  <si>
    <t>通讯</t>
  </si>
  <si>
    <t>通上水</t>
  </si>
  <si>
    <t>通下水</t>
  </si>
  <si>
    <t>奥特莱斯</t>
    <phoneticPr fontId="3" type="noConversion"/>
  </si>
  <si>
    <t>会所</t>
    <phoneticPr fontId="3" type="noConversion"/>
  </si>
  <si>
    <t>地上</t>
  </si>
  <si>
    <t>奥特莱斯</t>
  </si>
  <si>
    <t>奥特莱斯</t>
    <phoneticPr fontId="7" type="noConversion"/>
  </si>
  <si>
    <t>会所</t>
  </si>
  <si>
    <t>会所</t>
    <phoneticPr fontId="7" type="noConversion"/>
  </si>
  <si>
    <t>商业街</t>
  </si>
  <si>
    <t>成新度</t>
  </si>
  <si>
    <t>钢混</t>
  </si>
  <si>
    <t>非生产用房</t>
  </si>
  <si>
    <t>否</t>
  </si>
  <si>
    <t>收益法（奥特莱斯）</t>
  </si>
  <si>
    <t>收益法（会所）</t>
  </si>
  <si>
    <t>按租金收入计税</t>
  </si>
  <si>
    <t>未包含在土地购买价格中</t>
  </si>
  <si>
    <t>已包含在土地取得成本中</t>
  </si>
  <si>
    <t>成本法</t>
  </si>
  <si>
    <t>收益法（汇总）</t>
  </si>
  <si>
    <t>项目局部</t>
  </si>
  <si>
    <t>成本比率</t>
  </si>
  <si>
    <t>正常</t>
  </si>
  <si>
    <t>住宅、商业</t>
  </si>
  <si>
    <t>住宅、商业</t>
    <phoneticPr fontId="31" type="noConversion"/>
  </si>
  <si>
    <t>城镇住宅用地、商服用地(批发零售用地、住宿餐饮用地、商务金融用地、其它商服用地)</t>
  </si>
  <si>
    <t>较规则</t>
  </si>
  <si>
    <t>较规则</t>
    <phoneticPr fontId="31" type="noConversion"/>
  </si>
  <si>
    <t>六通一平</t>
  </si>
  <si>
    <t>六通一平</t>
    <phoneticPr fontId="31" type="noConversion"/>
  </si>
  <si>
    <t>五通一平</t>
  </si>
  <si>
    <t>五通一平</t>
    <phoneticPr fontId="31" type="noConversion"/>
  </si>
  <si>
    <t>四通一平</t>
    <phoneticPr fontId="31" type="noConversion"/>
  </si>
  <si>
    <t>三通一平</t>
  </si>
  <si>
    <t>三通一平</t>
    <phoneticPr fontId="31" type="noConversion"/>
  </si>
  <si>
    <t>较好</t>
  </si>
  <si>
    <t>较好</t>
    <phoneticPr fontId="31" type="noConversion"/>
  </si>
  <si>
    <t>快速路</t>
    <phoneticPr fontId="31" type="noConversion"/>
  </si>
  <si>
    <t>主干道</t>
    <phoneticPr fontId="31" type="noConversion"/>
  </si>
  <si>
    <t>次干道</t>
    <phoneticPr fontId="31" type="noConversion"/>
  </si>
  <si>
    <t>支路</t>
  </si>
  <si>
    <t>支路</t>
    <phoneticPr fontId="31" type="noConversion"/>
  </si>
  <si>
    <t>六通</t>
  </si>
  <si>
    <t>较不规则</t>
    <phoneticPr fontId="31" type="noConversion"/>
  </si>
  <si>
    <t>较差</t>
  </si>
  <si>
    <t>一般</t>
  </si>
  <si>
    <r>
      <rPr>
        <sz val="10"/>
        <color theme="9" tint="-0.249977111117893"/>
        <rFont val="宋体"/>
        <family val="3"/>
        <charset val="134"/>
      </rPr>
      <t>人民币</t>
    </r>
    <r>
      <rPr>
        <sz val="10"/>
        <color theme="9" tint="-0.249977111117893"/>
        <rFont val="Arial"/>
        <family val="2"/>
      </rPr>
      <t>441130000</t>
    </r>
    <r>
      <rPr>
        <sz val="10"/>
        <color theme="9" tint="-0.249977111117893"/>
        <rFont val="宋体"/>
        <family val="3"/>
        <charset val="134"/>
      </rPr>
      <t>元整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</si>
  <si>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佛三国用（</t>
    </r>
    <r>
      <rPr>
        <sz val="12"/>
        <color theme="9" tint="-0.249977111117893"/>
        <rFont val="Arial"/>
        <family val="2"/>
      </rPr>
      <t>2009</t>
    </r>
    <r>
      <rPr>
        <sz val="12"/>
        <color theme="9" tint="-0.249977111117893"/>
        <rFont val="宋体"/>
        <family val="3"/>
        <charset val="134"/>
      </rPr>
      <t>）</t>
    </r>
    <r>
      <rPr>
        <sz val="12"/>
        <color theme="9" tint="-0.249977111117893"/>
        <rFont val="Arial"/>
        <family val="2"/>
      </rPr>
      <t>20094100161</t>
    </r>
    <r>
      <rPr>
        <sz val="12"/>
        <color theme="9" tint="-0.249977111117893"/>
        <rFont val="宋体"/>
        <family val="3"/>
        <charset val="134"/>
      </rPr>
      <t>号</t>
    </r>
    <r>
      <rPr>
        <sz val="12"/>
        <color theme="9" tint="-0.249977111117893"/>
        <rFont val="Arial"/>
        <family val="2"/>
      </rPr>
      <t>]</t>
    </r>
    <phoneticPr fontId="6" type="noConversion"/>
  </si>
  <si>
    <t>请录依据文件名称：关于调低城市基础设施配套费标准的通知
粤价【2003】160号  http://www.qyup.gov.cn/qysghj/sfbz1/201702/097cfa49ce584d3fa23302d07c339666.shtml</t>
    <phoneticPr fontId="3" type="noConversion"/>
  </si>
  <si>
    <t>奥特莱斯置业广东有限公司</t>
    <phoneticPr fontId="6" type="noConversion"/>
  </si>
  <si>
    <t>已注销</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</si>
  <si>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粤房地权证佛字第</t>
    </r>
    <r>
      <rPr>
        <sz val="12"/>
        <color theme="9" tint="-0.249977111117893"/>
        <rFont val="Arial"/>
        <family val="2"/>
      </rPr>
      <t>0410116450</t>
    </r>
    <r>
      <rPr>
        <sz val="12"/>
        <color theme="9" tint="-0.249977111117893"/>
        <rFont val="宋体"/>
        <family val="3"/>
        <charset val="134"/>
      </rPr>
      <t>号等</t>
    </r>
    <r>
      <rPr>
        <sz val="12"/>
        <color theme="9" tint="-0.249977111117893"/>
        <rFont val="Arial"/>
        <family val="2"/>
      </rPr>
      <t>36</t>
    </r>
    <r>
      <rPr>
        <sz val="12"/>
        <color theme="9" tint="-0.249977111117893"/>
        <rFont val="宋体"/>
        <family val="3"/>
        <charset val="134"/>
      </rPr>
      <t>本</t>
    </r>
    <r>
      <rPr>
        <sz val="12"/>
        <color theme="9" tint="-0.249977111117893"/>
        <rFont val="Arial"/>
        <family val="2"/>
      </rPr>
      <t>]</t>
    </r>
    <r>
      <rPr>
        <sz val="12"/>
        <color theme="9" tint="-0.249977111117893"/>
        <rFont val="宋体"/>
        <family val="3"/>
        <charset val="134"/>
      </rPr>
      <t/>
    </r>
    <phoneticPr fontId="6" type="noConversion"/>
  </si>
  <si>
    <t>锦州银行股份有限公司辽阳望京支行</t>
    <phoneticPr fontId="6" type="noConversion"/>
  </si>
  <si>
    <t>配建</t>
    <phoneticPr fontId="31" type="noConversion"/>
  </si>
  <si>
    <t>无</t>
    <phoneticPr fontId="31" type="noConversion"/>
  </si>
  <si>
    <t>有</t>
    <phoneticPr fontId="31" type="noConversion"/>
  </si>
  <si>
    <t>无</t>
    <phoneticPr fontId="31" type="noConversion"/>
  </si>
  <si>
    <t>新城路南</t>
    <phoneticPr fontId="31" type="noConversion"/>
  </si>
  <si>
    <t>西青大道</t>
    <phoneticPr fontId="31" type="noConversion"/>
  </si>
  <si>
    <t>次干道</t>
  </si>
  <si>
    <t>恒大</t>
    <phoneticPr fontId="3" type="noConversion"/>
  </si>
  <si>
    <t>碧桂园</t>
    <phoneticPr fontId="3" type="noConversion"/>
  </si>
  <si>
    <t>中昂</t>
    <phoneticPr fontId="31" type="noConversion"/>
  </si>
  <si>
    <t>情况4</t>
  </si>
  <si>
    <t>仅含出让金</t>
  </si>
  <si>
    <t>投入资金</t>
    <phoneticPr fontId="143" type="noConversion"/>
  </si>
  <si>
    <t>科目代码</t>
    <phoneticPr fontId="143" type="noConversion"/>
  </si>
  <si>
    <t>投入具体科目和分类（开发成本）</t>
    <phoneticPr fontId="143" type="noConversion"/>
  </si>
  <si>
    <t>截止2018年2月28日</t>
    <phoneticPr fontId="143" type="noConversion"/>
  </si>
  <si>
    <t>5001.01</t>
  </si>
  <si>
    <t>地价款</t>
  </si>
  <si>
    <t>5001.03</t>
  </si>
  <si>
    <t>前期工程费</t>
  </si>
  <si>
    <t>5001.04</t>
  </si>
  <si>
    <t>基础设施红线内</t>
  </si>
  <si>
    <t>5001.05</t>
  </si>
  <si>
    <t>基础设施红线外</t>
  </si>
  <si>
    <t>5001.06</t>
  </si>
  <si>
    <t>园林环境设施费</t>
  </si>
  <si>
    <t>5001.07</t>
  </si>
  <si>
    <t>建安工程费</t>
  </si>
  <si>
    <t>5001.08</t>
  </si>
  <si>
    <t>配套设施费</t>
  </si>
  <si>
    <t>5001.09</t>
  </si>
  <si>
    <t>开发间接费用</t>
  </si>
  <si>
    <t>5001.10</t>
  </si>
  <si>
    <t>资本化利息</t>
  </si>
  <si>
    <t>5001.14</t>
  </si>
  <si>
    <t>土地使用税</t>
  </si>
  <si>
    <t>5001</t>
  </si>
  <si>
    <t>开发成本</t>
  </si>
  <si>
    <t>预付账款</t>
    <phoneticPr fontId="143" type="noConversion"/>
  </si>
  <si>
    <t>奥莱建设及运营投入（期间损益）</t>
  </si>
  <si>
    <t>小计</t>
    <phoneticPr fontId="143"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</si>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</sst>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_ * #,##0.00_ ;_ * \-#,##0.00_ ;_ * &quot;-&quot;??_ ;_ @_ "/>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宋体"/>
      <family val="2"/>
      <scheme val="minor"/>
    </font>
    <font>
      <sz val="10"/>
      <color indexed="8"/>
      <name val="宋体"/>
      <family val="2"/>
      <scheme val="minor"/>
    </font>
    <font>
      <sz val="10"/>
      <color rgb="FF000000"/>
      <name val="Dialog.plain"/>
    </font>
    <font>
      <sz val="9"/>
      <color indexed="8"/>
      <name val="Dialog.plain"/>
      <charset val="1"/>
    </font>
    <font>
      <b/>
      <sz val="10"/>
      <color indexed="8"/>
      <name val="宋体"/>
      <family val="3"/>
      <charset val="134"/>
      <scheme val="minor"/>
    </font>
    <font>
      <sz val="10"/>
      <color rgb="FF000000"/>
      <name val="宋体"/>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254" fillId="0" borderId="0">
      <alignment vertical="center"/>
    </xf>
    <xf numFmtId="0" fontId="56" fillId="0" borderId="0"/>
    <xf numFmtId="0" fontId="56" fillId="0" borderId="0"/>
    <xf numFmtId="0" fontId="56" fillId="0" borderId="0"/>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41" fillId="0" borderId="24" xfId="0" applyFont="1" applyFill="1" applyBorder="1" applyAlignment="1" applyProtection="1">
      <alignment horizontal="left" vertical="center" wrapText="1"/>
      <protection locked="0"/>
    </xf>
    <xf numFmtId="0" fontId="64" fillId="7" borderId="151" xfId="0" applyFont="1" applyFill="1" applyBorder="1" applyAlignment="1" applyProtection="1">
      <alignment vertical="center"/>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5" fillId="0" borderId="0" xfId="13" applyFont="1">
      <alignment vertical="center"/>
    </xf>
    <xf numFmtId="0" fontId="255" fillId="0" borderId="1" xfId="13" applyFont="1" applyBorder="1" applyAlignment="1">
      <alignment horizontal="center" vertical="center"/>
    </xf>
    <xf numFmtId="0" fontId="255" fillId="0" borderId="0" xfId="13" applyFont="1" applyAlignment="1">
      <alignment horizontal="center" vertical="center"/>
    </xf>
    <xf numFmtId="0" fontId="256" fillId="0" borderId="1" xfId="13" applyFont="1" applyFill="1" applyBorder="1" applyAlignment="1">
      <alignment horizontal="left" vertical="center"/>
    </xf>
    <xf numFmtId="39" fontId="255" fillId="0" borderId="1" xfId="13" applyNumberFormat="1" applyFont="1" applyBorder="1">
      <alignment vertical="center"/>
    </xf>
    <xf numFmtId="39" fontId="255" fillId="0" borderId="0" xfId="13" applyNumberFormat="1" applyFont="1">
      <alignment vertical="center"/>
    </xf>
    <xf numFmtId="0" fontId="257" fillId="0" borderId="0" xfId="14" applyFont="1" applyAlignment="1" applyProtection="1">
      <alignment horizontal="left" vertical="center"/>
    </xf>
    <xf numFmtId="0" fontId="257" fillId="0" borderId="0" xfId="15" applyFont="1" applyAlignment="1" applyProtection="1">
      <alignment horizontal="left" vertical="center"/>
    </xf>
    <xf numFmtId="39" fontId="257" fillId="0" borderId="0" xfId="15" applyNumberFormat="1" applyFont="1" applyAlignment="1" applyProtection="1">
      <alignment horizontal="right" vertical="center"/>
    </xf>
    <xf numFmtId="39" fontId="257" fillId="0" borderId="0" xfId="16" applyNumberFormat="1" applyFont="1" applyAlignment="1" applyProtection="1">
      <alignment horizontal="right" vertical="center"/>
    </xf>
    <xf numFmtId="197" fontId="255" fillId="0" borderId="1" xfId="13" applyNumberFormat="1" applyFont="1" applyBorder="1">
      <alignment vertical="center"/>
    </xf>
    <xf numFmtId="197" fontId="258" fillId="0" borderId="1" xfId="13" applyNumberFormat="1" applyFont="1" applyBorder="1">
      <alignment vertical="center"/>
    </xf>
    <xf numFmtId="0" fontId="255" fillId="0" borderId="1" xfId="13" applyFont="1" applyBorder="1" applyAlignment="1">
      <alignment horizontal="left" vertical="center"/>
    </xf>
    <xf numFmtId="198" fontId="259" fillId="0" borderId="1" xfId="13" applyNumberFormat="1" applyFont="1" applyFill="1" applyBorder="1" applyAlignment="1">
      <alignment vertical="center"/>
    </xf>
    <xf numFmtId="198" fontId="258" fillId="0" borderId="1" xfId="13" applyNumberFormat="1" applyFont="1" applyBorder="1">
      <alignment vertical="center"/>
    </xf>
    <xf numFmtId="0" fontId="255" fillId="0" borderId="1" xfId="13" applyFont="1" applyBorder="1">
      <alignment vertical="center"/>
    </xf>
    <xf numFmtId="181" fontId="55" fillId="17" borderId="61" xfId="0" applyNumberFormat="1" applyFont="1" applyFill="1" applyBorder="1" applyAlignment="1" applyProtection="1">
      <alignment horizontal="center" vertical="center"/>
      <protection locked="0"/>
    </xf>
    <xf numFmtId="43" fontId="255" fillId="0" borderId="0" xfId="13"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常规" xfId="0" builtinId="0"/>
    <cellStyle name="常规 10" xfId="13"/>
    <cellStyle name="常规 13" xfId="16"/>
    <cellStyle name="常规 14" xfId="14"/>
    <cellStyle name="常规 15" xfId="15"/>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315;&#23665;&#26032;&#26124;&#23567;&#38215;&#27719;&#24635;&#34920;%20(&#33258;&#21160;&#20445;&#23384;&#303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15;&#23665;&#26032;&#26124;&#23567;&#38215;&#27719;&#24635;&#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A&#22320;&#22359;&#183;&#39640;&#23618;&#20303;&#23429;&#20844;&#23507;&#21450;&#37202;&#24215;&#65289;4.0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B&#22320;&#22359;&#65289;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C&#22320;&#22359;&#65289;4.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03;&#22320;&#65288;D&#22320;&#22359;&#65289;4.0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2303;&#22320;&#65288;E&#22320;&#22359;&#65289;4.0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303;&#22320;&#65288;F&#22320;&#22359;&#65289;4.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价值汇总"/>
      <sheetName val="A地块现房（奥莱及会所）"/>
      <sheetName val="A地块土地（高层住宅、公寓及酒店）"/>
      <sheetName val="C地块（别墅）"/>
      <sheetName val="B、C（其余）、D、E、F地块"/>
      <sheetName val="土地案例（1）"/>
      <sheetName val="土地案例（2）"/>
      <sheetName val="现房案例"/>
      <sheetName val="Sheet1"/>
    </sheetNames>
    <sheetDataSet>
      <sheetData sheetId="0">
        <row r="3">
          <cell r="D3">
            <v>98588.09</v>
          </cell>
          <cell r="F3">
            <v>172253.55</v>
          </cell>
          <cell r="I3">
            <v>2000</v>
          </cell>
          <cell r="J3">
            <v>0.15</v>
          </cell>
          <cell r="K3">
            <v>2.5</v>
          </cell>
          <cell r="L3">
            <v>0.03</v>
          </cell>
          <cell r="M3">
            <v>0.1</v>
          </cell>
          <cell r="N3">
            <v>1.4999999999999999E-2</v>
          </cell>
          <cell r="O3">
            <v>1.5E-3</v>
          </cell>
          <cell r="P3">
            <v>0.02</v>
          </cell>
          <cell r="R3">
            <v>0.56999999999999995</v>
          </cell>
          <cell r="Y3">
            <v>5</v>
          </cell>
          <cell r="Z3">
            <v>5</v>
          </cell>
        </row>
        <row r="4">
          <cell r="D4">
            <v>2967.81</v>
          </cell>
          <cell r="I4">
            <v>4000</v>
          </cell>
          <cell r="J4">
            <v>0.05</v>
          </cell>
          <cell r="K4">
            <v>2</v>
          </cell>
          <cell r="L4">
            <v>0.03</v>
          </cell>
          <cell r="M4">
            <v>0.1</v>
          </cell>
          <cell r="N4">
            <v>1.4999999999999999E-2</v>
          </cell>
          <cell r="O4">
            <v>1.5E-3</v>
          </cell>
          <cell r="P4">
            <v>0.01</v>
          </cell>
        </row>
      </sheetData>
      <sheetData sheetId="1"/>
      <sheetData sheetId="2"/>
      <sheetData sheetId="3"/>
      <sheetData sheetId="4"/>
      <sheetData sheetId="5">
        <row r="3">
          <cell r="A3" t="str">
            <v>佛山市三水区乐平镇新城区C区16号</v>
          </cell>
          <cell r="F3">
            <v>105523.3</v>
          </cell>
          <cell r="I3" t="str">
            <v>2018-02-08</v>
          </cell>
        </row>
        <row r="14">
          <cell r="A14" t="str">
            <v>佛山市三水区西南街道建设一路2号</v>
          </cell>
          <cell r="F14">
            <v>15970.49</v>
          </cell>
          <cell r="I14" t="str">
            <v>2017-06-15</v>
          </cell>
        </row>
        <row r="16">
          <cell r="A16" t="str">
            <v>佛山市三水区白坭镇科技大道3号</v>
          </cell>
          <cell r="F16">
            <v>32726.37</v>
          </cell>
          <cell r="I16" t="str">
            <v>2017-05-05</v>
          </cell>
        </row>
      </sheetData>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价值汇总"/>
      <sheetName val="A地块现房（奥莱及会所）"/>
      <sheetName val="A地块土地（高层住宅、公寓及酒店）"/>
      <sheetName val="C地块（别墅）"/>
      <sheetName val="B、C（其余）、D、E、F地块"/>
      <sheetName val="土地案例（1）"/>
      <sheetName val="土地案例（2）"/>
    </sheetNames>
    <sheetDataSet>
      <sheetData sheetId="0">
        <row r="3">
          <cell r="D3">
            <v>98588.09</v>
          </cell>
          <cell r="H3">
            <v>2</v>
          </cell>
        </row>
      </sheetData>
      <sheetData sheetId="1" refreshError="1"/>
      <sheetData sheetId="2">
        <row r="3">
          <cell r="E3">
            <v>14135.36</v>
          </cell>
        </row>
      </sheetData>
      <sheetData sheetId="3" refreshError="1"/>
      <sheetData sheetId="4">
        <row r="4">
          <cell r="B4">
            <v>200000</v>
          </cell>
        </row>
      </sheetData>
      <sheetData sheetId="5">
        <row r="7">
          <cell r="A7" t="str">
            <v>佛山市三水区乐平镇中心城区9号</v>
          </cell>
          <cell r="E7" t="str">
            <v>城镇住宅用地、商服用地(批发零售用地、住宿餐饮用地、商务金融用地、其它商服用地)</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公寓）"/>
      <sheetName val="酒店收入计算"/>
      <sheetName val="成本逼近法"/>
      <sheetName val="不动产收益法（酒店）"/>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81593.87</v>
          </cell>
          <cell r="C14">
            <v>147746.54999999999</v>
          </cell>
          <cell r="D14">
            <v>37924</v>
          </cell>
          <cell r="G14" t="str">
            <v>——</v>
          </cell>
          <cell r="H14">
            <v>37924</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公寓）"/>
      <sheetName val="酒店收入计算"/>
      <sheetName val="成本逼近法"/>
      <sheetName val="不动产收益法（商业）"/>
      <sheetName val="不动产收益法（酒店）"/>
      <sheetName val="不动产收益法（配套设施）"/>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441970</v>
          </cell>
          <cell r="C14">
            <v>294647</v>
          </cell>
          <cell r="D14">
            <v>246469</v>
          </cell>
          <cell r="G14" t="str">
            <v>——</v>
          </cell>
          <cell r="H14">
            <v>246469</v>
          </cell>
          <cell r="I14" t="str">
            <v>——</v>
          </cell>
        </row>
      </sheetData>
      <sheetData sheetId="16">
        <row r="19">
          <cell r="G19">
            <v>246469</v>
          </cell>
        </row>
      </sheetData>
      <sheetData sheetId="17"/>
      <sheetData sheetId="18">
        <row r="50">
          <cell r="C50">
            <v>5903</v>
          </cell>
        </row>
      </sheetData>
      <sheetData sheetId="19"/>
      <sheetData sheetId="20"/>
      <sheetData sheetId="21"/>
      <sheetData sheetId="22"/>
      <sheetData sheetId="23"/>
      <sheetData sheetId="24"/>
      <sheetData sheetId="25"/>
      <sheetData sheetId="26"/>
      <sheetData sheetId="27"/>
      <sheetData sheetId="28">
        <row r="3">
          <cell r="B3">
            <v>5250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独栋)"/>
      <sheetName val="不动产收益法（公寓）"/>
      <sheetName val="酒店收入计算"/>
      <sheetName val="成本逼近法"/>
      <sheetName val="不动产比较法-住宅 (联排) "/>
      <sheetName val="不动产比较法-住宅 (叠拼)"/>
      <sheetName val="不动产收益法（商业）"/>
      <sheetName val="不动产收益法（配套商业）"/>
      <sheetName val="不动产收益法（酒店）"/>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257461.51</v>
          </cell>
          <cell r="C14">
            <v>332915.09999999998</v>
          </cell>
          <cell r="D14">
            <v>170020</v>
          </cell>
          <cell r="G14" t="str">
            <v>——</v>
          </cell>
          <cell r="H14">
            <v>170020</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公寓）"/>
      <sheetName val="酒店收入计算"/>
      <sheetName val="成本逼近法"/>
      <sheetName val="不动产收益法（商业）"/>
      <sheetName val="不动产收益法（酒店）"/>
      <sheetName val="不动产收益法（配套设施）"/>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170400</v>
          </cell>
          <cell r="C14">
            <v>344491.3</v>
          </cell>
          <cell r="D14">
            <v>100639</v>
          </cell>
          <cell r="G14" t="str">
            <v>——</v>
          </cell>
          <cell r="H14">
            <v>100639</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公寓）"/>
      <sheetName val="酒店收入计算"/>
      <sheetName val="成本逼近法"/>
      <sheetName val="不动产收益法（商业）"/>
      <sheetName val="不动产收益法（配套设施）"/>
      <sheetName val="不动产收益法（酒店）"/>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766090</v>
          </cell>
          <cell r="C14">
            <v>494378.8</v>
          </cell>
          <cell r="D14">
            <v>371511</v>
          </cell>
          <cell r="G14" t="str">
            <v>——</v>
          </cell>
          <cell r="H14">
            <v>371511</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公寓）"/>
      <sheetName val="酒店收入计算"/>
      <sheetName val="成本逼近法"/>
      <sheetName val="不动产收益法（商业）"/>
      <sheetName val="不动产收益法（配套设施）"/>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66400</v>
          </cell>
          <cell r="C14">
            <v>100052.1</v>
          </cell>
          <cell r="D14">
            <v>39389</v>
          </cell>
          <cell r="G14" t="str">
            <v>——</v>
          </cell>
          <cell r="H14">
            <v>39389</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广东省佛山市三水区芦苞镇芦苞大道33号房地产抵押价值预评估</v>
      </c>
    </row>
    <row r="3" spans="1:2" s="1595" customFormat="1">
      <c r="A3" s="1593" t="s">
        <v>1221</v>
      </c>
      <c r="B3" s="1594" t="str">
        <f>'预评函-封皮'!B40</f>
        <v>奥特莱斯置业广东有限公司</v>
      </c>
    </row>
    <row r="4" spans="1:2" s="1595" customFormat="1">
      <c r="A4" s="1593" t="s">
        <v>1222</v>
      </c>
      <c r="B4" s="1594" t="str">
        <f ca="1">'预评函-封皮'!B46</f>
        <v>郑燚（注册号：1120070131)、王鹏（注册号：1120050019)</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受贵公司委托，我公司对广东省佛山市三水区芦苞镇芦苞大道33号房地产抵押价值进行了预评估。</v>
      </c>
    </row>
    <row r="7" spans="1:2" s="1595" customFormat="1">
      <c r="A7" s="1593" t="s">
        <v>1264</v>
      </c>
      <c r="B7" s="1594" t="str">
        <f>'预评函-1'!A7</f>
        <v>估价对象为广东省佛山市三水区芦苞镇芦苞大道33号房地产，为奥特莱斯置业广东有限公司所有。根据《国有土地使用证》[佛三国用（2009）20094100161号]，估价对象（分摊）出让国有建设用地使用权面积为172253.55平方米。根据《房屋所有权证》[粤房地权证佛字第0410116450号等36本]，估价对象建筑面积为101555.9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广东省佛山市三水区芦苞镇芦苞大道33号房地产,属奥特莱斯置业广东有限公司开发建设的居住项目，该项目尚在开发建设中。根据《国有土地使用证》[佛三国用（2009）20094100161号]，估价对象（分摊）出让国有建设用地使用权面积为172253.55平方米。根据《房屋所有权证》[粤房地权证佛字第0410116450号等36本]，估价对象规划建筑面积为101555.9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为估价委托人在向中诚信托有限责任公司办理贷款手续过程中，确定房地产抵押贷款额度提供参考依据而评估房地产抵押价值。</v>
      </c>
    </row>
    <row r="12" spans="1:2" s="1595" customFormat="1">
      <c r="A12" s="1593" t="s">
        <v>1226</v>
      </c>
      <c r="B12" s="1594" t="str">
        <f>'预评函-1'!A15</f>
        <v>2018年3月21日（评估专业人员实地查勘之日）</v>
      </c>
    </row>
    <row r="13" spans="1:2" s="1595" customFormat="1">
      <c r="A13" s="1593" t="s">
        <v>1227</v>
      </c>
      <c r="B13" s="1594" t="str">
        <f>'预评函-1'!A18</f>
        <v>本次估价的“房地产价值”是指在正常市场情况下，在价值时点2018年3月21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125871</v>
      </c>
    </row>
    <row r="21" spans="1:2" s="1595" customFormat="1">
      <c r="A21" s="1593" t="s">
        <v>1235</v>
      </c>
      <c r="B21" s="1594">
        <f ca="1">'预评函-2'!D7</f>
        <v>12394</v>
      </c>
    </row>
    <row r="22" spans="1:2" s="1595" customFormat="1">
      <c r="A22" s="1593" t="s">
        <v>1236</v>
      </c>
      <c r="B22" s="1594" t="str">
        <f ca="1">'预评函-2'!D6</f>
        <v>壹拾贰亿伍仟捌佰柒拾壹万元整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125871</v>
      </c>
    </row>
    <row r="35" spans="1:2" s="1595" customFormat="1">
      <c r="A35" s="1593" t="s">
        <v>1275</v>
      </c>
      <c r="B35" s="1594">
        <f ca="1">'预评函-2'!D18</f>
        <v>12394</v>
      </c>
    </row>
    <row r="36" spans="1:2" s="1595" customFormat="1">
      <c r="A36" s="1593" t="s">
        <v>1242</v>
      </c>
      <c r="B36" s="1594" t="str">
        <f ca="1">'预评函-2'!D17</f>
        <v>壹拾贰亿伍仟捌佰柒拾壹万元整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广东省佛山市三水区芦苞镇芦苞大道33号房地产</v>
      </c>
    </row>
    <row r="42" spans="1:2" s="1595" customFormat="1">
      <c r="A42" s="1593" t="s">
        <v>1288</v>
      </c>
      <c r="B42" s="1594" t="str">
        <f>'预评函-3'!B2</f>
        <v>建筑面积</v>
      </c>
    </row>
    <row r="43" spans="1:2" s="1595" customFormat="1">
      <c r="A43" s="1593" t="s">
        <v>1289</v>
      </c>
      <c r="B43" s="1594">
        <f>'预评函-3'!B4</f>
        <v>101555.9</v>
      </c>
    </row>
    <row r="44" spans="1:2" s="1595" customFormat="1">
      <c r="A44" s="1593" t="s">
        <v>1273</v>
      </c>
      <c r="B44" s="1594" t="str">
        <f>'预评函-3'!C2</f>
        <v>(分摊)土地面积</v>
      </c>
    </row>
    <row r="45" spans="1:2" s="1595" customFormat="1">
      <c r="A45" s="1593" t="s">
        <v>1245</v>
      </c>
      <c r="B45" s="1594">
        <f>'预评函-3'!C4</f>
        <v>172253.55</v>
      </c>
    </row>
    <row r="46" spans="1:2" s="1595" customFormat="1">
      <c r="A46" s="1593" t="s">
        <v>1271</v>
      </c>
      <c r="B46" s="1594" t="str">
        <f>'预评函-3'!D2</f>
        <v>出让国有建设用地使用权价值</v>
      </c>
    </row>
    <row r="47" spans="1:2" s="1595" customFormat="1">
      <c r="A47" s="1593" t="s">
        <v>1246</v>
      </c>
      <c r="B47" s="1594">
        <f ca="1">'预评函-3'!D4</f>
        <v>94781</v>
      </c>
    </row>
    <row r="48" spans="1:2" s="1595" customFormat="1">
      <c r="A48" s="1593" t="s">
        <v>1247</v>
      </c>
      <c r="B48" s="1594">
        <f ca="1">'预评函-3'!E4</f>
        <v>9333</v>
      </c>
    </row>
    <row r="49" spans="1:2" s="1595" customFormat="1">
      <c r="A49" s="1593" t="s">
        <v>1248</v>
      </c>
      <c r="B49" s="1594" t="str">
        <f ca="1">'预评函-3'!D5</f>
        <v>玖亿肆仟柒佰捌拾壹万元整</v>
      </c>
    </row>
    <row r="50" spans="1:2" s="1595" customFormat="1">
      <c r="A50" s="1593" t="s">
        <v>1272</v>
      </c>
      <c r="B50" s="1594" t="str">
        <f>'预评函-3'!F2</f>
        <v>在建建筑物价值</v>
      </c>
    </row>
    <row r="51" spans="1:2" s="1595" customFormat="1">
      <c r="A51" s="1593" t="s">
        <v>1249</v>
      </c>
      <c r="B51" s="1594">
        <f ca="1">'预评函-3'!F4</f>
        <v>31090</v>
      </c>
    </row>
    <row r="52" spans="1:2" s="1595" customFormat="1">
      <c r="A52" s="1593" t="s">
        <v>1250</v>
      </c>
      <c r="B52" s="1594">
        <f ca="1">'预评函-3'!G4</f>
        <v>3061</v>
      </c>
    </row>
    <row r="53" spans="1:2" s="1595" customFormat="1">
      <c r="A53" s="1593" t="s">
        <v>1278</v>
      </c>
      <c r="B53" s="1594" t="str">
        <f ca="1">'预评函-3'!F5</f>
        <v>叁亿壹仟零玖拾万元整</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权利人为锦州银行股份有限公司辽阳望京支行，权利范围为，权利价值为人民币441130000元整。</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王鹏</v>
      </c>
    </row>
    <row r="73" spans="1:2" s="1589" customFormat="1" ht="15" thickBot="1">
      <c r="A73" s="1596" t="s">
        <v>1263</v>
      </c>
      <c r="B73" s="1597">
        <f ca="1">'预评函-4'!B5</f>
        <v>1120050019</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5" sqref="X25"/>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3074</v>
      </c>
      <c r="C18" s="2017"/>
    </row>
    <row r="19" spans="1:3">
      <c r="A19" s="2016" t="s">
        <v>1769</v>
      </c>
      <c r="B19" s="2016" t="s">
        <v>3075</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奥特莱斯置业广东有限公司拟使用广东省佛山市三水区芦苞镇芦苞大道33号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4" t="s">
        <v>864</v>
      </c>
      <c r="C54" s="2021" t="s">
        <v>1281</v>
      </c>
    </row>
    <row r="55" spans="1:4">
      <c r="A55" s="3029"/>
      <c r="B55" s="2024" t="s">
        <v>865</v>
      </c>
      <c r="C55" s="2021" t="s">
        <v>1282</v>
      </c>
    </row>
    <row r="56" spans="1:4">
      <c r="A56" s="3029"/>
      <c r="B56" s="2024" t="s">
        <v>866</v>
      </c>
      <c r="C56" s="2021" t="s">
        <v>1286</v>
      </c>
    </row>
    <row r="57" spans="1:4">
      <c r="A57" s="302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1777</v>
      </c>
      <c r="B1" s="3038" t="str">
        <f>IF(B10="北京市","北京市",C10)&amp;F10&amp;IF(结果表!G1="在建","出让国有建设用地使用权及在建建筑物",IF(结果表!G1="土地","出让国有建设用地使用权",))&amp;B9&amp;"预评估"</f>
        <v>广东省佛山市三水区芦苞镇芦苞大道33号房地产抵押价值预评估</v>
      </c>
      <c r="C1" s="3039"/>
      <c r="D1" s="3039"/>
      <c r="E1" s="3039"/>
      <c r="F1" s="3039"/>
      <c r="G1" s="3039"/>
      <c r="H1" s="3039"/>
      <c r="I1" s="304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广东省佛山市三水区芦苞镇芦苞大道33号房地产抵押价值</v>
      </c>
    </row>
    <row r="2" spans="1:19" ht="18" customHeight="1">
      <c r="A2" s="2028" t="s">
        <v>1778</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广东省佛山市三水区芦苞镇芦苞大道33号房地产</v>
      </c>
    </row>
    <row r="3" spans="1:19" ht="18" customHeight="1">
      <c r="A3" s="2037" t="s">
        <v>1779</v>
      </c>
      <c r="B3" s="2038">
        <v>43180</v>
      </c>
      <c r="C3" s="2039" t="s">
        <v>1780</v>
      </c>
      <c r="D3" s="2038">
        <f>B3</f>
        <v>43180</v>
      </c>
      <c r="E3" s="2028"/>
      <c r="F3" s="2028"/>
      <c r="G3" s="2028"/>
      <c r="H3" s="2028"/>
      <c r="I3" s="2028"/>
      <c r="J3" s="2028"/>
      <c r="K3" s="2029"/>
      <c r="L3" s="2030"/>
      <c r="M3" s="2030"/>
      <c r="N3" s="2031"/>
      <c r="O3" s="2032"/>
      <c r="P3" s="2031"/>
      <c r="Q3" s="2031"/>
      <c r="R3" s="2031"/>
      <c r="S3" s="2033"/>
    </row>
    <row r="4" spans="1:19" ht="18" customHeight="1" thickBot="1">
      <c r="A4" s="2040" t="s">
        <v>1781</v>
      </c>
      <c r="B4" s="2041" t="s">
        <v>3043</v>
      </c>
      <c r="C4" s="1040">
        <f ca="1">SUMIF(注册房地产估价师,B4,估价师及机构信息!B3:B24)</f>
        <v>1120070131</v>
      </c>
      <c r="D4" s="2041" t="s">
        <v>3044</v>
      </c>
      <c r="E4" s="1041">
        <f ca="1">SUMIF(注册房地产估价师,D4,估价师及机构信息!B3:B24)</f>
        <v>1120050019</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郑燚（注册号：1120070131)、王鹏（注册号：1120050019)</v>
      </c>
      <c r="L4" s="2030"/>
      <c r="M4" s="2030"/>
      <c r="N4" s="2031"/>
      <c r="O4" s="2032"/>
      <c r="P4" s="2031"/>
      <c r="Q4" s="2031"/>
      <c r="R4" s="2031"/>
      <c r="S4" s="2033"/>
    </row>
    <row r="5" spans="1:19" ht="18" customHeight="1" thickTop="1">
      <c r="A5" s="2046" t="s">
        <v>1782</v>
      </c>
      <c r="B5" s="2962" t="str">
        <f>C11</f>
        <v>奥特莱斯置业广东有限公司</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50" t="s">
        <v>3045</v>
      </c>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1784</v>
      </c>
      <c r="B7" s="2050" t="str">
        <f>C11</f>
        <v>奥特莱斯置业广东有限公司</v>
      </c>
      <c r="C7" s="2051"/>
      <c r="D7" s="2052"/>
      <c r="E7" s="2036"/>
      <c r="F7" s="2044"/>
      <c r="G7" s="2044"/>
      <c r="H7" s="2044"/>
      <c r="I7" s="2044"/>
      <c r="J7" s="2044"/>
      <c r="K7" s="2054"/>
      <c r="L7" s="2030"/>
      <c r="M7" s="2030"/>
      <c r="N7" s="2031"/>
      <c r="O7" s="2032"/>
      <c r="P7" s="2031"/>
      <c r="Q7" s="2031"/>
      <c r="R7" s="2031"/>
    </row>
    <row r="8" spans="1:19" ht="18" customHeight="1">
      <c r="A8" s="2049" t="s">
        <v>1785</v>
      </c>
      <c r="B8" s="2055" t="s">
        <v>3046</v>
      </c>
      <c r="C8" s="2056"/>
      <c r="D8" s="3041" t="s">
        <v>1786</v>
      </c>
      <c r="E8" s="2057" t="s">
        <v>3111</v>
      </c>
      <c r="F8" s="2058"/>
      <c r="G8" s="2028"/>
      <c r="H8" s="2028"/>
      <c r="I8" s="2028"/>
      <c r="J8" s="2044"/>
      <c r="K8" s="2045"/>
      <c r="L8" s="2030"/>
      <c r="M8" s="2030"/>
      <c r="N8" s="2031"/>
      <c r="O8" s="2032"/>
      <c r="P8" s="2031"/>
      <c r="Q8" s="2031"/>
      <c r="R8" s="2031"/>
    </row>
    <row r="9" spans="1:19" ht="18" customHeight="1" thickBot="1">
      <c r="A9" s="2042" t="s">
        <v>1787</v>
      </c>
      <c r="B9" s="2059" t="s">
        <v>3047</v>
      </c>
      <c r="C9" s="2060"/>
      <c r="D9" s="3042"/>
      <c r="E9" s="2059" t="s">
        <v>70</v>
      </c>
      <c r="F9" s="2061"/>
      <c r="G9" s="2062"/>
      <c r="H9" s="2062"/>
      <c r="I9" s="2062"/>
      <c r="J9" s="2044"/>
      <c r="K9" s="2054"/>
      <c r="L9" s="2030"/>
      <c r="M9" s="2030"/>
      <c r="N9" s="2031"/>
      <c r="O9" s="2032"/>
      <c r="P9" s="2031"/>
      <c r="Q9" s="2031"/>
      <c r="R9" s="2031"/>
    </row>
    <row r="10" spans="1:19" ht="18" customHeight="1" thickTop="1">
      <c r="A10" s="2063" t="s">
        <v>1788</v>
      </c>
      <c r="B10" s="2064" t="s">
        <v>3048</v>
      </c>
      <c r="C10" s="2951" t="s">
        <v>3052</v>
      </c>
      <c r="D10" s="2048"/>
      <c r="E10" s="2065" t="s">
        <v>1789</v>
      </c>
      <c r="F10" s="2066" t="s">
        <v>3051</v>
      </c>
      <c r="G10" s="2067"/>
      <c r="H10" s="2068"/>
      <c r="I10" s="2048"/>
      <c r="J10" s="2044"/>
      <c r="K10" s="2054"/>
      <c r="L10" s="2030"/>
      <c r="M10" s="2030"/>
      <c r="N10" s="2031"/>
      <c r="O10" s="2032"/>
      <c r="P10" s="2031"/>
      <c r="Q10" s="2031"/>
      <c r="R10" s="2031"/>
    </row>
    <row r="11" spans="1:19" ht="18" customHeight="1">
      <c r="A11" s="2069" t="s">
        <v>1790</v>
      </c>
      <c r="B11" s="2070" t="s">
        <v>3049</v>
      </c>
      <c r="C11" s="2952" t="s">
        <v>3110</v>
      </c>
      <c r="D11" s="2071"/>
      <c r="E11" s="2044"/>
      <c r="F11" s="2044"/>
      <c r="G11" s="2044"/>
      <c r="H11" s="2044"/>
      <c r="I11" s="2044"/>
      <c r="J11" s="2044"/>
      <c r="K11" s="2054"/>
      <c r="L11" s="2030"/>
      <c r="M11" s="2030"/>
      <c r="N11" s="2031"/>
      <c r="O11" s="2032"/>
      <c r="P11" s="2031"/>
      <c r="Q11" s="2031"/>
      <c r="R11" s="2031"/>
    </row>
    <row r="12" spans="1:19" ht="18" customHeight="1">
      <c r="A12" s="2072" t="s">
        <v>1791</v>
      </c>
      <c r="B12" s="2070" t="s">
        <v>3050</v>
      </c>
      <c r="C12" s="2073" t="s">
        <v>1792</v>
      </c>
      <c r="D12" s="2074" t="s">
        <v>1793</v>
      </c>
      <c r="E12" s="2074" t="s">
        <v>1794</v>
      </c>
      <c r="F12" s="2074" t="s">
        <v>1795</v>
      </c>
      <c r="G12" s="2074" t="s">
        <v>1796</v>
      </c>
      <c r="H12" s="2074" t="s">
        <v>1797</v>
      </c>
      <c r="I12" s="2074" t="s">
        <v>1798</v>
      </c>
      <c r="J12" s="2044"/>
      <c r="K12" s="2054"/>
      <c r="L12" s="2030"/>
      <c r="M12" s="2030"/>
      <c r="N12" s="2031"/>
      <c r="O12" s="2032"/>
      <c r="P12" s="2031"/>
      <c r="Q12" s="2031"/>
      <c r="R12" s="2031"/>
    </row>
    <row r="13" spans="1:19" ht="18" customHeight="1">
      <c r="A13" s="2075"/>
      <c r="B13" s="2076"/>
      <c r="C13" s="2077" t="s">
        <v>1799</v>
      </c>
      <c r="D13" s="2078">
        <v>65506</v>
      </c>
      <c r="E13" s="2078">
        <v>54549</v>
      </c>
      <c r="F13" s="2078"/>
      <c r="G13" s="2078"/>
      <c r="H13" s="2078"/>
      <c r="I13" s="1050"/>
      <c r="J13" s="2044"/>
      <c r="K13" s="2054"/>
      <c r="L13" s="2030"/>
      <c r="M13" s="2030"/>
      <c r="N13" s="2031"/>
      <c r="O13" s="2032"/>
      <c r="P13" s="2031"/>
      <c r="Q13" s="2031"/>
      <c r="R13" s="2031"/>
    </row>
    <row r="14" spans="1:19" ht="18" customHeight="1">
      <c r="A14" s="2075"/>
      <c r="B14" s="2076"/>
      <c r="C14" s="2077" t="s">
        <v>1800</v>
      </c>
      <c r="D14" s="1053">
        <v>70</v>
      </c>
      <c r="E14" s="1053">
        <v>40</v>
      </c>
      <c r="F14" s="1053"/>
      <c r="G14" s="1053"/>
      <c r="H14" s="1053"/>
      <c r="I14" s="1053"/>
      <c r="J14" s="2044"/>
      <c r="K14" s="2079"/>
      <c r="L14" s="2030"/>
      <c r="M14" s="2030"/>
      <c r="N14" s="2031"/>
      <c r="O14" s="2032"/>
      <c r="P14" s="2031"/>
      <c r="Q14" s="2031"/>
      <c r="R14" s="2031"/>
    </row>
    <row r="15" spans="1:19" ht="18" customHeight="1">
      <c r="A15" s="2063"/>
      <c r="B15" s="2080"/>
      <c r="C15" s="2077" t="s">
        <v>1801</v>
      </c>
      <c r="D15" s="1052">
        <f>IF(B12="出让",IF(D13="","",ROUNDDOWN(MIN((D13-$D$3)/365,D14),2)),D14)</f>
        <v>61.16</v>
      </c>
      <c r="E15" s="1052">
        <f>IF(B12="出让",IF(E13="","",ROUNDDOWN(MIN((E13-$D$3)/365,E14),2)),E14)</f>
        <v>31.14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5" t="s">
        <v>1802</v>
      </c>
      <c r="B16" s="3048"/>
      <c r="C16" s="3049"/>
      <c r="D16" s="3050"/>
      <c r="E16" s="2084" t="s">
        <v>1803</v>
      </c>
      <c r="F16" s="3051"/>
      <c r="G16" s="3052"/>
      <c r="H16" s="3052"/>
      <c r="I16" s="3053"/>
      <c r="J16" s="2031"/>
      <c r="K16" s="2081"/>
      <c r="L16" s="2082"/>
      <c r="M16" s="2082"/>
      <c r="N16" s="2083"/>
      <c r="O16" s="2082"/>
      <c r="P16" s="2083"/>
      <c r="Q16" s="2031"/>
      <c r="R16" s="2031"/>
    </row>
    <row r="17" spans="1:22" ht="18" customHeight="1">
      <c r="A17" s="2085" t="s">
        <v>1804</v>
      </c>
      <c r="B17" s="2037" t="s">
        <v>1805</v>
      </c>
      <c r="C17" s="1057">
        <f>'数据-汇总表'!E3</f>
        <v>101555.9</v>
      </c>
      <c r="D17" s="2086" t="s">
        <v>1806</v>
      </c>
      <c r="E17" s="3054" t="s">
        <v>3112</v>
      </c>
      <c r="F17" s="3055"/>
      <c r="G17" s="3055"/>
      <c r="H17" s="3055"/>
      <c r="I17" s="3056"/>
      <c r="J17" s="2031"/>
      <c r="K17" s="2087"/>
      <c r="L17" s="2082"/>
      <c r="M17" s="2082"/>
      <c r="N17" s="2083"/>
      <c r="O17" s="2082"/>
      <c r="P17" s="2083"/>
      <c r="Q17" s="2031"/>
      <c r="R17" s="2031"/>
      <c r="S17" s="2031"/>
      <c r="T17" s="2031"/>
      <c r="U17" s="2031"/>
      <c r="V17" s="2031"/>
    </row>
    <row r="18" spans="1:22" ht="36" customHeight="1" thickBot="1">
      <c r="A18" s="2088" t="s">
        <v>70</v>
      </c>
      <c r="B18" s="2040" t="s">
        <v>1807</v>
      </c>
      <c r="C18" s="1447">
        <f>'数据-汇总表'!D3</f>
        <v>172253.55</v>
      </c>
      <c r="D18" s="2089" t="s">
        <v>1806</v>
      </c>
      <c r="E18" s="3057" t="s">
        <v>3108</v>
      </c>
      <c r="F18" s="3058"/>
      <c r="G18" s="3058"/>
      <c r="H18" s="3058"/>
      <c r="I18" s="3059"/>
      <c r="J18" s="2031"/>
      <c r="K18" s="2087"/>
      <c r="L18" s="2082"/>
      <c r="M18" s="2082"/>
      <c r="N18" s="2083"/>
      <c r="O18" s="2082"/>
      <c r="P18" s="2083"/>
      <c r="Q18" s="2031"/>
      <c r="R18" s="2031"/>
      <c r="S18" s="2031"/>
      <c r="T18" s="2031"/>
      <c r="U18" s="2031"/>
      <c r="V18" s="2031"/>
    </row>
    <row r="19" spans="1:22" ht="37.5" customHeight="1" thickTop="1" thickBot="1">
      <c r="A19" s="373" t="s">
        <v>1808</v>
      </c>
      <c r="B19" s="352" t="s">
        <v>1809</v>
      </c>
      <c r="C19" s="2090" t="s">
        <v>3053</v>
      </c>
      <c r="D19" s="2091" t="s">
        <v>1810</v>
      </c>
      <c r="E19" s="2092" t="s">
        <v>3053</v>
      </c>
      <c r="F19" s="2093" t="str">
        <f>IF(AND(C19="是",E19="否"),"是否提供他项权证或相关说明","")</f>
        <v/>
      </c>
      <c r="G19" s="2094"/>
      <c r="H19" s="2044"/>
      <c r="I19" s="2044"/>
      <c r="J19" s="2044"/>
      <c r="K19" s="2054"/>
      <c r="L19" s="2030"/>
      <c r="M19" s="2030"/>
      <c r="N19" s="2083"/>
      <c r="O19" s="2082"/>
      <c r="P19" s="2083"/>
      <c r="Q19" s="2031"/>
      <c r="R19" s="2031"/>
      <c r="S19" s="2031"/>
      <c r="T19" s="2031"/>
      <c r="U19" s="2031"/>
      <c r="V19" s="2031"/>
    </row>
    <row r="20" spans="1:22" ht="18" customHeight="1">
      <c r="A20" s="2095" t="s">
        <v>1811</v>
      </c>
      <c r="B20" s="3044" t="s">
        <v>1812</v>
      </c>
      <c r="C20" s="3045"/>
      <c r="D20" s="3046" t="s">
        <v>1813</v>
      </c>
      <c r="E20" s="3047"/>
      <c r="F20" s="2096" t="s">
        <v>1814</v>
      </c>
      <c r="G20" s="2044"/>
      <c r="H20" s="2044"/>
      <c r="I20" s="2044"/>
      <c r="J20" s="2044"/>
      <c r="K20" s="3043"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3"/>
      <c r="O20" s="2082"/>
      <c r="P20" s="2083"/>
      <c r="Q20" s="2031"/>
      <c r="R20" s="2031"/>
      <c r="S20" s="2031"/>
      <c r="T20" s="2031"/>
      <c r="U20" s="2031"/>
      <c r="V20" s="2031"/>
    </row>
    <row r="21" spans="1:22" ht="24.75" customHeight="1">
      <c r="A21" s="2095"/>
      <c r="B21" s="2097" t="s">
        <v>1816</v>
      </c>
      <c r="C21" s="2098" t="s">
        <v>3054</v>
      </c>
      <c r="D21" s="2099"/>
      <c r="E21" s="2100"/>
      <c r="F21" s="2101"/>
      <c r="G21" s="2044"/>
      <c r="H21" s="2044"/>
      <c r="I21" s="2044"/>
      <c r="J21" s="2044"/>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上述抵押权设定日期为，权利人为锦州银行股份有限公司辽阳望京支行，权利范围为，权利价值为人民币441130000元整。</v>
      </c>
      <c r="M21" s="2030"/>
      <c r="N21" s="2083"/>
      <c r="O21" s="2082"/>
      <c r="P21" s="2083"/>
      <c r="Q21" s="2031"/>
      <c r="R21" s="2031"/>
      <c r="S21" s="2031"/>
      <c r="T21" s="2031"/>
      <c r="U21" s="2031"/>
      <c r="V21" s="2031"/>
    </row>
    <row r="22" spans="1:22" ht="24.75" customHeight="1" thickBot="1">
      <c r="A22" s="2095"/>
      <c r="B22" s="2102" t="s">
        <v>1817</v>
      </c>
      <c r="C22" s="2098" t="s">
        <v>3054</v>
      </c>
      <c r="D22" s="2028"/>
      <c r="E22" s="2028"/>
      <c r="F22" s="2103"/>
      <c r="G22" s="2044"/>
      <c r="H22" s="2044"/>
      <c r="I22" s="2044"/>
      <c r="J22" s="2044"/>
      <c r="K22" s="30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1818</v>
      </c>
      <c r="B23" s="183" t="s">
        <v>1819</v>
      </c>
      <c r="C23" s="2105"/>
      <c r="D23" s="2106" t="s">
        <v>1819</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1820</v>
      </c>
      <c r="C24" s="2961" t="s">
        <v>3113</v>
      </c>
      <c r="D24" s="2104" t="s">
        <v>1820</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1821</v>
      </c>
      <c r="C25" s="2110"/>
      <c r="D25" s="2104" t="s">
        <v>1821</v>
      </c>
      <c r="E25" s="2111"/>
      <c r="F25" s="2103"/>
      <c r="G25" s="2044"/>
      <c r="H25" s="2044"/>
      <c r="I25" s="2044"/>
      <c r="J25" s="2044"/>
      <c r="K25" s="2054"/>
      <c r="L25" s="2030"/>
      <c r="M25" s="2030"/>
      <c r="N25" s="2083"/>
      <c r="O25" s="2082"/>
      <c r="P25" s="2083"/>
      <c r="Q25" s="2031"/>
      <c r="R25" s="2031"/>
      <c r="S25" s="2031"/>
      <c r="T25" s="2031"/>
      <c r="U25" s="2031"/>
      <c r="V25" s="2031"/>
    </row>
    <row r="26" spans="1:22" ht="18" customHeight="1" thickBot="1">
      <c r="A26" s="2112"/>
      <c r="B26" s="2113" t="s">
        <v>1822</v>
      </c>
      <c r="C26" s="2114" t="s">
        <v>3107</v>
      </c>
      <c r="D26" s="2115" t="s">
        <v>1823</v>
      </c>
      <c r="E26" s="2116"/>
      <c r="F26" s="2117"/>
      <c r="G26" s="2062"/>
      <c r="H26" s="2062"/>
      <c r="I26" s="2062"/>
      <c r="J26" s="2044"/>
      <c r="K26" s="2054"/>
      <c r="L26" s="2030"/>
      <c r="M26" s="2030"/>
      <c r="N26" s="2083"/>
      <c r="O26" s="2082"/>
      <c r="P26" s="2083"/>
      <c r="Q26" s="2031"/>
      <c r="R26" s="2031"/>
      <c r="S26" s="2031"/>
      <c r="T26" s="2031"/>
      <c r="U26" s="2031"/>
      <c r="V26" s="2031"/>
    </row>
    <row r="27" spans="1:22" ht="18" customHeight="1" thickTop="1">
      <c r="A27" s="3031" t="s">
        <v>1824</v>
      </c>
      <c r="B27" s="2063" t="s">
        <v>1825</v>
      </c>
      <c r="C27" s="2118" t="s">
        <v>3055</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31"/>
      <c r="B28" s="2037" t="s">
        <v>1826</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31"/>
      <c r="B29" s="2037" t="s">
        <v>1827</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32"/>
      <c r="B30" s="2037" t="s">
        <v>1828</v>
      </c>
      <c r="C30" s="3033"/>
      <c r="D30" s="3034"/>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35" t="s">
        <v>1829</v>
      </c>
      <c r="B31" s="2125" t="s">
        <v>3056</v>
      </c>
      <c r="C31" s="2126" t="str">
        <f>IF(B31="现房","成新及维护状况正常否",IF(B31="在建","工程状态是否正常",IF(B31="土地","是否闲置","-")))</f>
        <v>成新及维护状况正常否</v>
      </c>
      <c r="D31" s="2127"/>
      <c r="E31" s="2128"/>
      <c r="F31" s="2044"/>
      <c r="G31" s="2044"/>
      <c r="H31" s="2044"/>
      <c r="I31" s="2044"/>
      <c r="J31" s="2044"/>
      <c r="K31" s="2053"/>
      <c r="L31" s="2030"/>
      <c r="M31" s="2030"/>
      <c r="N31" s="2031"/>
      <c r="O31" s="2032"/>
      <c r="P31" s="2031"/>
      <c r="Q31" s="2031"/>
      <c r="R31" s="2031"/>
      <c r="S31" s="2031"/>
      <c r="T31" s="2031"/>
      <c r="U31" s="2031"/>
      <c r="V31" s="2031"/>
    </row>
    <row r="32" spans="1:22" ht="18" customHeight="1">
      <c r="A32" s="3036"/>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36"/>
      <c r="B33" s="2129"/>
      <c r="C33" s="2069"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1830</v>
      </c>
      <c r="B34" s="2132" t="s">
        <v>3057</v>
      </c>
      <c r="C34" s="2132" t="s">
        <v>3058</v>
      </c>
      <c r="D34" s="2132" t="s">
        <v>3059</v>
      </c>
      <c r="E34" s="2132" t="s">
        <v>3060</v>
      </c>
      <c r="F34" s="2132" t="s">
        <v>3061</v>
      </c>
      <c r="G34" s="2132"/>
      <c r="H34" s="2132"/>
      <c r="I34" s="2044"/>
      <c r="J34" s="2044"/>
      <c r="K34" s="1797">
        <f>COUNTIF(B34:H34,"——")</f>
        <v>0</v>
      </c>
      <c r="L34" s="2073" t="s">
        <v>1831</v>
      </c>
      <c r="M34" s="2073" t="s">
        <v>1832</v>
      </c>
      <c r="N34" s="2073" t="s">
        <v>1833</v>
      </c>
      <c r="O34" s="2073" t="s">
        <v>1834</v>
      </c>
      <c r="P34" s="2073" t="s">
        <v>1835</v>
      </c>
      <c r="Q34" s="2073" t="s">
        <v>1836</v>
      </c>
      <c r="R34" s="2073" t="s">
        <v>1837</v>
      </c>
      <c r="S34" s="3030" t="s">
        <v>1838</v>
      </c>
      <c r="T34" s="2133" t="str">
        <f>NUMBERSTRING(7-K34,1)&amp;"通"</f>
        <v>七通</v>
      </c>
      <c r="U34" s="2031"/>
      <c r="V34" s="2031"/>
    </row>
    <row r="35" spans="1:22" ht="18" customHeight="1">
      <c r="A35" s="2134"/>
      <c r="B35" s="3037" t="s">
        <v>1839</v>
      </c>
      <c r="C35" s="3037"/>
      <c r="D35" s="3037"/>
      <c r="E35" s="3037"/>
      <c r="F35" s="2135" t="str">
        <f>C10</f>
        <v>广东省</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0"/>
      <c r="T35" s="48" t="str">
        <f>IF(T34="一通",L35,IF(T34="二通",M35,IF(T34="三通",N35,IF(T34="四通",O35,IF(T34="五通",P35,IF(T34="六通",Q35,R35))))))</f>
        <v>通路、通电、通讯、通上水、通下水、、</v>
      </c>
      <c r="U35" s="2031"/>
      <c r="V35" s="2031"/>
    </row>
    <row r="36" spans="1:22" ht="18" customHeight="1">
      <c r="A36" s="2136"/>
      <c r="B36" s="2135" t="s">
        <v>1840</v>
      </c>
      <c r="C36" s="2135" t="s">
        <v>1841</v>
      </c>
      <c r="D36" s="2135" t="s">
        <v>1842</v>
      </c>
      <c r="E36" s="2135" t="s">
        <v>1843</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1844</v>
      </c>
      <c r="B37" s="2139"/>
      <c r="C37" s="2139"/>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1845</v>
      </c>
      <c r="B38" s="2141"/>
      <c r="C38" s="2141"/>
      <c r="D38" s="2141"/>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1847</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1848</v>
      </c>
      <c r="B42" s="1797" t="s">
        <v>1849</v>
      </c>
      <c r="C42" s="1797" t="s">
        <v>1850</v>
      </c>
      <c r="D42" s="1797" t="s">
        <v>1851</v>
      </c>
      <c r="E42" s="1797" t="s">
        <v>1852</v>
      </c>
      <c r="F42" s="1797" t="s">
        <v>1853</v>
      </c>
      <c r="G42" s="1797" t="s">
        <v>1854</v>
      </c>
      <c r="H42" s="1797" t="s">
        <v>1855</v>
      </c>
      <c r="I42" s="1797" t="s">
        <v>1856</v>
      </c>
      <c r="J42" s="2151" t="s">
        <v>1857</v>
      </c>
      <c r="K42" s="2074" t="s">
        <v>1858</v>
      </c>
      <c r="L42" s="2074" t="s">
        <v>1859</v>
      </c>
      <c r="M42" s="2074" t="s">
        <v>1860</v>
      </c>
      <c r="N42" s="1797" t="s">
        <v>1861</v>
      </c>
      <c r="O42" s="1797" t="s">
        <v>1862</v>
      </c>
      <c r="P42" s="1797" t="s">
        <v>1863</v>
      </c>
      <c r="Q42" s="2073" t="s">
        <v>1864</v>
      </c>
      <c r="R42" s="2073" t="s">
        <v>1865</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7" sqref="D3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1871</v>
      </c>
      <c r="AZ2" s="1273"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[1]价值汇总!$F$3:$F$4</f>
        <v>172253.55</v>
      </c>
      <c r="B3" s="14">
        <f>IF(C3="否",G5-AT5,G5)</f>
        <v>101555.9</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5"/>
      <c r="C5" s="1805"/>
      <c r="D5" s="1808"/>
      <c r="E5" s="16" t="s">
        <v>1</v>
      </c>
      <c r="F5" s="16">
        <f>SUM(F13:F587)</f>
        <v>0</v>
      </c>
      <c r="G5" s="16">
        <f>SUM(G13:G587)</f>
        <v>101555.9</v>
      </c>
      <c r="H5" s="16">
        <f t="shared" ref="H5:AT5" si="0">SUM(H13:H656)</f>
        <v>101555.9</v>
      </c>
      <c r="I5" s="16">
        <f t="shared" si="0"/>
        <v>101555.9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101555.9</v>
      </c>
      <c r="BA5" s="18">
        <f t="shared" si="1"/>
        <v>101555.9</v>
      </c>
      <c r="BB5" s="18">
        <f t="shared" si="1"/>
        <v>101555.9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172253.55</v>
      </c>
      <c r="F6" s="16" t="s">
        <v>1</v>
      </c>
      <c r="G6" s="16" t="s">
        <v>2</v>
      </c>
      <c r="H6" s="20">
        <f>SUMIF(I$12:AB$12,"总值",I6:AB6)</f>
        <v>172253.55</v>
      </c>
      <c r="I6" s="16">
        <f t="shared" ref="I6:AB6" si="2">ROUND($A$3*I5/$B$3,2)</f>
        <v>172253.55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172253.55</v>
      </c>
      <c r="AZ6" s="16" t="s">
        <v>3</v>
      </c>
      <c r="BA6" s="16">
        <f>ROUND($AY$6*BA5/$AZ$5,2)</f>
        <v>172253.55</v>
      </c>
      <c r="BB6" s="16">
        <f>ROUND($AY$6*BB5/$AZ$5,2)</f>
        <v>172253.55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1884</v>
      </c>
      <c r="AV7" s="23" t="s">
        <v>1885</v>
      </c>
      <c r="AW7" s="2165" t="s">
        <v>1886</v>
      </c>
      <c r="AX7" s="23" t="s">
        <v>1879</v>
      </c>
      <c r="AY7" s="1805"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0"/>
      <c r="K8" s="1820"/>
      <c r="L8" s="1820"/>
      <c r="M8" s="1820"/>
      <c r="N8" s="1820"/>
      <c r="O8" s="1820"/>
      <c r="P8" s="1820"/>
      <c r="Q8" s="1820"/>
      <c r="R8" s="1820"/>
      <c r="S8" s="1820"/>
      <c r="T8" s="1820"/>
      <c r="U8" s="1820"/>
      <c r="V8" s="2185"/>
      <c r="W8" s="1820"/>
      <c r="X8" s="1820"/>
      <c r="Y8" s="1820"/>
      <c r="Z8" s="1820"/>
      <c r="AA8" s="2185"/>
      <c r="AB8" s="2186"/>
      <c r="AC8" s="984" t="s">
        <v>1890</v>
      </c>
      <c r="AD8" s="2187"/>
      <c r="AE8" s="2179"/>
      <c r="AF8" s="1820"/>
      <c r="AG8" s="1820"/>
      <c r="AH8" s="1820"/>
      <c r="AI8" s="1820"/>
      <c r="AJ8" s="1820"/>
      <c r="AK8" s="1820"/>
      <c r="AL8" s="1820"/>
      <c r="AM8" s="1820"/>
      <c r="AN8" s="1820"/>
      <c r="AO8" s="1820"/>
      <c r="AP8" s="1820"/>
      <c r="AQ8" s="1820"/>
      <c r="AR8" s="1820"/>
      <c r="AS8" s="1820"/>
      <c r="AT8" s="1295" t="s">
        <v>1891</v>
      </c>
      <c r="AU8" s="2181" t="s">
        <v>1892</v>
      </c>
      <c r="AV8" s="1295"/>
      <c r="AW8" s="2164"/>
      <c r="AX8" s="1295"/>
      <c r="AY8" s="2165"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1895</v>
      </c>
      <c r="I9" s="2190" t="s">
        <v>3064</v>
      </c>
      <c r="J9" s="984"/>
      <c r="K9" s="2190"/>
      <c r="L9" s="984"/>
      <c r="M9" s="2190"/>
      <c r="N9" s="984"/>
      <c r="O9" s="2190"/>
      <c r="P9" s="984"/>
      <c r="Q9" s="2190"/>
      <c r="R9" s="984"/>
      <c r="S9" s="2190"/>
      <c r="T9" s="984"/>
      <c r="U9" s="2190"/>
      <c r="V9" s="984"/>
      <c r="W9" s="2190"/>
      <c r="X9" s="2191"/>
      <c r="Y9" s="2190"/>
      <c r="Z9" s="984"/>
      <c r="AA9" s="2190"/>
      <c r="AB9" s="984"/>
      <c r="AC9" s="2182"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2"/>
      <c r="AT9" s="2181"/>
      <c r="AU9" s="2181" t="s">
        <v>1898</v>
      </c>
      <c r="AV9" s="1295"/>
      <c r="AW9" s="2164"/>
      <c r="AX9" s="1295"/>
      <c r="AY9" s="28"/>
      <c r="AZ9" s="28" t="s">
        <v>1888</v>
      </c>
      <c r="BA9" s="2193" t="s">
        <v>1899</v>
      </c>
      <c r="BB9" s="2194"/>
      <c r="BC9" s="1341"/>
      <c r="BD9" s="1341"/>
      <c r="BE9" s="1341"/>
      <c r="BF9" s="1341"/>
      <c r="BG9" s="1341"/>
      <c r="BH9" s="1341"/>
      <c r="BI9" s="1341"/>
      <c r="BJ9" s="1341"/>
      <c r="BK9" s="2195"/>
      <c r="BL9" s="15" t="s">
        <v>1900</v>
      </c>
      <c r="BM9" s="1820"/>
      <c r="BN9" s="2184"/>
      <c r="BO9" s="1820"/>
      <c r="BP9" s="1820"/>
      <c r="BQ9" s="1820"/>
      <c r="BR9" s="1820"/>
      <c r="BS9" s="1820"/>
      <c r="BT9" s="26"/>
    </row>
    <row r="10" spans="1:72" s="2188" customFormat="1" ht="12.75">
      <c r="A10" s="2181"/>
      <c r="B10" s="2181"/>
      <c r="C10" s="2181"/>
      <c r="D10" s="2181"/>
      <c r="E10" s="2181"/>
      <c r="F10" s="2181"/>
      <c r="G10" s="1295"/>
      <c r="H10" s="28"/>
      <c r="I10" s="2190" t="s">
        <v>1377</v>
      </c>
      <c r="J10" s="984"/>
      <c r="K10" s="2196"/>
      <c r="L10" s="984"/>
      <c r="M10" s="2196"/>
      <c r="N10" s="984"/>
      <c r="O10" s="2196"/>
      <c r="P10" s="984"/>
      <c r="Q10" s="2196"/>
      <c r="R10" s="984"/>
      <c r="S10" s="2196"/>
      <c r="T10" s="984"/>
      <c r="U10" s="2196"/>
      <c r="V10" s="984"/>
      <c r="W10" s="2196"/>
      <c r="X10" s="984"/>
      <c r="Y10" s="2196"/>
      <c r="Z10" s="984"/>
      <c r="AA10" s="2196"/>
      <c r="AB10" s="984"/>
      <c r="AC10" s="1295"/>
      <c r="AD10" s="15" t="s">
        <v>1901</v>
      </c>
      <c r="AE10" s="2197"/>
      <c r="AF10" s="15" t="s">
        <v>1901</v>
      </c>
      <c r="AG10" s="2197"/>
      <c r="AH10" s="15" t="s">
        <v>1902</v>
      </c>
      <c r="AI10" s="2197"/>
      <c r="AJ10" s="15" t="s">
        <v>1902</v>
      </c>
      <c r="AK10" s="2197"/>
      <c r="AL10" s="15" t="s">
        <v>1903</v>
      </c>
      <c r="AM10" s="1301"/>
      <c r="AN10" s="15" t="s">
        <v>1903</v>
      </c>
      <c r="AO10" s="1301"/>
      <c r="AP10" s="15" t="s">
        <v>1904</v>
      </c>
      <c r="AQ10" s="1301"/>
      <c r="AR10" s="15" t="s">
        <v>1904</v>
      </c>
      <c r="AS10" s="1301"/>
      <c r="AT10" s="2181"/>
      <c r="AU10" s="2181"/>
      <c r="AV10" s="1295"/>
      <c r="AW10" s="2164"/>
      <c r="AX10" s="1295"/>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3069</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1905</v>
      </c>
      <c r="AE11" s="1821"/>
      <c r="AF11" s="2203" t="s">
        <v>1905</v>
      </c>
      <c r="AG11" s="1821"/>
      <c r="AH11" s="2203" t="s">
        <v>1906</v>
      </c>
      <c r="AI11" s="2204"/>
      <c r="AJ11" s="2203" t="s">
        <v>1906</v>
      </c>
      <c r="AK11" s="1821"/>
      <c r="AL11" s="1819"/>
      <c r="AM11" s="1821"/>
      <c r="AN11" s="1819"/>
      <c r="AO11" s="1821"/>
      <c r="AP11" s="1819"/>
      <c r="AQ11" s="1821"/>
      <c r="AR11" s="1819"/>
      <c r="AS11" s="1821"/>
      <c r="AT11" s="2164"/>
      <c r="AU11" s="2181"/>
      <c r="AV11" s="1295"/>
      <c r="AW11" s="2164"/>
      <c r="AX11" s="1295"/>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8"/>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商业街</v>
      </c>
      <c r="BC12" s="2211">
        <f>K11</f>
        <v>0</v>
      </c>
      <c r="BD12" s="2211">
        <f>M11</f>
        <v>0</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2953" t="s">
        <v>3062</v>
      </c>
      <c r="D13" s="2212" t="s">
        <v>3053</v>
      </c>
      <c r="E13" s="16">
        <f>IF($C$3="是",ROUND($A$3*G13/$B$3,2),ROUND($A$3*(G13-AT13)/$B$3,2))</f>
        <v>167219.71</v>
      </c>
      <c r="F13" s="32"/>
      <c r="G13" s="33">
        <f>H13+AC13+AT13</f>
        <v>98588.09</v>
      </c>
      <c r="H13" s="20">
        <f>SUMIF(I$12:AB$12,"总值",I13:AB13)</f>
        <v>98588.09</v>
      </c>
      <c r="I13" s="2213">
        <f>[1]价值汇总!$D$3</f>
        <v>98588.09</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奥特莱斯</v>
      </c>
      <c r="AY13" s="1808">
        <f>ROUND($AY$6*AZ13/$AZ$5,2)</f>
        <v>167219.71</v>
      </c>
      <c r="AZ13" s="16">
        <f>BA13+BL13</f>
        <v>98588.09</v>
      </c>
      <c r="BA13" s="16">
        <f>SUM(BB13:BK13)</f>
        <v>98588.09</v>
      </c>
      <c r="BB13" s="16">
        <f>IF($D13="是",I13-J13,0)</f>
        <v>98588.09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954" t="s">
        <v>3063</v>
      </c>
      <c r="D14" s="2212" t="s">
        <v>3053</v>
      </c>
      <c r="E14" s="16">
        <f>IF($C$3="是",ROUND($A$3*G14/$B$3,2),ROUND($A$3*(G14-AT14)/$B$3,2))</f>
        <v>5033.84</v>
      </c>
      <c r="F14" s="32"/>
      <c r="G14" s="33">
        <f>H14+AC14+AT14</f>
        <v>2967.81</v>
      </c>
      <c r="H14" s="20">
        <f>SUMIF(I$12:AB$12,"总值",I14:AB14)</f>
        <v>2967.81</v>
      </c>
      <c r="I14" s="2213">
        <f>[1]价值汇总!$D$4</f>
        <v>2967.81</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会所</v>
      </c>
      <c r="AY14" s="1808">
        <f>ROUND($AY$6*AZ14/$AZ$5,2)</f>
        <v>5033.84</v>
      </c>
      <c r="AZ14" s="16">
        <f>BA14+BL14</f>
        <v>2967.81</v>
      </c>
      <c r="BA14" s="16">
        <f>SUM(BB14:BK14)</f>
        <v>2967.81</v>
      </c>
      <c r="BB14" s="16">
        <f>IF($D14="是",I14-J14,0)</f>
        <v>2967.81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5"/>
      <c r="C1" s="1395"/>
      <c r="D1" s="1395"/>
      <c r="E1" s="1395"/>
      <c r="F1" s="1395"/>
      <c r="G1" s="1395"/>
      <c r="H1" s="1395"/>
      <c r="I1" s="1395"/>
      <c r="J1" s="1395"/>
      <c r="K1" s="1395"/>
      <c r="L1" s="1395"/>
      <c r="M1" s="1395"/>
      <c r="N1" s="1395"/>
      <c r="O1" s="1395"/>
      <c r="P1" s="1395"/>
    </row>
    <row r="2" spans="1:16" ht="15">
      <c r="A2" s="3071" t="s">
        <v>1935</v>
      </c>
      <c r="B2" s="3071"/>
      <c r="C2" s="3071"/>
      <c r="D2" s="970" t="s">
        <v>1911</v>
      </c>
      <c r="E2" s="2226" t="s">
        <v>1912</v>
      </c>
      <c r="F2" s="1395"/>
      <c r="G2" s="2227"/>
      <c r="H2" s="2228"/>
      <c r="I2" s="2229" t="s">
        <v>1936</v>
      </c>
      <c r="J2" s="1395"/>
      <c r="K2" s="1395"/>
      <c r="L2" s="1395"/>
      <c r="M2" s="1395"/>
      <c r="N2" s="1430"/>
      <c r="O2" s="1395"/>
      <c r="P2" s="1395"/>
    </row>
    <row r="3" spans="1:16" ht="15.75" thickBot="1">
      <c r="A3" s="3072" t="s">
        <v>1909</v>
      </c>
      <c r="B3" s="3072"/>
      <c r="C3" s="3072"/>
      <c r="D3" s="46">
        <f>'数据-基础表'!AY6</f>
        <v>172253.55</v>
      </c>
      <c r="E3" s="46">
        <f>'数据-基础表'!AZ5</f>
        <v>101555.9</v>
      </c>
      <c r="F3" s="1395"/>
      <c r="G3" s="1402"/>
      <c r="H3" s="1250" t="s">
        <v>1910</v>
      </c>
      <c r="I3" s="55">
        <f>ROUND('数据-基础表'!B3/'数据-基础表'!A3,2)</f>
        <v>0.59</v>
      </c>
      <c r="J3" s="1395"/>
      <c r="K3" s="1395"/>
      <c r="L3" s="1395"/>
      <c r="M3" s="1395"/>
      <c r="N3" s="1430"/>
      <c r="O3" s="1395"/>
      <c r="P3" s="1395"/>
    </row>
    <row r="4" spans="1:16" ht="15">
      <c r="A4" s="3073"/>
      <c r="B4" s="3074"/>
      <c r="C4" s="3075"/>
      <c r="D4" s="2230" t="s">
        <v>1911</v>
      </c>
      <c r="E4" s="2231" t="s">
        <v>1912</v>
      </c>
      <c r="F4" s="1395"/>
      <c r="G4" s="2232" t="s">
        <v>1937</v>
      </c>
      <c r="H4" s="1250" t="s">
        <v>1917</v>
      </c>
      <c r="I4" s="55">
        <f>ROUND(SUMIF('数据-基础表'!I9:AS9,"地上",'数据-基础表'!I5:AS5)/'数据-基础表'!A3,2)</f>
        <v>0.59</v>
      </c>
      <c r="J4" s="1395"/>
      <c r="K4" s="1395"/>
      <c r="L4" s="1395"/>
      <c r="M4" s="1395"/>
      <c r="N4" s="1430"/>
      <c r="O4" s="1395"/>
      <c r="P4" s="1395"/>
    </row>
    <row r="5" spans="1:16">
      <c r="A5" s="47" t="s">
        <v>1913</v>
      </c>
      <c r="B5" s="3076" t="s">
        <v>1914</v>
      </c>
      <c r="C5" s="3076"/>
      <c r="D5" s="48">
        <f>ROUND($D$3*E5/$E$3,2)</f>
        <v>0</v>
      </c>
      <c r="E5" s="49">
        <f>SUMIF('数据-基础表'!$11:$11,"住宅",'数据-基础表'!$5:$5)</f>
        <v>0</v>
      </c>
      <c r="F5" s="1395"/>
      <c r="G5" s="1402"/>
      <c r="H5" s="1250" t="s">
        <v>1910</v>
      </c>
      <c r="I5" s="55">
        <f>ROUND(E31/D31,2)</f>
        <v>0.59</v>
      </c>
      <c r="J5" s="1395"/>
      <c r="K5" s="1395"/>
      <c r="L5" s="1395"/>
      <c r="M5" s="1395"/>
      <c r="N5" s="1395"/>
      <c r="O5" s="1395"/>
      <c r="P5" s="1395"/>
    </row>
    <row r="6" spans="1:16" ht="15" thickBot="1">
      <c r="A6" s="2233"/>
      <c r="B6" s="3076" t="s">
        <v>1915</v>
      </c>
      <c r="C6" s="3076"/>
      <c r="D6" s="48">
        <f>ROUND($D$3*E6/$E$3,2)</f>
        <v>172253.55</v>
      </c>
      <c r="E6" s="49">
        <f>E3-E5</f>
        <v>101555.9</v>
      </c>
      <c r="F6" s="1395"/>
      <c r="G6" s="2234" t="s">
        <v>1916</v>
      </c>
      <c r="H6" s="1402" t="s">
        <v>1917</v>
      </c>
      <c r="I6" s="942">
        <f>ROUND(F31/D31,2)</f>
        <v>0.59</v>
      </c>
      <c r="J6" s="1395"/>
      <c r="K6" s="1395"/>
      <c r="L6" s="1395"/>
      <c r="M6" s="1395"/>
      <c r="N6" s="1395"/>
      <c r="O6" s="1395"/>
      <c r="P6" s="1395"/>
    </row>
    <row r="7" spans="1:16" ht="15">
      <c r="A7" s="3068"/>
      <c r="B7" s="3069"/>
      <c r="C7" s="3070"/>
      <c r="D7" s="2230" t="s">
        <v>1911</v>
      </c>
      <c r="E7" s="2235" t="s">
        <v>1918</v>
      </c>
      <c r="F7" s="1395"/>
      <c r="G7" s="2227" t="s">
        <v>1919</v>
      </c>
      <c r="H7" s="64"/>
      <c r="I7" s="420">
        <f>[1]价值汇总!$R$3</f>
        <v>0.56999999999999995</v>
      </c>
      <c r="J7" s="1395"/>
      <c r="K7" s="1395"/>
      <c r="L7" s="1395"/>
      <c r="M7" s="1395"/>
      <c r="N7" s="1395"/>
      <c r="O7" s="1395"/>
      <c r="P7" s="1395"/>
    </row>
    <row r="8" spans="1:16">
      <c r="A8" s="47" t="s">
        <v>1920</v>
      </c>
      <c r="B8" s="50" t="s">
        <v>1921</v>
      </c>
      <c r="C8" s="48" t="s">
        <v>1922</v>
      </c>
      <c r="D8" s="48">
        <f t="shared" ref="D8:D15" si="0">ROUND($D$3*E8/$E$3,2)</f>
        <v>172253.55</v>
      </c>
      <c r="E8" s="51">
        <f>SUMIF('数据-基础表'!BB10:BK10,"地上",'数据-基础表'!BB5:BK5)</f>
        <v>101555.9</v>
      </c>
      <c r="F8" s="1395"/>
      <c r="G8" s="2236"/>
      <c r="H8" s="2236"/>
      <c r="I8" s="1395"/>
      <c r="J8" s="1395"/>
      <c r="K8" s="1395"/>
      <c r="L8" s="1395"/>
      <c r="M8" s="1395"/>
      <c r="N8" s="1395"/>
      <c r="O8" s="1395"/>
      <c r="P8" s="1395"/>
    </row>
    <row r="9" spans="1:16">
      <c r="A9" s="2237"/>
      <c r="B9" s="2238"/>
      <c r="C9" s="48" t="s">
        <v>1923</v>
      </c>
      <c r="D9" s="48">
        <f t="shared" si="0"/>
        <v>0</v>
      </c>
      <c r="E9" s="52">
        <v>0</v>
      </c>
      <c r="F9" s="1395"/>
      <c r="G9" s="2236"/>
      <c r="H9" s="2236"/>
      <c r="I9" s="1395"/>
      <c r="J9" s="1395"/>
      <c r="K9" s="1395"/>
      <c r="L9" s="1395"/>
      <c r="M9" s="1395"/>
      <c r="N9" s="1395"/>
      <c r="O9" s="1395"/>
      <c r="P9" s="1395"/>
    </row>
    <row r="10" spans="1:16">
      <c r="A10" s="2237"/>
      <c r="B10" s="2238"/>
      <c r="C10" s="48" t="s">
        <v>1932</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1924</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1925</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1926</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1938</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1933</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1927</v>
      </c>
      <c r="D16" s="50">
        <f>SUM(D8:D15)</f>
        <v>172253.55</v>
      </c>
      <c r="E16" s="53">
        <f>SUM(E8:E15)</f>
        <v>101555.9</v>
      </c>
      <c r="F16" s="1395"/>
      <c r="G16" s="2236"/>
      <c r="H16" s="2239" t="s">
        <v>1939</v>
      </c>
      <c r="I16" s="2240"/>
      <c r="J16" s="1395"/>
      <c r="K16" s="3065" t="s">
        <v>1939</v>
      </c>
      <c r="L16" s="3066"/>
      <c r="M16" s="3066"/>
      <c r="N16" s="3066"/>
      <c r="O16" s="3066"/>
      <c r="P16" s="3067"/>
    </row>
    <row r="17" spans="1:19" ht="15">
      <c r="A17" s="2241" t="s">
        <v>1940</v>
      </c>
      <c r="B17" s="2242" t="s">
        <v>1941</v>
      </c>
      <c r="C17" s="2243" t="s">
        <v>1942</v>
      </c>
      <c r="D17" s="2244" t="s">
        <v>1930</v>
      </c>
      <c r="E17" s="2245" t="s">
        <v>1931</v>
      </c>
      <c r="F17" s="2246"/>
      <c r="G17" s="2247"/>
      <c r="H17" s="2248" t="s">
        <v>1943</v>
      </c>
      <c r="I17" s="2249" t="s">
        <v>1928</v>
      </c>
      <c r="J17" s="1395"/>
      <c r="K17" s="3062" t="s">
        <v>1944</v>
      </c>
      <c r="L17" s="3063"/>
      <c r="M17" s="3064"/>
      <c r="N17" s="3062" t="s">
        <v>1945</v>
      </c>
      <c r="O17" s="3063"/>
      <c r="P17" s="3064"/>
      <c r="R17" s="2227" t="s">
        <v>1946</v>
      </c>
      <c r="S17" s="64"/>
    </row>
    <row r="18" spans="1:19" ht="15">
      <c r="A18" s="2237"/>
      <c r="B18" s="2250"/>
      <c r="C18" s="2251"/>
      <c r="D18" s="2252"/>
      <c r="E18" s="2253" t="s">
        <v>1947</v>
      </c>
      <c r="F18" s="2254" t="s">
        <v>1948</v>
      </c>
      <c r="G18" s="2255" t="s">
        <v>1949</v>
      </c>
      <c r="H18" s="1265" t="s">
        <v>1950</v>
      </c>
      <c r="I18" s="2256" t="s">
        <v>1951</v>
      </c>
      <c r="J18" s="1395"/>
      <c r="K18" s="1265" t="s">
        <v>1952</v>
      </c>
      <c r="L18" s="2257" t="s">
        <v>1953</v>
      </c>
      <c r="M18" s="1049" t="s">
        <v>1954</v>
      </c>
      <c r="N18" s="1265" t="s">
        <v>1952</v>
      </c>
      <c r="O18" s="2257" t="s">
        <v>1953</v>
      </c>
      <c r="P18" s="1049" t="s">
        <v>1954</v>
      </c>
      <c r="R18" s="1250" t="s">
        <v>1955</v>
      </c>
      <c r="S18" s="1250" t="s">
        <v>1956</v>
      </c>
    </row>
    <row r="19" spans="1:19">
      <c r="A19" s="2258"/>
      <c r="B19" s="50" t="s">
        <v>1929</v>
      </c>
      <c r="C19" s="2955" t="s">
        <v>3066</v>
      </c>
      <c r="D19" s="48">
        <f>ROUND($D$3*E19/$E$3,2)</f>
        <v>167219.71</v>
      </c>
      <c r="E19" s="56">
        <f t="shared" ref="E19:E26" si="1">SUM(F19:G19)</f>
        <v>98588.09</v>
      </c>
      <c r="F19" s="57">
        <f>'数据-基础表'!I13</f>
        <v>98588.09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167219.71</v>
      </c>
      <c r="S19" s="1251">
        <f t="shared" si="5"/>
        <v>98588.09</v>
      </c>
    </row>
    <row r="20" spans="1:19">
      <c r="A20" s="2262"/>
      <c r="B20" s="50" t="s">
        <v>1957</v>
      </c>
      <c r="C20" s="2955" t="s">
        <v>3068</v>
      </c>
      <c r="D20" s="48">
        <f t="shared" ref="D20:D26" si="6">ROUND($D$3*E20/$E$3,2)</f>
        <v>5033.84</v>
      </c>
      <c r="E20" s="56">
        <f t="shared" si="1"/>
        <v>2967.81</v>
      </c>
      <c r="F20" s="57">
        <f>'数据-基础表'!I14</f>
        <v>2967.81</v>
      </c>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5033.84</v>
      </c>
      <c r="S20" s="1251">
        <f t="shared" si="5"/>
        <v>2967.81</v>
      </c>
    </row>
    <row r="21" spans="1:19">
      <c r="A21" s="2262"/>
      <c r="B21" s="50" t="s">
        <v>1957</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1958</v>
      </c>
      <c r="D27" s="1396">
        <f>SUM(D19:D26)</f>
        <v>172253.55</v>
      </c>
      <c r="E27" s="1397">
        <f>IF(SUM(E19:E26)='数据-基础表'!BA5,SUM(E19:E26),IF(F27="地上面积有误","面积有误","地下面积有误"))</f>
        <v>101555.9</v>
      </c>
      <c r="F27" s="1396">
        <f>IF(SUM(F19:F26)=E8,SUM(F19:F26),"地上面积有误")</f>
        <v>101555.9</v>
      </c>
      <c r="G27" s="1398">
        <f>SUM(G19:G26)</f>
        <v>0</v>
      </c>
      <c r="H27" s="1399">
        <f>SUM(H19:H26)</f>
        <v>0</v>
      </c>
      <c r="I27" s="1400">
        <f>SUM(I19:I26)</f>
        <v>0</v>
      </c>
      <c r="J27" s="1395"/>
      <c r="K27" s="1403">
        <f t="shared" ref="K27:P27" si="10">SUM(K19:K26)</f>
        <v>0</v>
      </c>
      <c r="L27" s="1404">
        <f t="shared" si="10"/>
        <v>0</v>
      </c>
      <c r="M27" s="1407">
        <f t="shared" si="10"/>
        <v>0</v>
      </c>
      <c r="N27" s="1403">
        <f t="shared" si="10"/>
        <v>0</v>
      </c>
      <c r="O27" s="1404">
        <f t="shared" si="10"/>
        <v>0</v>
      </c>
      <c r="P27" s="1405">
        <f t="shared" si="10"/>
        <v>0</v>
      </c>
      <c r="R27" s="1252">
        <f>IF(SUM(R19:R26)=$D$3,SUM(R19:R26),SUM(R19:R26)&amp;"误差"&amp;ROUND(SUM(R19:R26)-$D$3,2))</f>
        <v>172253.55</v>
      </c>
      <c r="S27" s="1250">
        <f>IF(SUM(S19:S26)=$E$3,SUM(S19:S26),SUM(S19:S26)&amp;"误差"&amp;ROUND(SUM(S19:S26)-E3,2))</f>
        <v>101555.9</v>
      </c>
    </row>
    <row r="28" spans="1:19">
      <c r="A28" s="2262"/>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1959</v>
      </c>
      <c r="C29" s="2266"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1962</v>
      </c>
      <c r="D31" s="729">
        <f>D27+D30</f>
        <v>172253.55</v>
      </c>
      <c r="E31" s="729">
        <f>E27+E30</f>
        <v>101555.9</v>
      </c>
      <c r="F31" s="730">
        <f>F27+F30</f>
        <v>101555.9</v>
      </c>
      <c r="G31" s="731">
        <f>G27+G30</f>
        <v>0</v>
      </c>
      <c r="H31" s="1395"/>
      <c r="I31" s="1395"/>
      <c r="J31" s="1395"/>
      <c r="K31" s="1395"/>
      <c r="L31" s="1395"/>
      <c r="M31" s="1395"/>
      <c r="N31" s="1395"/>
      <c r="O31" s="1395"/>
      <c r="P31" s="1395"/>
    </row>
    <row r="32" spans="1:19">
      <c r="A32" s="2232"/>
      <c r="B32" s="2232" t="s">
        <v>1963</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26"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25" width="6.75" style="2274" customWidth="1"/>
    <col min="26" max="30" width="6.75" style="2274" hidden="1"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1965</v>
      </c>
      <c r="B2" s="1269">
        <f>项目基本情况!D3</f>
        <v>43180</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1972</v>
      </c>
      <c r="B5" s="2289" t="s">
        <v>1973</v>
      </c>
      <c r="C5" s="2290" t="s">
        <v>1974</v>
      </c>
      <c r="D5" s="2291" t="s">
        <v>1975</v>
      </c>
      <c r="E5" s="1271" t="s">
        <v>1976</v>
      </c>
      <c r="F5" s="2292" t="s">
        <v>1977</v>
      </c>
      <c r="G5" s="1271" t="s">
        <v>1978</v>
      </c>
      <c r="H5" s="1271" t="s">
        <v>1979</v>
      </c>
      <c r="I5" s="1271" t="s">
        <v>1980</v>
      </c>
      <c r="J5" s="2293" t="s">
        <v>1981</v>
      </c>
      <c r="K5" s="2294" t="s">
        <v>1982</v>
      </c>
      <c r="L5" s="2295" t="s">
        <v>1983</v>
      </c>
      <c r="M5" s="2296" t="s">
        <v>1984</v>
      </c>
      <c r="N5" s="2297" t="s">
        <v>3070</v>
      </c>
      <c r="O5" s="2295" t="s">
        <v>1985</v>
      </c>
      <c r="P5" s="2298" t="s">
        <v>1986</v>
      </c>
      <c r="Q5" s="69" t="s">
        <v>1987</v>
      </c>
      <c r="R5" s="2299" t="s">
        <v>1988</v>
      </c>
      <c r="S5" s="2300" t="s">
        <v>1989</v>
      </c>
      <c r="T5" s="2301" t="s">
        <v>1990</v>
      </c>
      <c r="U5" s="1270" t="s">
        <v>1991</v>
      </c>
      <c r="V5" s="1271" t="s">
        <v>1992</v>
      </c>
      <c r="W5" s="1271" t="s">
        <v>1993</v>
      </c>
      <c r="X5" s="71"/>
      <c r="Y5" s="70" t="s">
        <v>1994</v>
      </c>
      <c r="Z5" s="2302" t="s">
        <v>1991</v>
      </c>
      <c r="AA5" s="1271" t="s">
        <v>1992</v>
      </c>
      <c r="AB5" s="1271" t="s">
        <v>1993</v>
      </c>
      <c r="AC5" s="71"/>
      <c r="AD5" s="71" t="s">
        <v>1994</v>
      </c>
      <c r="AE5" s="1270" t="s">
        <v>1995</v>
      </c>
      <c r="AF5" s="1271" t="s">
        <v>1996</v>
      </c>
      <c r="AG5" s="70" t="s">
        <v>1997</v>
      </c>
      <c r="AH5" s="1270" t="s">
        <v>1998</v>
      </c>
      <c r="AI5" s="2302" t="s">
        <v>1999</v>
      </c>
      <c r="AJ5" s="2302" t="s">
        <v>2000</v>
      </c>
      <c r="AK5" s="1271" t="s">
        <v>2001</v>
      </c>
      <c r="AL5" s="1271" t="s">
        <v>2002</v>
      </c>
      <c r="AM5" s="70" t="s">
        <v>2003</v>
      </c>
      <c r="AN5" s="2303" t="s">
        <v>2004</v>
      </c>
      <c r="AO5" s="2073" t="s">
        <v>2005</v>
      </c>
      <c r="AP5" s="1252"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奥特莱斯</v>
      </c>
      <c r="B6" s="2306" t="str">
        <f>IF(A6=0,"","经营性")</f>
        <v>经营性</v>
      </c>
      <c r="C6" s="2307" t="s">
        <v>1377</v>
      </c>
      <c r="D6" s="1054">
        <f>SUMIF(项目基本情况!D$12:I$12,C6,项目基本情况!D$14:I$14)</f>
        <v>40</v>
      </c>
      <c r="E6" s="1051">
        <f>IF(B6="","",SUMIF(项目基本情况!D$12:I$12,C6,项目基本情况!D$13:I$13))</f>
        <v>54549</v>
      </c>
      <c r="F6" s="72">
        <f>SUMIF(项目基本情况!D$12:I$12,C6,项目基本情况!D$15:I$15)</f>
        <v>31.14</v>
      </c>
      <c r="G6" s="73">
        <f t="shared" ref="G6:G13" si="0">IF(ISERROR(ROUND(POWER(1+H6,D6-F6)*(POWER(1+H6,F6)-1)/(POWER(1+H6,D6)-1),3)),0,ROUND(POWER(1+H6,D6-F6)*(POWER(1+H6,F6)-1)/(POWER(1+H6,D6)-1),3))</f>
        <v>0.90100000000000002</v>
      </c>
      <c r="H6" s="802">
        <v>4.4999999999999998E-2</v>
      </c>
      <c r="I6" s="802">
        <v>0.05</v>
      </c>
      <c r="J6" s="74">
        <v>8.5000000000000006E-2</v>
      </c>
      <c r="K6" s="1254">
        <f>SUMIF('数据-汇总表'!C$19:C$33,A6,'数据-汇总表'!E$19:E$33)</f>
        <v>98588.09</v>
      </c>
      <c r="L6" s="803">
        <f>[1]价值汇总!$I$3</f>
        <v>2000</v>
      </c>
      <c r="M6" s="75">
        <f t="shared" ref="M6:M14" si="1">ROUND(K6*L6/10000,0)</f>
        <v>19718</v>
      </c>
      <c r="N6" s="801">
        <f>ROUND(1-(2018-2012)/60,2)</f>
        <v>0.9</v>
      </c>
      <c r="O6" s="75" t="str">
        <f>IF($N$5="成新度","——",ROUND(M6*N6,0))</f>
        <v>——</v>
      </c>
      <c r="P6" s="76" t="str">
        <f>IF($N$5="成新度","——",M6-O6)</f>
        <v>——</v>
      </c>
      <c r="Q6" s="804">
        <f>[1]价值汇总!$J$3</f>
        <v>0.15</v>
      </c>
      <c r="R6" s="77">
        <f ca="1">SUMIF('数据-汇总表'!C$19:C$33,A6,'数据-汇总表'!R$19:R$27)</f>
        <v>167219.71</v>
      </c>
      <c r="S6" s="54">
        <f>IF('数据-汇总表'!$I$17="按面积比例",SUMIF('数据-汇总表'!C$19:C$33,A6,'数据-汇总表'!K$19:K$33),SUMIF('数据-汇总表'!C$19:C$33,A6,'数据-汇总表'!N$19:N$33))</f>
        <v>0</v>
      </c>
      <c r="T6" s="1446">
        <f>ROUND($L$14*S6/10000,0)</f>
        <v>0</v>
      </c>
      <c r="U6" s="78">
        <f>[1]价值汇总!$K$3</f>
        <v>2.5</v>
      </c>
      <c r="V6" s="79">
        <f>[1]价值汇总!$L$3</f>
        <v>0.03</v>
      </c>
      <c r="W6" s="79">
        <f>[1]价值汇总!$M$3</f>
        <v>0.1</v>
      </c>
      <c r="X6" s="1264"/>
      <c r="Y6" s="80">
        <f>N6</f>
        <v>0.9</v>
      </c>
      <c r="Z6" s="81"/>
      <c r="AA6" s="74"/>
      <c r="AB6" s="74"/>
      <c r="AC6" s="1264"/>
      <c r="AD6" s="82"/>
      <c r="AE6" s="1265">
        <f ca="1">IF(AN6="",0,SUMIF(INDIRECT("'"&amp;AN6&amp;"'"&amp;"!E:E"),$AE$5,INDIRECT("'"&amp;AN6&amp;"'"&amp;"!F:F")))</f>
        <v>31.14</v>
      </c>
      <c r="AF6" s="1806"/>
      <c r="AG6" s="147">
        <f>IF(AF6="",0,AE6-AF6)</f>
        <v>0</v>
      </c>
      <c r="AH6" s="83"/>
      <c r="AI6" s="85">
        <v>365</v>
      </c>
      <c r="AJ6" s="86"/>
      <c r="AK6" s="87">
        <f>[1]价值汇总!$N$3</f>
        <v>1.4999999999999999E-2</v>
      </c>
      <c r="AL6" s="88">
        <f>[1]价值汇总!$O$3</f>
        <v>1.5E-3</v>
      </c>
      <c r="AM6" s="89">
        <f>[1]价值汇总!$P$3</f>
        <v>0.02</v>
      </c>
      <c r="AN6" s="2308" t="s">
        <v>3074</v>
      </c>
      <c r="AO6" s="55">
        <f ca="1">SUMIF(INDIRECT("'"&amp;AN6&amp;"'"&amp;"!A:A"),"总价",INDIRECT("'"&amp;AN6&amp;"'"&amp;"!B:B"))</f>
        <v>134701</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会所</v>
      </c>
      <c r="B7" s="2306" t="str">
        <f t="shared" ref="B7:B13" si="2">IF(A7=0,"","经营性")</f>
        <v>经营性</v>
      </c>
      <c r="C7" s="2307" t="s">
        <v>1377</v>
      </c>
      <c r="D7" s="1054">
        <f>SUMIF(项目基本情况!D$12:I$12,C7,项目基本情况!D$14:I$14)</f>
        <v>40</v>
      </c>
      <c r="E7" s="1051">
        <f>IF(B7="","",SUMIF(项目基本情况!D$12:I$12,C7,项目基本情况!D$13:I$13))</f>
        <v>54549</v>
      </c>
      <c r="F7" s="72">
        <f>SUMIF(项目基本情况!D$12:I$12,C7,项目基本情况!D$15:I$15)</f>
        <v>31.14</v>
      </c>
      <c r="G7" s="73">
        <f t="shared" si="0"/>
        <v>0.90100000000000002</v>
      </c>
      <c r="H7" s="802">
        <v>4.4999999999999998E-2</v>
      </c>
      <c r="I7" s="802">
        <v>0.05</v>
      </c>
      <c r="J7" s="74">
        <v>8.5000000000000006E-2</v>
      </c>
      <c r="K7" s="1254">
        <f>SUMIF('数据-汇总表'!C$19:C$33,A7,'数据-汇总表'!E$19:E$33)</f>
        <v>2967.81</v>
      </c>
      <c r="L7" s="803">
        <f>[1]价值汇总!$I$4</f>
        <v>4000</v>
      </c>
      <c r="M7" s="75">
        <f t="shared" si="1"/>
        <v>1187</v>
      </c>
      <c r="N7" s="801">
        <f>ROUND(1-(2018-2013)/60,2)</f>
        <v>0.92</v>
      </c>
      <c r="O7" s="75" t="str">
        <f t="shared" ref="O7:O14" si="3">IF($N$5="成新度","——",ROUND(M7*N7,0))</f>
        <v>——</v>
      </c>
      <c r="P7" s="76" t="str">
        <f t="shared" ref="P7:P14" si="4">IF($N$5="成新度","——",M7-O7)</f>
        <v>——</v>
      </c>
      <c r="Q7" s="804">
        <f>[1]价值汇总!$J$4</f>
        <v>0.05</v>
      </c>
      <c r="R7" s="77">
        <f ca="1">SUMIF('数据-汇总表'!C$19:C$33,A7,'数据-汇总表'!R$19:R$27)</f>
        <v>5033.84</v>
      </c>
      <c r="S7" s="54">
        <f>IF('数据-汇总表'!$I$17="按面积比例",SUMIF('数据-汇总表'!C$19:C$33,A7,'数据-汇总表'!K$19:K$33),SUMIF('数据-汇总表'!C$19:C$33,A7,'数据-汇总表'!N$19:N$33))</f>
        <v>0</v>
      </c>
      <c r="T7" s="1446">
        <f t="shared" ref="T7:T13" si="5">ROUND($L$14*S7/10000,0)</f>
        <v>0</v>
      </c>
      <c r="U7" s="78">
        <f>[1]价值汇总!$K$4</f>
        <v>2</v>
      </c>
      <c r="V7" s="79">
        <f>[1]价值汇总!$L$4</f>
        <v>0.03</v>
      </c>
      <c r="W7" s="79">
        <f>[1]价值汇总!$M$4</f>
        <v>0.1</v>
      </c>
      <c r="X7" s="1264"/>
      <c r="Y7" s="80">
        <f>N7</f>
        <v>0.92</v>
      </c>
      <c r="Z7" s="81"/>
      <c r="AA7" s="74"/>
      <c r="AB7" s="74"/>
      <c r="AC7" s="1264"/>
      <c r="AD7" s="82"/>
      <c r="AE7" s="1265">
        <f t="shared" ref="AE7:AE13" ca="1" si="6">IF(AN7="",0,SUMIF(INDIRECT("'"&amp;AN7&amp;"'"&amp;"!E:E"),$AE$5,INDIRECT("'"&amp;AN7&amp;"'"&amp;"!F:F")))</f>
        <v>31.14</v>
      </c>
      <c r="AF7" s="1806"/>
      <c r="AG7" s="147">
        <f t="shared" ref="AG7:AG13" si="7">IF(AF7="",0,AE7-AF7)</f>
        <v>0</v>
      </c>
      <c r="AH7" s="83"/>
      <c r="AI7" s="85">
        <v>365</v>
      </c>
      <c r="AJ7" s="86"/>
      <c r="AK7" s="87">
        <f>[1]价值汇总!$N$4</f>
        <v>1.4999999999999999E-2</v>
      </c>
      <c r="AL7" s="88">
        <f>[1]价值汇总!$O$4</f>
        <v>1.5E-3</v>
      </c>
      <c r="AM7" s="89">
        <f>[1]价值汇总!$P$4</f>
        <v>0.01</v>
      </c>
      <c r="AN7" s="2308" t="s">
        <v>3075</v>
      </c>
      <c r="AO7" s="55">
        <f t="shared" ref="AO7:AO13" ca="1" si="8">SUMIF(INDIRECT("'"&amp;AN7&amp;"'"&amp;"!A:A"),"总价",INDIRECT("'"&amp;AN7&amp;"'"&amp;"!B:B"))</f>
        <v>2977</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hidden="1">
      <c r="A8" s="2305">
        <f>'数据-汇总表'!C21</f>
        <v>0</v>
      </c>
      <c r="B8" s="2306" t="str">
        <f t="shared" si="2"/>
        <v/>
      </c>
      <c r="C8" s="2307"/>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f t="shared" ref="N8:N13" si="12">ROUND(1-(2018-2012)/60,0)</f>
        <v>1</v>
      </c>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hidden="1">
      <c r="A9" s="2305">
        <f>'数据-汇总表'!C22</f>
        <v>0</v>
      </c>
      <c r="B9" s="2306" t="str">
        <f t="shared" si="2"/>
        <v/>
      </c>
      <c r="C9" s="2307"/>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f t="shared" si="12"/>
        <v>1</v>
      </c>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hidden="1">
      <c r="A10" s="2305">
        <f>'数据-汇总表'!C23</f>
        <v>0</v>
      </c>
      <c r="B10" s="2306" t="str">
        <f t="shared" si="2"/>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f t="shared" si="12"/>
        <v>1</v>
      </c>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hidden="1">
      <c r="A11" s="2305">
        <f>'数据-汇总表'!C24</f>
        <v>0</v>
      </c>
      <c r="B11" s="2306" t="str">
        <f t="shared" si="2"/>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801">
        <f t="shared" si="12"/>
        <v>1</v>
      </c>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hidden="1">
      <c r="A12" s="2305">
        <f>'数据-汇总表'!C25</f>
        <v>0</v>
      </c>
      <c r="B12" s="2306" t="str">
        <f t="shared" si="2"/>
        <v/>
      </c>
      <c r="C12" s="2307"/>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801">
        <f t="shared" si="12"/>
        <v>1</v>
      </c>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hidden="1">
      <c r="A13" s="2305">
        <f>'数据-汇总表'!C26</f>
        <v>0</v>
      </c>
      <c r="B13" s="2306" t="str">
        <f t="shared" si="2"/>
        <v/>
      </c>
      <c r="C13" s="2307"/>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801">
        <f t="shared" si="12"/>
        <v>1</v>
      </c>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2009</v>
      </c>
      <c r="B14" s="2306" t="s">
        <v>2010</v>
      </c>
      <c r="C14" s="2311" t="s">
        <v>2009</v>
      </c>
      <c r="D14" s="1054"/>
      <c r="E14" s="1051"/>
      <c r="F14" s="72"/>
      <c r="G14" s="73"/>
      <c r="H14" s="1253"/>
      <c r="I14" s="1253"/>
      <c r="J14" s="1253"/>
      <c r="K14" s="1254">
        <f>SUMIF('数据-汇总表'!C$19:C$33,A14,'数据-汇总表'!E$19:E$33)</f>
        <v>0</v>
      </c>
      <c r="L14" s="91"/>
      <c r="M14" s="75">
        <f t="shared" si="1"/>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2011</v>
      </c>
      <c r="B15" s="2306" t="s">
        <v>2010</v>
      </c>
      <c r="C15" s="2311"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2013</v>
      </c>
      <c r="B16" s="97"/>
      <c r="C16" s="1008"/>
      <c r="D16" s="2313"/>
      <c r="E16" s="97"/>
      <c r="F16" s="97"/>
      <c r="G16" s="98">
        <f>ROUND(SUMPRODUCT(G6:G13,K6:K13)/SUMPRODUCT((G6:G13&gt;0)*(K6:K13)),3)</f>
        <v>0.90100000000000002</v>
      </c>
      <c r="H16" s="99">
        <f>ROUND(SUMPRODUCT(H6:H13,K6:K13)/SUMPRODUCT((H6:H13&gt;0)*(K6:K13)),3)</f>
        <v>4.4999999999999998E-2</v>
      </c>
      <c r="I16" s="100"/>
      <c r="J16" s="100"/>
      <c r="K16" s="101">
        <f>SUM(K6:K15)</f>
        <v>101555.9</v>
      </c>
      <c r="L16" s="102">
        <f>ROUND(M16*10000/SUM(K6:K14),0)</f>
        <v>2058</v>
      </c>
      <c r="M16" s="102">
        <f>SUM(M6:M14)</f>
        <v>20905</v>
      </c>
      <c r="N16" s="103">
        <f>ROUND(SUMPRODUCT(M6:M14,N6:N14)/M16,3)</f>
        <v>0.90100000000000002</v>
      </c>
      <c r="O16" s="102">
        <f>SUM(O6:O14)</f>
        <v>0</v>
      </c>
      <c r="P16" s="102">
        <f>SUM(P6:P14)</f>
        <v>0</v>
      </c>
      <c r="Q16" s="104">
        <f>ROUND(SUMPRODUCT(Q6:Q13,K6:K13)/SUMPRODUCT((Q6:Q13&gt;0)*(K6:K13)),2)</f>
        <v>0.15</v>
      </c>
      <c r="R16" s="1258">
        <f ca="1">SUM(R6:R13)</f>
        <v>172253.55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2015</v>
      </c>
      <c r="B19" s="112">
        <v>0</v>
      </c>
      <c r="C19" s="2276" t="s">
        <v>2016</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2017</v>
      </c>
      <c r="B20" s="113">
        <f>[2]价值汇总!$H$3</f>
        <v>2</v>
      </c>
      <c r="C20" s="2276" t="s">
        <v>2018</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2019</v>
      </c>
      <c r="B21" s="113">
        <f>B20</f>
        <v>2</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2020</v>
      </c>
      <c r="B22" s="114">
        <f>B19+B20</f>
        <v>2</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2021</v>
      </c>
      <c r="B23" s="114">
        <f>B19+B21</f>
        <v>2</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2022</v>
      </c>
      <c r="B24" s="115">
        <f>B20-B21</f>
        <v>0</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2023</v>
      </c>
      <c r="B26" s="2319" t="s">
        <v>2024</v>
      </c>
      <c r="C26" s="2320" t="s">
        <v>2025</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2026</v>
      </c>
      <c r="B27" s="116"/>
      <c r="C27" s="2956" t="s">
        <v>3109</v>
      </c>
      <c r="D27" s="2322"/>
      <c r="E27" s="1430"/>
      <c r="F27" s="1430"/>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2027</v>
      </c>
      <c r="B28" s="119"/>
      <c r="C28" s="2325"/>
      <c r="D28" s="2322"/>
      <c r="E28" s="1430"/>
      <c r="F28" s="1430"/>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2028</v>
      </c>
      <c r="B29" s="121"/>
      <c r="C29" s="1766" t="s">
        <v>2029</v>
      </c>
      <c r="D29" s="2322"/>
      <c r="E29" s="1430"/>
      <c r="F29" s="1430"/>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2030</v>
      </c>
      <c r="B30" s="724">
        <v>200</v>
      </c>
      <c r="C30" s="2325"/>
      <c r="D30" s="2322"/>
      <c r="E30" s="1430"/>
      <c r="F30" s="1430"/>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2031</v>
      </c>
      <c r="B31" s="120">
        <f>B30-B32</f>
        <v>200</v>
      </c>
      <c r="C31" s="1766"/>
      <c r="D31" s="2322"/>
      <c r="E31" s="1430"/>
      <c r="F31" s="1430"/>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2032</v>
      </c>
      <c r="B32" s="725">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2033</v>
      </c>
      <c r="B33" s="726">
        <v>0.03</v>
      </c>
      <c r="C33" s="1765" t="s">
        <v>2034</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2035</v>
      </c>
      <c r="B34" s="122">
        <v>0</v>
      </c>
      <c r="C34" s="1765" t="s">
        <v>2036</v>
      </c>
      <c r="D34" s="2277" t="s">
        <v>2037</v>
      </c>
      <c r="E34" s="732"/>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2038</v>
      </c>
      <c r="B35" s="119">
        <v>200</v>
      </c>
      <c r="C35" s="1765" t="s">
        <v>2039</v>
      </c>
      <c r="D35" s="2322"/>
      <c r="E35" s="1430"/>
      <c r="F35" s="1430"/>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2040</v>
      </c>
      <c r="B36" s="123">
        <v>1.4999999999999999E-2</v>
      </c>
      <c r="C36" s="1765" t="s">
        <v>2041</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2042</v>
      </c>
      <c r="B37" s="124">
        <v>0.01</v>
      </c>
      <c r="C37" s="1765" t="s">
        <v>2043</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2044</v>
      </c>
      <c r="B38" s="122">
        <v>0.02</v>
      </c>
      <c r="C38" s="1765" t="s">
        <v>2043</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2045</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2046</v>
      </c>
      <c r="B40" s="1303">
        <f ca="1">存贷款利率!G1</f>
        <v>4.7500000000000001E-2</v>
      </c>
      <c r="C40" s="1765" t="s">
        <v>2047</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2048</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2049</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2050</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2051</v>
      </c>
      <c r="B44" s="128">
        <v>7.0000000000000007E-2</v>
      </c>
      <c r="C44" s="1765" t="s">
        <v>2052</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2053</v>
      </c>
      <c r="B45" s="126">
        <v>0.03</v>
      </c>
      <c r="C45" s="1766" t="s">
        <v>2054</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2055</v>
      </c>
      <c r="B46" s="126">
        <v>0.02</v>
      </c>
      <c r="C46" s="1766" t="s">
        <v>2056</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2057</v>
      </c>
      <c r="B47" s="129">
        <v>0</v>
      </c>
      <c r="C47" s="1766" t="s">
        <v>2058</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2059</v>
      </c>
      <c r="B48" s="130">
        <v>0.03</v>
      </c>
      <c r="C48" s="1773" t="s">
        <v>2060</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2061</v>
      </c>
      <c r="B49" s="126">
        <v>5.0000000000000001E-4</v>
      </c>
      <c r="C49" s="1773" t="s">
        <v>2062</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2063</v>
      </c>
      <c r="B50" s="131">
        <v>1.2E-2</v>
      </c>
      <c r="C50" s="1430"/>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2064</v>
      </c>
      <c r="B51" s="132">
        <v>0.12</v>
      </c>
      <c r="C51" s="1430"/>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2065</v>
      </c>
      <c r="B52" s="133">
        <f>SUMIF(A54:A63,B53,B54:B63)</f>
        <v>7</v>
      </c>
      <c r="C52" s="1430"/>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2066</v>
      </c>
      <c r="B53" s="2335" t="s">
        <v>212</v>
      </c>
      <c r="C53" s="1430" t="s">
        <v>2067</v>
      </c>
      <c r="D53" s="2336" t="s">
        <v>2068</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2069</v>
      </c>
      <c r="B54" s="84">
        <v>7</v>
      </c>
      <c r="C54" s="1430">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2070</v>
      </c>
      <c r="B55" s="84"/>
      <c r="C55" s="1430">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2071</v>
      </c>
      <c r="B56" s="84"/>
      <c r="C56" s="1430">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2072</v>
      </c>
      <c r="B57" s="84"/>
      <c r="C57" s="1430">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2073</v>
      </c>
      <c r="B58" s="84"/>
      <c r="C58" s="1430">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2074</v>
      </c>
      <c r="B59" s="84"/>
      <c r="C59" s="1430">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2075</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2076</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2077</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2078</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G10" sqref="G10"/>
      <selection pane="topRight" activeCell="G10" sqref="G10"/>
      <selection pane="bottomLeft" activeCell="G10" sqref="G1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7" t="s">
        <v>2079</v>
      </c>
      <c r="B1" s="3078"/>
      <c r="C1" s="3078"/>
      <c r="D1" s="3078"/>
      <c r="E1" s="3078"/>
      <c r="F1" s="3078"/>
      <c r="G1" s="307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5"/>
      <c r="G2" s="2364" t="s">
        <v>2081</v>
      </c>
      <c r="H2" s="2367"/>
      <c r="I2" s="2367"/>
      <c r="J2" s="2367"/>
      <c r="K2" s="2367"/>
      <c r="L2" s="2367"/>
      <c r="M2" s="2367"/>
      <c r="N2" s="2367"/>
      <c r="O2" s="2367"/>
      <c r="P2" s="2367"/>
      <c r="Q2" s="2367"/>
      <c r="R2" s="2367"/>
    </row>
    <row r="3" spans="1:29" ht="54">
      <c r="A3" s="415" t="s">
        <v>2082</v>
      </c>
      <c r="B3" s="1271"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7"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7" t="s">
        <v>2091</v>
      </c>
      <c r="C5" s="2373" t="s">
        <v>2092</v>
      </c>
      <c r="D5" s="2370"/>
      <c r="E5" s="2374"/>
      <c r="F5" s="1797" t="s">
        <v>2093</v>
      </c>
      <c r="G5" s="2375" t="s">
        <v>2094</v>
      </c>
      <c r="H5" s="2367"/>
      <c r="I5" s="2367"/>
      <c r="J5" s="2367"/>
      <c r="K5" s="2367"/>
      <c r="L5" s="2367"/>
      <c r="M5" s="2367"/>
      <c r="N5" s="2367"/>
      <c r="O5" s="2367"/>
      <c r="P5" s="2367"/>
      <c r="Q5" s="2367"/>
      <c r="R5" s="2367"/>
    </row>
    <row r="6" spans="1:29" ht="54">
      <c r="A6" s="431"/>
      <c r="B6" s="1797" t="s">
        <v>2095</v>
      </c>
      <c r="C6" s="2375" t="s">
        <v>2090</v>
      </c>
      <c r="D6" s="2370"/>
      <c r="E6" s="2374"/>
      <c r="F6" s="1797" t="s">
        <v>2096</v>
      </c>
      <c r="G6" s="2375" t="s">
        <v>2097</v>
      </c>
      <c r="H6" s="2367"/>
      <c r="I6" s="2367"/>
      <c r="J6" s="2367"/>
      <c r="K6" s="2367"/>
      <c r="L6" s="2367"/>
      <c r="M6" s="2367"/>
      <c r="N6" s="2367"/>
      <c r="O6" s="2367"/>
      <c r="P6" s="2367"/>
      <c r="Q6" s="2367"/>
      <c r="R6" s="2367"/>
    </row>
    <row r="7" spans="1:29" ht="41.25" thickBot="1">
      <c r="A7" s="431"/>
      <c r="B7" s="1797"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7" t="s">
        <v>2096</v>
      </c>
      <c r="C8" s="2375" t="s">
        <v>2097</v>
      </c>
      <c r="D8" s="2376"/>
      <c r="E8" s="2376"/>
      <c r="F8" s="1136"/>
      <c r="G8" s="1136"/>
      <c r="H8" s="2367"/>
      <c r="I8" s="2367"/>
      <c r="J8" s="2367"/>
      <c r="K8" s="2367"/>
      <c r="L8" s="2367"/>
      <c r="M8" s="2367"/>
      <c r="N8" s="2367"/>
      <c r="O8" s="2367"/>
      <c r="P8" s="2367"/>
      <c r="Q8" s="2367"/>
      <c r="R8" s="2367"/>
    </row>
    <row r="9" spans="1:29" ht="27">
      <c r="A9" s="431"/>
      <c r="B9" s="1797" t="s">
        <v>2100</v>
      </c>
      <c r="C9" s="2373" t="s">
        <v>2101</v>
      </c>
      <c r="D9" s="2370"/>
      <c r="E9" s="2376"/>
      <c r="F9" s="1136"/>
      <c r="G9" s="1136"/>
      <c r="H9" s="2367"/>
      <c r="I9" s="2367"/>
      <c r="J9" s="2367"/>
      <c r="K9" s="2367"/>
      <c r="L9" s="2367"/>
      <c r="M9" s="2367"/>
      <c r="N9" s="2367"/>
      <c r="O9" s="2367"/>
      <c r="P9" s="2367"/>
      <c r="Q9" s="2367"/>
      <c r="R9" s="2367"/>
    </row>
    <row r="10" spans="1:29" s="117" customFormat="1" ht="15.75" thickBot="1">
      <c r="A10" s="2380"/>
      <c r="B10" s="2381" t="s">
        <v>2102</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70" t="s">
        <v>2083</v>
      </c>
      <c r="C15" s="2402" t="str">
        <f>C3</f>
        <v>估价对象周边居住用地比例、居住小区规模和社区发展完善程度，综合评价居住社区成熟度一般</v>
      </c>
      <c r="D15" s="2370"/>
      <c r="E15" s="2403" t="s">
        <v>2107</v>
      </c>
      <c r="F15" s="1270"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71"/>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71"/>
      <c r="D19" s="2370"/>
      <c r="E19" s="2406"/>
      <c r="F19" s="1797"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7" t="s">
        <v>2112</v>
      </c>
      <c r="G20" s="136" t="str">
        <f>G6</f>
        <v>估价对象所在区域基础设施水平</v>
      </c>
    </row>
    <row r="21" spans="1:18" ht="28.5">
      <c r="A21" s="645"/>
      <c r="B21" s="1797" t="s">
        <v>2093</v>
      </c>
      <c r="C21" s="136" t="str">
        <f>C7</f>
        <v>估价对象所在区域公共配套设施齐备情况</v>
      </c>
      <c r="D21" s="2370"/>
      <c r="E21" s="2406"/>
      <c r="F21" s="2407" t="s">
        <v>2113</v>
      </c>
      <c r="G21" s="2408"/>
    </row>
    <row r="22" spans="1:18" ht="13.5" customHeight="1">
      <c r="A22" s="645"/>
      <c r="B22" s="1797" t="s">
        <v>2096</v>
      </c>
      <c r="C22" s="136" t="str">
        <f>C8</f>
        <v>估价对象所在区域基础设施水平</v>
      </c>
      <c r="D22" s="2370"/>
      <c r="E22" s="2406"/>
      <c r="F22" s="2407" t="s">
        <v>2102</v>
      </c>
      <c r="G22" s="1571"/>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19" sqref="F19"/>
    </sheetView>
  </sheetViews>
  <sheetFormatPr defaultRowHeight="13.5"/>
  <cols>
    <col min="1" max="1" width="23.375" style="1740" customWidth="1"/>
    <col min="2" max="9" width="15.75" style="1740" customWidth="1"/>
    <col min="10" max="16384" width="9" style="1740"/>
  </cols>
  <sheetData>
    <row r="1" spans="1:10" ht="16.5">
      <c r="A1" s="1745" t="s">
        <v>1365</v>
      </c>
      <c r="B1" s="1745">
        <f>SUM(B14:B23)</f>
        <v>1885471.28</v>
      </c>
      <c r="C1" s="1744"/>
      <c r="D1" s="1744"/>
      <c r="E1" s="1744"/>
      <c r="F1" s="1744"/>
      <c r="G1" s="1742"/>
    </row>
    <row r="2" spans="1:10" ht="16.5">
      <c r="A2" s="1745" t="s">
        <v>1353</v>
      </c>
      <c r="B2" s="1745">
        <f>SUM(C14:C23)</f>
        <v>1886484.4000000001</v>
      </c>
      <c r="C2" s="1744"/>
      <c r="D2" s="1744"/>
      <c r="E2" s="1744"/>
      <c r="F2" s="1744"/>
      <c r="G2" s="1742"/>
    </row>
    <row r="3" spans="1:10" ht="16.5">
      <c r="A3" s="1745" t="s">
        <v>1362</v>
      </c>
      <c r="B3" s="1746">
        <f>项目基本情况!D3</f>
        <v>43180</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1091823</v>
      </c>
      <c r="C5" s="1745">
        <f ca="1">ROUND(B5*10000/$B$1,0)</f>
        <v>5791</v>
      </c>
      <c r="D5" s="1745">
        <f ca="1">ROUND(B5*10000/$B$2,0)</f>
        <v>5788</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1091823</v>
      </c>
      <c r="C7" s="1745">
        <f ca="1">ROUND(B7*10000/$B$1,0)</f>
        <v>5791</v>
      </c>
      <c r="D7" s="1745">
        <f ca="1">ROUND(B7*10000/$B$2,0)</f>
        <v>5788</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101555.9</v>
      </c>
      <c r="C14" s="1743">
        <f>结果表!C118</f>
        <v>172253.55</v>
      </c>
      <c r="D14" s="1743">
        <f ca="1">结果表!H118</f>
        <v>125871</v>
      </c>
      <c r="E14" s="1743">
        <f ca="1">ROUND(D14*10000/B14,0)</f>
        <v>12394</v>
      </c>
      <c r="F14" s="1743">
        <f ca="1">ROUND(D14*10000/C14,0)</f>
        <v>7307</v>
      </c>
      <c r="G14" s="1743" t="str">
        <f>结果表!D122</f>
        <v>——</v>
      </c>
      <c r="H14" s="1743">
        <f ca="1">结果表!D124</f>
        <v>125871</v>
      </c>
      <c r="I14" s="1743" t="str">
        <f>结果表!D126</f>
        <v>——</v>
      </c>
      <c r="J14" s="1742"/>
    </row>
    <row r="15" spans="1:10" ht="16.5">
      <c r="A15" s="1741" t="s">
        <v>1349</v>
      </c>
      <c r="B15" s="1748">
        <f>[3]系统读取表!$B$14</f>
        <v>81593.87</v>
      </c>
      <c r="C15" s="1748">
        <f>[3]系统读取表!$C$14</f>
        <v>147746.54999999999</v>
      </c>
      <c r="D15" s="1748">
        <f ca="1">[3]系统读取表!$D$14</f>
        <v>37924</v>
      </c>
      <c r="E15" s="1743">
        <f t="shared" ref="E15:E23" ca="1" si="0">ROUND(D15*10000/B15,0)</f>
        <v>4648</v>
      </c>
      <c r="F15" s="1743">
        <f t="shared" ref="F15:F23" ca="1" si="1">ROUND(D15*10000/C15,0)</f>
        <v>2567</v>
      </c>
      <c r="G15" s="1749" t="str">
        <f>[3]系统读取表!$G$14</f>
        <v>——</v>
      </c>
      <c r="H15" s="1749">
        <f ca="1">[3]系统读取表!$H$14</f>
        <v>37924</v>
      </c>
      <c r="I15" s="1749" t="str">
        <f>[3]系统读取表!$I$14</f>
        <v>——</v>
      </c>
      <c r="J15" s="1742"/>
    </row>
    <row r="16" spans="1:10" ht="16.5">
      <c r="A16" s="1741" t="s">
        <v>1348</v>
      </c>
      <c r="B16" s="1748">
        <f>[4]系统读取表!$B$14</f>
        <v>441970</v>
      </c>
      <c r="C16" s="1748">
        <f>[4]系统读取表!$C$14</f>
        <v>294647</v>
      </c>
      <c r="D16" s="1748">
        <f>[4]系统读取表!$D$14</f>
        <v>246469</v>
      </c>
      <c r="E16" s="1743">
        <f t="shared" si="0"/>
        <v>5577</v>
      </c>
      <c r="F16" s="1743">
        <f t="shared" si="1"/>
        <v>8365</v>
      </c>
      <c r="G16" s="1749" t="str">
        <f>[4]系统读取表!$G$14</f>
        <v>——</v>
      </c>
      <c r="H16" s="1749">
        <f>[4]系统读取表!$H$14</f>
        <v>246469</v>
      </c>
      <c r="I16" s="1748" t="str">
        <f>[4]系统读取表!$I$14</f>
        <v>——</v>
      </c>
    </row>
    <row r="17" spans="1:9" ht="16.5">
      <c r="A17" s="1741" t="s">
        <v>1347</v>
      </c>
      <c r="B17" s="1748">
        <f>[5]系统读取表!$B$14</f>
        <v>257461.51</v>
      </c>
      <c r="C17" s="1748">
        <f>[5]系统读取表!$C$14</f>
        <v>332915.09999999998</v>
      </c>
      <c r="D17" s="1748">
        <f ca="1">[5]系统读取表!$D$14</f>
        <v>170020</v>
      </c>
      <c r="E17" s="1743">
        <f t="shared" ca="1" si="0"/>
        <v>6604</v>
      </c>
      <c r="F17" s="1743">
        <f t="shared" ca="1" si="1"/>
        <v>5107</v>
      </c>
      <c r="G17" s="1749" t="str">
        <f>[5]系统读取表!$G$14</f>
        <v>——</v>
      </c>
      <c r="H17" s="1749">
        <f ca="1">[5]系统读取表!$H$14</f>
        <v>170020</v>
      </c>
      <c r="I17" s="1748" t="str">
        <f>[5]系统读取表!$I$14</f>
        <v>——</v>
      </c>
    </row>
    <row r="18" spans="1:9" ht="16.5">
      <c r="A18" s="1741" t="s">
        <v>1346</v>
      </c>
      <c r="B18" s="1748">
        <f>[6]系统读取表!$B$14</f>
        <v>170400</v>
      </c>
      <c r="C18" s="1748">
        <f>[6]系统读取表!$C$14</f>
        <v>344491.3</v>
      </c>
      <c r="D18" s="1748">
        <f ca="1">[6]系统读取表!$D$14</f>
        <v>100639</v>
      </c>
      <c r="E18" s="1743">
        <f t="shared" ca="1" si="0"/>
        <v>5906</v>
      </c>
      <c r="F18" s="1743">
        <f t="shared" ca="1" si="1"/>
        <v>2921</v>
      </c>
      <c r="G18" s="1748" t="str">
        <f>[6]系统读取表!$G$14</f>
        <v>——</v>
      </c>
      <c r="H18" s="1748">
        <f ca="1">[6]系统读取表!$H$14</f>
        <v>100639</v>
      </c>
      <c r="I18" s="1748" t="str">
        <f>[6]系统读取表!$I$14</f>
        <v>——</v>
      </c>
    </row>
    <row r="19" spans="1:9" ht="16.5">
      <c r="A19" s="1741" t="s">
        <v>1345</v>
      </c>
      <c r="B19" s="1748">
        <f>[7]系统读取表!$B$14</f>
        <v>766090</v>
      </c>
      <c r="C19" s="1748">
        <f>[7]系统读取表!$C$14</f>
        <v>494378.8</v>
      </c>
      <c r="D19" s="1748">
        <f ca="1">[7]系统读取表!$D$14</f>
        <v>371511</v>
      </c>
      <c r="E19" s="1743">
        <f t="shared" ca="1" si="0"/>
        <v>4849</v>
      </c>
      <c r="F19" s="1743">
        <f t="shared" ca="1" si="1"/>
        <v>7515</v>
      </c>
      <c r="G19" s="1748" t="str">
        <f>[7]系统读取表!$G$14</f>
        <v>——</v>
      </c>
      <c r="H19" s="1748">
        <f ca="1">[7]系统读取表!$H$14</f>
        <v>371511</v>
      </c>
      <c r="I19" s="1748" t="str">
        <f>[7]系统读取表!$I$14</f>
        <v>——</v>
      </c>
    </row>
    <row r="20" spans="1:9" ht="16.5">
      <c r="A20" s="1741" t="s">
        <v>1344</v>
      </c>
      <c r="B20" s="1748">
        <f>[8]系统读取表!$B$14</f>
        <v>66400</v>
      </c>
      <c r="C20" s="1748">
        <f>[8]系统读取表!$C$14</f>
        <v>100052.1</v>
      </c>
      <c r="D20" s="1748">
        <f ca="1">[8]系统读取表!$D$14</f>
        <v>39389</v>
      </c>
      <c r="E20" s="1743">
        <f t="shared" ca="1" si="0"/>
        <v>5932</v>
      </c>
      <c r="F20" s="1743">
        <f t="shared" ca="1" si="1"/>
        <v>3937</v>
      </c>
      <c r="G20" s="1748" t="str">
        <f>[8]系统读取表!$G$14</f>
        <v>——</v>
      </c>
      <c r="H20" s="1748">
        <f ca="1">[8]系统读取表!$H$14</f>
        <v>39389</v>
      </c>
      <c r="I20" s="1748" t="str">
        <f>[8]系统读取表!$I$14</f>
        <v>——</v>
      </c>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2116</v>
      </c>
      <c r="B1" s="2418"/>
      <c r="C1" s="2419"/>
      <c r="D1" s="2418"/>
      <c r="E1" s="2418"/>
      <c r="F1" s="2420" t="s">
        <v>2117</v>
      </c>
      <c r="G1" s="2070" t="s">
        <v>3056</v>
      </c>
      <c r="H1" s="2421" t="str">
        <f>IF(G1="现房","——","估价对象范围")</f>
        <v>——</v>
      </c>
      <c r="I1" s="2422" t="s">
        <v>3081</v>
      </c>
    </row>
    <row r="2" spans="1:12" ht="21.75" customHeight="1" thickBot="1">
      <c r="A2" s="3112" t="str">
        <f>项目基本情况!S2</f>
        <v>广东省佛山市三水区芦苞镇芦苞大道33号房地产</v>
      </c>
      <c r="B2" s="3113"/>
      <c r="C2" s="3113"/>
      <c r="D2" s="3113"/>
      <c r="E2" s="3113"/>
      <c r="F2" s="3113"/>
      <c r="G2" s="3113"/>
      <c r="H2" s="3113"/>
      <c r="I2" s="3114"/>
    </row>
    <row r="3" spans="1:12" ht="12.75">
      <c r="A3" s="3116" t="s">
        <v>2118</v>
      </c>
      <c r="B3" s="3117"/>
      <c r="C3" s="3117"/>
      <c r="D3" s="3117"/>
      <c r="E3" s="3117"/>
      <c r="F3" s="3117"/>
      <c r="G3" s="3117"/>
      <c r="H3" s="3117"/>
      <c r="I3" s="3117"/>
    </row>
    <row r="4" spans="1:12" ht="14.25">
      <c r="A4" s="2425" t="s">
        <v>2119</v>
      </c>
      <c r="B4" s="2426" t="s">
        <v>2120</v>
      </c>
      <c r="C4" s="2427" t="s">
        <v>3079</v>
      </c>
      <c r="D4" s="2427" t="s">
        <v>3080</v>
      </c>
      <c r="E4" s="3109" t="s">
        <v>2121</v>
      </c>
      <c r="F4" s="3110"/>
      <c r="G4" s="3110"/>
      <c r="H4" s="3110"/>
      <c r="I4" s="3118"/>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2" t="s">
        <v>2122</v>
      </c>
      <c r="B5" s="3030">
        <v>25</v>
      </c>
      <c r="C5" s="3095"/>
      <c r="D5" s="3115"/>
      <c r="E5" s="140" t="s">
        <v>2123</v>
      </c>
      <c r="F5" s="2429"/>
      <c r="G5" s="2429"/>
      <c r="H5" s="2429"/>
      <c r="I5" s="1833"/>
    </row>
    <row r="6" spans="1:12" ht="12.75">
      <c r="A6" s="3092"/>
      <c r="B6" s="3030"/>
      <c r="C6" s="3096"/>
      <c r="D6" s="3115"/>
      <c r="E6" s="140" t="s">
        <v>2124</v>
      </c>
      <c r="F6" s="2429"/>
      <c r="G6" s="2429"/>
      <c r="H6" s="2429"/>
      <c r="I6" s="1833"/>
    </row>
    <row r="7" spans="1:12" ht="12.75">
      <c r="A7" s="3092"/>
      <c r="B7" s="3030"/>
      <c r="C7" s="3097"/>
      <c r="D7" s="3115"/>
      <c r="E7" s="140" t="s">
        <v>2125</v>
      </c>
      <c r="F7" s="2429"/>
      <c r="G7" s="2429"/>
      <c r="H7" s="2429"/>
      <c r="I7" s="1833"/>
    </row>
    <row r="8" spans="1:12" ht="12.75">
      <c r="A8" s="3092" t="s">
        <v>2126</v>
      </c>
      <c r="B8" s="3030">
        <v>15</v>
      </c>
      <c r="C8" s="3095"/>
      <c r="D8" s="3115"/>
      <c r="E8" s="140" t="s">
        <v>2127</v>
      </c>
      <c r="F8" s="2429"/>
      <c r="G8" s="2429"/>
      <c r="H8" s="2429"/>
      <c r="I8" s="1833"/>
    </row>
    <row r="9" spans="1:12" ht="12.75">
      <c r="A9" s="3092"/>
      <c r="B9" s="3030"/>
      <c r="C9" s="3097"/>
      <c r="D9" s="3115"/>
      <c r="E9" s="140" t="s">
        <v>2128</v>
      </c>
      <c r="F9" s="2429"/>
      <c r="G9" s="2429"/>
      <c r="H9" s="2429"/>
      <c r="I9" s="1833"/>
    </row>
    <row r="10" spans="1:12" ht="12.75">
      <c r="A10" s="3092" t="s">
        <v>2129</v>
      </c>
      <c r="B10" s="3030">
        <v>15</v>
      </c>
      <c r="C10" s="3095"/>
      <c r="D10" s="3115"/>
      <c r="E10" s="140" t="s">
        <v>2130</v>
      </c>
      <c r="F10" s="2429"/>
      <c r="G10" s="2429"/>
      <c r="H10" s="2429"/>
      <c r="I10" s="1833"/>
    </row>
    <row r="11" spans="1:12" ht="12.75">
      <c r="A11" s="3092"/>
      <c r="B11" s="3030"/>
      <c r="C11" s="3097"/>
      <c r="D11" s="3115"/>
      <c r="E11" s="140" t="s">
        <v>2131</v>
      </c>
      <c r="F11" s="2429"/>
      <c r="G11" s="2429"/>
      <c r="H11" s="2429"/>
      <c r="I11" s="1833"/>
    </row>
    <row r="12" spans="1:12" ht="12.75">
      <c r="A12" s="3092" t="s">
        <v>2132</v>
      </c>
      <c r="B12" s="3030">
        <v>15</v>
      </c>
      <c r="C12" s="3095"/>
      <c r="D12" s="3115"/>
      <c r="E12" s="140" t="s">
        <v>2133</v>
      </c>
      <c r="F12" s="2429"/>
      <c r="G12" s="2429"/>
      <c r="H12" s="2429"/>
      <c r="I12" s="1833"/>
    </row>
    <row r="13" spans="1:12" ht="12.75">
      <c r="A13" s="3092"/>
      <c r="B13" s="3030"/>
      <c r="C13" s="3097"/>
      <c r="D13" s="3115"/>
      <c r="E13" s="140" t="s">
        <v>2134</v>
      </c>
      <c r="F13" s="2429"/>
      <c r="G13" s="2429"/>
      <c r="H13" s="2429"/>
      <c r="I13" s="1833"/>
    </row>
    <row r="14" spans="1:12" ht="12.75">
      <c r="A14" s="3092" t="s">
        <v>2135</v>
      </c>
      <c r="B14" s="3030">
        <v>30</v>
      </c>
      <c r="C14" s="3095">
        <f>[1]价值汇总!$Y$3</f>
        <v>5</v>
      </c>
      <c r="D14" s="3115">
        <f>[1]价值汇总!$Z$3</f>
        <v>5</v>
      </c>
      <c r="E14" s="140" t="s">
        <v>2136</v>
      </c>
      <c r="F14" s="2429"/>
      <c r="G14" s="2429"/>
      <c r="H14" s="2429"/>
      <c r="I14" s="1833"/>
    </row>
    <row r="15" spans="1:12" ht="12.75">
      <c r="A15" s="3092"/>
      <c r="B15" s="3030"/>
      <c r="C15" s="3096"/>
      <c r="D15" s="3115"/>
      <c r="E15" s="140" t="s">
        <v>2137</v>
      </c>
      <c r="F15" s="2429"/>
      <c r="G15" s="2429"/>
      <c r="H15" s="2429"/>
      <c r="I15" s="1833"/>
    </row>
    <row r="16" spans="1:12" ht="12.75">
      <c r="A16" s="3092"/>
      <c r="B16" s="3030"/>
      <c r="C16" s="3097"/>
      <c r="D16" s="3115"/>
      <c r="E16" s="140" t="s">
        <v>2138</v>
      </c>
      <c r="F16" s="2429"/>
      <c r="G16" s="2429"/>
      <c r="H16" s="2429"/>
      <c r="I16" s="1833"/>
    </row>
    <row r="17" spans="1:35" ht="15">
      <c r="A17" s="2430" t="s">
        <v>2139</v>
      </c>
      <c r="B17" s="64"/>
      <c r="C17" s="141">
        <f>SUM(C5:C16)</f>
        <v>5</v>
      </c>
      <c r="D17" s="141">
        <f>SUM(D5:D16)</f>
        <v>5</v>
      </c>
      <c r="E17" s="138"/>
      <c r="F17" s="138"/>
      <c r="G17" s="138"/>
      <c r="H17" s="138"/>
      <c r="I17" s="138"/>
      <c r="K17" s="2428"/>
      <c r="L17" s="2431" t="s">
        <v>2140</v>
      </c>
      <c r="M17" s="2431" t="s">
        <v>2141</v>
      </c>
    </row>
    <row r="18" spans="1:35" ht="15.75" thickBot="1">
      <c r="A18" s="2432" t="s">
        <v>2142</v>
      </c>
      <c r="B18" s="2433"/>
      <c r="C18" s="142">
        <f>ROUND(C17/SUM(C17:D17),2)</f>
        <v>0.5</v>
      </c>
      <c r="D18" s="142">
        <f>1-C18</f>
        <v>0.5</v>
      </c>
      <c r="E18" s="138"/>
      <c r="F18" s="138"/>
      <c r="G18" s="138"/>
      <c r="H18" s="138"/>
      <c r="I18" s="138"/>
      <c r="K18" s="2428" t="s">
        <v>2143</v>
      </c>
      <c r="L18" s="2428">
        <f>IF(C1="",'数据-汇总表'!E3,SUMIF(项目类型,C1,'数据-汇总表'!E17:E26)+SUMIF(项目类型,C1,'数据-汇总表'!I17:I26))</f>
        <v>101555.9</v>
      </c>
      <c r="M18" s="2428">
        <f>IF(C1="",'数据-汇总表'!E3,SUMIF(项目类型,C1,'数据-汇总表'!E17:E26))</f>
        <v>101555.9</v>
      </c>
    </row>
    <row r="19" spans="1:35" ht="15">
      <c r="A19" s="2434" t="s">
        <v>2144</v>
      </c>
      <c r="B19" s="2435" t="s">
        <v>2145</v>
      </c>
      <c r="C19" s="143">
        <f ca="1">SUMIF(INDIRECT("'"&amp;C4&amp;"'"&amp;"!A:A"),结果表!B19,INDIRECT("'"&amp;C4&amp;"'"&amp;"!B:B"))</f>
        <v>114063</v>
      </c>
      <c r="D19" s="144">
        <f ca="1">SUMIF(INDIRECT("'"&amp;D4&amp;"'"&amp;"!A:A"),结果表!B19,INDIRECT("'"&amp;D4&amp;"'"&amp;"!B:B"))</f>
        <v>137678</v>
      </c>
      <c r="E19" s="2434" t="s">
        <v>2146</v>
      </c>
      <c r="F19" s="2435" t="s">
        <v>2145</v>
      </c>
      <c r="G19" s="145">
        <f ca="1">ROUND(C19*$C$18+D19*$D$18,0)</f>
        <v>125871</v>
      </c>
      <c r="H19" s="2436" t="s">
        <v>2147</v>
      </c>
      <c r="I19" s="138"/>
      <c r="K19" s="2428" t="s">
        <v>2148</v>
      </c>
      <c r="L19" s="2428">
        <f>IF(C1="",'数据-汇总表'!D3,SUMIF(项目类型,C1,'数据-汇总表'!D17:D26)+SUMIF(项目类型,C1,'数据-汇总表'!H17:H27))</f>
        <v>172253.55</v>
      </c>
      <c r="M19" s="2428">
        <f>IF(C1="",'数据-汇总表'!D3,SUMIF(项目类型,C1,'数据-汇总表'!D17:D26))</f>
        <v>172253.55</v>
      </c>
    </row>
    <row r="20" spans="1:35" ht="15">
      <c r="A20" s="2437"/>
      <c r="B20" s="1250" t="s">
        <v>2149</v>
      </c>
      <c r="C20" s="146">
        <f ca="1">SUMIF(INDIRECT("'"&amp;C4&amp;"'"&amp;"!A:A"),结果表!B20,INDIRECT("'"&amp;C4&amp;"'"&amp;"!B:B"))</f>
        <v>11232</v>
      </c>
      <c r="D20" s="147">
        <f ca="1">SUMIF(INDIRECT("'"&amp;D4&amp;"'"&amp;"!A:A"),结果表!B20,INDIRECT("'"&amp;D4&amp;"'"&amp;"!B:B"))</f>
        <v>13557</v>
      </c>
      <c r="E20" s="2437"/>
      <c r="F20" s="1250" t="s">
        <v>2149</v>
      </c>
      <c r="G20" s="148">
        <f ca="1">ROUND(C20*$C$18+D20*$D$18,0)</f>
        <v>12395</v>
      </c>
      <c r="H20" s="983" t="s">
        <v>2150</v>
      </c>
      <c r="I20" s="138"/>
    </row>
    <row r="21" spans="1:35" ht="15" customHeight="1" thickBot="1">
      <c r="A21" s="1003"/>
      <c r="B21" s="2438" t="s">
        <v>2151</v>
      </c>
      <c r="C21" s="789">
        <f ca="1">ROUND(C19*10000/L19,0)</f>
        <v>6622</v>
      </c>
      <c r="D21" s="790">
        <f ca="1">ROUND(D19*10000/L19,0)</f>
        <v>7993</v>
      </c>
      <c r="E21" s="1003"/>
      <c r="F21" s="2438" t="s">
        <v>2151</v>
      </c>
      <c r="G21" s="149">
        <f ca="1">ROUND(G19*10000/L19,0)</f>
        <v>7307</v>
      </c>
      <c r="H21" s="2439" t="s">
        <v>2150</v>
      </c>
      <c r="I21" s="138"/>
    </row>
    <row r="22" spans="1:35" ht="15" thickBot="1">
      <c r="A22" s="2280" t="s">
        <v>2152</v>
      </c>
      <c r="B22" s="2440"/>
      <c r="C22" s="2441"/>
      <c r="D22" s="791">
        <f ca="1">IF(C19&lt;D19,D19/C19-1,C19/D19-1)</f>
        <v>0.20703470888894726</v>
      </c>
      <c r="E22" s="138"/>
      <c r="F22" s="138"/>
      <c r="G22" s="138"/>
      <c r="H22" s="138"/>
      <c r="I22" s="138"/>
    </row>
    <row r="23" spans="1:35" ht="13.5" thickBot="1">
      <c r="A23" s="2418"/>
      <c r="B23" s="2418"/>
      <c r="C23" s="2418"/>
      <c r="D23" s="2418"/>
      <c r="E23" s="138"/>
      <c r="F23" s="138"/>
      <c r="G23" s="138"/>
      <c r="H23" s="138"/>
      <c r="I23" s="138"/>
    </row>
    <row r="24" spans="1:35" ht="14.25">
      <c r="A24" s="3086" t="s">
        <v>2153</v>
      </c>
      <c r="B24" s="2435" t="s">
        <v>2145</v>
      </c>
      <c r="C24" s="145">
        <f>IF(B30=0,0,D30)</f>
        <v>0</v>
      </c>
      <c r="D24" s="2442"/>
      <c r="E24" s="138"/>
      <c r="F24" s="138"/>
      <c r="G24" s="138"/>
      <c r="H24" s="138"/>
      <c r="I24" s="138"/>
    </row>
    <row r="25" spans="1:35" ht="14.25">
      <c r="A25" s="3087"/>
      <c r="B25" s="1250"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27" t="s">
        <v>3039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f ca="1">IF(D32="总价",G19-C24,G20-C25)</f>
        <v>125871</v>
      </c>
      <c r="D32" s="2449" t="s">
        <v>2160</v>
      </c>
      <c r="E32" s="138"/>
      <c r="F32" s="138"/>
      <c r="G32" s="138"/>
      <c r="H32" s="138"/>
      <c r="I32" s="138"/>
    </row>
    <row r="33" spans="1:15" ht="15">
      <c r="A33" s="960" t="s">
        <v>2161</v>
      </c>
      <c r="B33" s="2450"/>
      <c r="C33" s="2451" t="s">
        <v>3082</v>
      </c>
      <c r="D33" s="2452" t="s">
        <v>3079</v>
      </c>
      <c r="E33" s="2453" t="s">
        <v>2162</v>
      </c>
      <c r="F33" s="2454" t="str">
        <f>IF(D32="楼面单价","取值（单价）","取值（总价）")</f>
        <v>取值（总价）</v>
      </c>
      <c r="G33" s="138"/>
      <c r="H33" s="138"/>
      <c r="I33" s="138"/>
    </row>
    <row r="34" spans="1:15" ht="15">
      <c r="A34" s="2455"/>
      <c r="B34" s="2456" t="s">
        <v>2163</v>
      </c>
      <c r="C34" s="157">
        <f ca="1">IF(C33="自定义",F34,C32-C35)</f>
        <v>94781</v>
      </c>
      <c r="D34" s="1058">
        <f ca="1">IF(C33="自定义",ROUND(C34/C32,3),IF(C33="收益比率",SUMIF(INDIRECT("'"&amp;D33&amp;"'"&amp;"!b:b"),"土地收益比率",INDIRECT("'"&amp;D33&amp;"'"&amp;"!c:c")),SUMIF(INDIRECT("'"&amp;D33&amp;"'"&amp;"!b:b"),"土地成本比率",INDIRECT("'"&amp;D33&amp;"'"&amp;"!c:c"))))</f>
        <v>0.753</v>
      </c>
      <c r="E34" s="2457" t="s">
        <v>2164</v>
      </c>
      <c r="F34" s="1738"/>
      <c r="G34" s="138"/>
      <c r="H34" s="138"/>
      <c r="I34" s="138"/>
    </row>
    <row r="35" spans="1:15" ht="15.75" thickBot="1">
      <c r="A35" s="2458"/>
      <c r="B35" s="2459" t="s">
        <v>2165</v>
      </c>
      <c r="C35" s="1444">
        <f ca="1">IF(C33="自定义",F35,ROUND(C32*D35,0))</f>
        <v>31090</v>
      </c>
      <c r="D35" s="1445">
        <f ca="1">IF(C33="自定义",ROUND(C35/C32,3),IF(C33="收益比率",SUMIF(INDIRECT("'"&amp;D33&amp;"'"&amp;"!b:b"),"建筑物收益比率",INDIRECT("'"&amp;D33&amp;"'"&amp;"!c:c")),SUMIF(INDIRECT("'"&amp;D33&amp;"'"&amp;"!b:b"),"建筑物成本比率",INDIRECT("'"&amp;D33&amp;"'"&amp;"!c:c"))))</f>
        <v>0.247</v>
      </c>
      <c r="E35" s="2460" t="s">
        <v>2166</v>
      </c>
      <c r="F35" s="163"/>
      <c r="G35" s="138"/>
      <c r="H35" s="138"/>
      <c r="I35" s="138"/>
    </row>
    <row r="36" spans="1:15" ht="15.75" thickBot="1">
      <c r="A36" s="3104" t="s">
        <v>2167</v>
      </c>
      <c r="B36" s="2461" t="s">
        <v>2168</v>
      </c>
      <c r="C36" s="154"/>
      <c r="D36" s="2462"/>
      <c r="E36" s="2463"/>
      <c r="F36" s="2464"/>
      <c r="G36" s="138"/>
      <c r="H36" s="138"/>
      <c r="I36" s="138"/>
    </row>
    <row r="37" spans="1:15" ht="15.75" thickBot="1">
      <c r="A37" s="3105"/>
      <c r="B37" s="2266" t="s">
        <v>2169</v>
      </c>
      <c r="C37" s="156"/>
      <c r="D37" s="1395"/>
      <c r="E37" s="1395"/>
      <c r="F37" s="2464"/>
      <c r="G37" s="138"/>
      <c r="H37" s="138"/>
      <c r="I37" s="138"/>
    </row>
    <row r="38" spans="1:15" ht="15.75" thickBot="1">
      <c r="A38" s="3106"/>
      <c r="B38" s="2465" t="s">
        <v>2170</v>
      </c>
      <c r="C38" s="727"/>
      <c r="D38" s="2466" t="s">
        <v>2171</v>
      </c>
      <c r="E38" s="1395"/>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083" t="s">
        <v>2181</v>
      </c>
      <c r="B45" s="3084"/>
      <c r="C45" s="3085"/>
      <c r="D45" s="164">
        <f ca="1">ROUND(系统读取表!B5*F45,0)</f>
        <v>1091823</v>
      </c>
      <c r="E45" s="165" t="s">
        <v>2182</v>
      </c>
      <c r="F45" s="166">
        <v>1</v>
      </c>
      <c r="G45" s="167" t="s">
        <v>2183</v>
      </c>
      <c r="H45" s="138"/>
      <c r="I45" s="138"/>
      <c r="J45" s="3143" t="s">
        <v>2184</v>
      </c>
      <c r="K45" s="3143"/>
      <c r="L45" s="3143"/>
      <c r="M45" s="3143"/>
      <c r="N45" s="3143"/>
      <c r="O45" s="3143"/>
    </row>
    <row r="46" spans="1:15" ht="14.25" customHeight="1">
      <c r="A46" s="3080" t="s">
        <v>2185</v>
      </c>
      <c r="B46" s="3081"/>
      <c r="C46" s="3081"/>
      <c r="D46" s="3081"/>
      <c r="E46" s="3081"/>
      <c r="F46" s="3081"/>
      <c r="G46" s="3082"/>
      <c r="H46" s="2480"/>
      <c r="I46" s="168"/>
      <c r="J46" s="1811">
        <v>1</v>
      </c>
      <c r="K46" s="3143" t="s">
        <v>2186</v>
      </c>
      <c r="L46" s="3143"/>
      <c r="M46" s="3163"/>
      <c r="N46" s="3163"/>
      <c r="O46" s="3163"/>
    </row>
    <row r="47" spans="1:15" ht="12" customHeight="1">
      <c r="A47" s="169" t="s">
        <v>2187</v>
      </c>
      <c r="B47" s="170"/>
      <c r="C47" s="171"/>
      <c r="D47" s="172" t="s">
        <v>2188</v>
      </c>
      <c r="E47" s="24" t="s">
        <v>2189</v>
      </c>
      <c r="F47" s="173" t="s">
        <v>2190</v>
      </c>
      <c r="G47" s="174" t="s">
        <v>2191</v>
      </c>
      <c r="H47" s="2480"/>
      <c r="I47" s="168"/>
      <c r="J47" s="1811">
        <v>2</v>
      </c>
      <c r="K47" s="3143" t="s">
        <v>2192</v>
      </c>
      <c r="L47" s="3143"/>
      <c r="M47" s="3164">
        <f>'数据-取费表'!B2</f>
        <v>43180</v>
      </c>
      <c r="N47" s="3164"/>
      <c r="O47" s="3164"/>
    </row>
    <row r="48" spans="1:15" ht="25.5">
      <c r="A48" s="3111" t="s">
        <v>2193</v>
      </c>
      <c r="B48" s="3094"/>
      <c r="C48" s="3094"/>
      <c r="D48" s="140">
        <f ca="1">IF(H48="情况1",0,IF(H48="情况2",D52,IF(H48="情况3",D53,IF(H48="情况4",D54))))</f>
        <v>58231</v>
      </c>
      <c r="E48" s="1800" t="str">
        <f>IF(H48="情况4","(销售额-原购置价)×税（费）率","销售额×税（费）率")</f>
        <v>(销售额-原购置价)×税（费）率</v>
      </c>
      <c r="F48" s="175">
        <f>IF(H48="情况1","免征",'数据-取费表'!B41)</f>
        <v>5.6000000000000001E-2</v>
      </c>
      <c r="G48" s="2481" t="s">
        <v>2194</v>
      </c>
      <c r="H48" s="2482" t="s">
        <v>3124</v>
      </c>
      <c r="I48" s="2480"/>
      <c r="J48" s="1811">
        <v>3</v>
      </c>
      <c r="K48" s="3143" t="s">
        <v>2195</v>
      </c>
      <c r="L48" s="3143"/>
      <c r="M48" s="3165">
        <f ca="1">系统读取表!B5</f>
        <v>1091823</v>
      </c>
      <c r="N48" s="3165"/>
      <c r="O48" s="3165"/>
    </row>
    <row r="49" spans="1:35" ht="25.5" customHeight="1">
      <c r="A49" s="176" t="s">
        <v>2196</v>
      </c>
      <c r="B49" s="3079" t="s">
        <v>2197</v>
      </c>
      <c r="C49" s="3079"/>
      <c r="D49" s="177">
        <v>0</v>
      </c>
      <c r="E49" s="23" t="s">
        <v>2198</v>
      </c>
      <c r="F49" s="28" t="s">
        <v>34</v>
      </c>
      <c r="G49" s="3149"/>
      <c r="H49" s="138"/>
      <c r="I49" s="2483"/>
      <c r="J49" s="1811">
        <v>4</v>
      </c>
      <c r="K49" s="3143" t="str">
        <f>IF(项目基本情况!E8="房地产抵押价值","房地产抵押价值","抵押担保权已注销时的房地产抵押价值")</f>
        <v>抵押担保权已注销时的房地产抵押价值</v>
      </c>
      <c r="L49" s="3143"/>
      <c r="M49" s="3165">
        <f ca="1">系统读取表!B7</f>
        <v>1091823</v>
      </c>
      <c r="N49" s="3165"/>
      <c r="O49" s="3165"/>
    </row>
    <row r="50" spans="1:35" ht="25.5" customHeight="1">
      <c r="A50" s="178"/>
      <c r="B50" s="3079" t="s">
        <v>2199</v>
      </c>
      <c r="C50" s="3079"/>
      <c r="D50" s="179"/>
      <c r="E50" s="31"/>
      <c r="F50" s="180"/>
      <c r="G50" s="3150"/>
      <c r="H50" s="138"/>
      <c r="I50" s="2483"/>
      <c r="J50" s="3143" t="s">
        <v>2200</v>
      </c>
      <c r="K50" s="3143"/>
      <c r="L50" s="3143"/>
      <c r="M50" s="3143"/>
      <c r="N50" s="3143"/>
      <c r="O50" s="3143"/>
    </row>
    <row r="51" spans="1:35" ht="12" customHeight="1">
      <c r="A51" s="181"/>
      <c r="B51" s="3079" t="s">
        <v>2201</v>
      </c>
      <c r="C51" s="3079"/>
      <c r="D51" s="182"/>
      <c r="E51" s="30"/>
      <c r="F51" s="180"/>
      <c r="G51" s="3151"/>
      <c r="H51" s="138"/>
      <c r="I51" s="2483"/>
      <c r="J51" s="2484" t="s">
        <v>2202</v>
      </c>
      <c r="K51" s="3143" t="s">
        <v>2203</v>
      </c>
      <c r="L51" s="3143"/>
      <c r="M51" s="2484" t="s">
        <v>2204</v>
      </c>
      <c r="N51" s="2484" t="s">
        <v>2205</v>
      </c>
      <c r="O51" s="2484" t="s">
        <v>2206</v>
      </c>
    </row>
    <row r="52" spans="1:35" ht="24" customHeight="1">
      <c r="A52" s="183" t="s">
        <v>2207</v>
      </c>
      <c r="B52" s="3079" t="s">
        <v>2208</v>
      </c>
      <c r="C52" s="3079"/>
      <c r="D52" s="182">
        <f ca="1">ROUND(D45*'数据-取费表'!B41/(1+'数据-取费表'!C42),0)</f>
        <v>58231</v>
      </c>
      <c r="E52" s="11" t="s">
        <v>2209</v>
      </c>
      <c r="F52" s="184">
        <f>'数据-取费表'!B41</f>
        <v>5.6000000000000001E-2</v>
      </c>
      <c r="G52" s="2485"/>
      <c r="H52" s="138"/>
      <c r="I52" s="2483"/>
      <c r="J52" s="1811">
        <v>1</v>
      </c>
      <c r="K52" s="3144" t="s">
        <v>2210</v>
      </c>
      <c r="L52" s="3144"/>
      <c r="M52" s="1753">
        <f ca="1">D48</f>
        <v>58231</v>
      </c>
      <c r="N52" s="1811" t="str">
        <f>E48</f>
        <v>(销售额-原购置价)×税（费）率</v>
      </c>
      <c r="O52" s="1754">
        <f>F48</f>
        <v>5.6000000000000001E-2</v>
      </c>
    </row>
    <row r="53" spans="1:35" ht="12" customHeight="1">
      <c r="A53" s="183" t="s">
        <v>2211</v>
      </c>
      <c r="B53" s="3102" t="s">
        <v>2212</v>
      </c>
      <c r="C53" s="3103"/>
      <c r="D53" s="182">
        <f ca="1">ROUND(D45*'数据-取费表'!B41/(1+'数据-取费表'!C42),0)</f>
        <v>58231</v>
      </c>
      <c r="E53" s="11" t="s">
        <v>2209</v>
      </c>
      <c r="F53" s="184">
        <f>'数据-取费表'!B41</f>
        <v>5.6000000000000001E-2</v>
      </c>
      <c r="G53" s="2485"/>
      <c r="H53" s="138"/>
      <c r="I53" s="2483"/>
      <c r="J53" s="1811">
        <v>2</v>
      </c>
      <c r="K53" s="3144" t="s">
        <v>2213</v>
      </c>
      <c r="L53" s="3144"/>
      <c r="M53" s="1753">
        <f t="shared" ref="M53:O54" ca="1" si="0">D55</f>
        <v>546</v>
      </c>
      <c r="N53" s="1811" t="str">
        <f t="shared" si="0"/>
        <v>销售额×税（费）率</v>
      </c>
      <c r="O53" s="1754">
        <f t="shared" si="0"/>
        <v>5.0000000000000001E-4</v>
      </c>
    </row>
    <row r="54" spans="1:35" ht="12" customHeight="1">
      <c r="A54" s="183" t="s">
        <v>2214</v>
      </c>
      <c r="B54" s="3102" t="s">
        <v>2215</v>
      </c>
      <c r="C54" s="3103"/>
      <c r="D54" s="182">
        <f ca="1">C68</f>
        <v>58231</v>
      </c>
      <c r="E54" s="30" t="s">
        <v>2216</v>
      </c>
      <c r="F54" s="184">
        <f>'数据-取费表'!B41</f>
        <v>5.6000000000000001E-2</v>
      </c>
      <c r="G54" s="2485"/>
      <c r="H54" s="2486"/>
      <c r="I54" s="2483"/>
      <c r="J54" s="1811">
        <v>3</v>
      </c>
      <c r="K54" s="3144" t="s">
        <v>2217</v>
      </c>
      <c r="L54" s="3144"/>
      <c r="M54" s="1753">
        <f t="shared" ca="1" si="0"/>
        <v>387000</v>
      </c>
      <c r="N54" s="1811" t="str">
        <f t="shared" si="0"/>
        <v>增值额×税（费）率</v>
      </c>
      <c r="O54" s="1755" t="str">
        <f t="shared" si="0"/>
        <v>——</v>
      </c>
    </row>
    <row r="55" spans="1:35" ht="24" customHeight="1">
      <c r="A55" s="3093" t="s">
        <v>2218</v>
      </c>
      <c r="B55" s="3094"/>
      <c r="C55" s="3094"/>
      <c r="D55" s="185">
        <f ca="1">IF(H55="个人住宅",0,ROUND(D45*I55,0))</f>
        <v>546</v>
      </c>
      <c r="E55" s="11" t="s">
        <v>2219</v>
      </c>
      <c r="F55" s="184">
        <f>IF(H55="正常",I55,"免征")</f>
        <v>5.0000000000000001E-4</v>
      </c>
      <c r="G55" s="2485"/>
      <c r="H55" s="2482" t="s">
        <v>2220</v>
      </c>
      <c r="I55" s="186">
        <f>'数据-取费表'!B49</f>
        <v>5.0000000000000001E-4</v>
      </c>
      <c r="J55" s="1811" t="str">
        <f>IF(H59="非个人房产","",4)</f>
        <v/>
      </c>
      <c r="K55" s="3144" t="str">
        <f>IF(H59="非个人房产","——","个人所得税")</f>
        <v>——</v>
      </c>
      <c r="L55" s="3144"/>
      <c r="M55" s="1756" t="str">
        <f>D59</f>
        <v>——</v>
      </c>
      <c r="N55" s="1809" t="str">
        <f>E59</f>
        <v>——</v>
      </c>
      <c r="O55" s="1757" t="str">
        <f>F59</f>
        <v>——</v>
      </c>
    </row>
    <row r="56" spans="1:35" ht="24.75">
      <c r="A56" s="3093" t="s">
        <v>2221</v>
      </c>
      <c r="B56" s="3094"/>
      <c r="C56" s="3094"/>
      <c r="D56" s="185">
        <f ca="1">IF(H56="个人住宅",D57,D58)</f>
        <v>387000</v>
      </c>
      <c r="E56" s="11" t="s">
        <v>2222</v>
      </c>
      <c r="F56" s="184" t="str">
        <f>IF(H56="正常",F58,"免征")</f>
        <v>——</v>
      </c>
      <c r="G56" s="2487" t="s">
        <v>2223</v>
      </c>
      <c r="H56" s="2488" t="s">
        <v>2220</v>
      </c>
      <c r="I56" s="2489"/>
      <c r="J56" s="1811" t="str">
        <f>IF(项目基本情况!K6="上海银行",IF(J55="",4,J55+1),"")</f>
        <v/>
      </c>
      <c r="K56" s="3167" t="str">
        <f>IF(项目基本情况!K6="上海银行","其他处置费用","")</f>
        <v/>
      </c>
      <c r="L56" s="3168"/>
      <c r="M56" s="1753" t="str">
        <f>IF(项目基本情况!K6="上海银行",M69,"")</f>
        <v/>
      </c>
      <c r="N56" s="3170" t="str">
        <f>IF(项目基本情况!K6="上海银行","包含处置中涉及的律师、诉讼、拍卖、评估等费用","")</f>
        <v/>
      </c>
      <c r="O56" s="3171"/>
    </row>
    <row r="57" spans="1:35" ht="12.75">
      <c r="A57" s="183" t="s">
        <v>2196</v>
      </c>
      <c r="B57" s="3109" t="s">
        <v>2224</v>
      </c>
      <c r="C57" s="3118"/>
      <c r="D57" s="187">
        <v>0</v>
      </c>
      <c r="E57" s="23" t="s">
        <v>2198</v>
      </c>
      <c r="F57" s="155"/>
      <c r="G57" s="2485"/>
      <c r="H57" s="2489"/>
      <c r="I57" s="2489"/>
      <c r="J57" s="3144">
        <f>IF(AND(J55="",J56=""),4,IF(项目基本情况!K6="上海银行",结果表!J56+1,结果表!J55+1))</f>
        <v>4</v>
      </c>
      <c r="K57" s="3144" t="s">
        <v>2225</v>
      </c>
      <c r="L57" s="2490" t="s">
        <v>2226</v>
      </c>
      <c r="M57" s="1758"/>
      <c r="N57" s="1759">
        <f ca="1">SUMIF(M52:M56,"&lt;9e307")</f>
        <v>445777</v>
      </c>
      <c r="O57" s="2491"/>
      <c r="P57" s="1752">
        <f ca="1">N57/M49</f>
        <v>0.40828687433769029</v>
      </c>
    </row>
    <row r="58" spans="1:35" ht="24.75">
      <c r="A58" s="183" t="s">
        <v>2207</v>
      </c>
      <c r="B58" s="3109" t="s">
        <v>2227</v>
      </c>
      <c r="C58" s="3110"/>
      <c r="D58" s="185">
        <f ca="1">IF(H58="转让取得",C81,C97)</f>
        <v>387000</v>
      </c>
      <c r="E58" s="11" t="s">
        <v>2222</v>
      </c>
      <c r="F58" s="24" t="s">
        <v>34</v>
      </c>
      <c r="G58" s="2485"/>
      <c r="H58" s="2488" t="s">
        <v>2228</v>
      </c>
      <c r="I58" s="2489"/>
      <c r="J58" s="3144"/>
      <c r="K58" s="3144"/>
      <c r="L58" s="2490" t="s">
        <v>2229</v>
      </c>
      <c r="M58" s="1760"/>
      <c r="N58" s="2492" t="str">
        <f ca="1">NUMBERSTRING(INT(N57*10000),2)&amp;"元整"</f>
        <v>肆拾肆亿伍仟柒佰柒拾柒万元整</v>
      </c>
      <c r="O58" s="2493"/>
    </row>
    <row r="59" spans="1:35" ht="24.75" thickBot="1">
      <c r="A59" s="3147" t="s">
        <v>2230</v>
      </c>
      <c r="B59" s="3148"/>
      <c r="C59" s="3148"/>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145">
        <f>J57+1</f>
        <v>5</v>
      </c>
      <c r="K59" s="3144" t="s">
        <v>2232</v>
      </c>
      <c r="L59" s="1811" t="s">
        <v>2226</v>
      </c>
      <c r="M59" s="1761"/>
      <c r="N59" s="1762">
        <f ca="1">M49-N57</f>
        <v>646046</v>
      </c>
      <c r="O59" s="2495"/>
    </row>
    <row r="60" spans="1:35" ht="12" customHeight="1">
      <c r="A60" s="2496"/>
      <c r="B60" s="2418"/>
      <c r="C60" s="2418"/>
      <c r="D60" s="2418"/>
      <c r="E60" s="2165"/>
      <c r="F60" s="2489"/>
      <c r="G60" s="2489"/>
      <c r="H60" s="2497"/>
      <c r="I60" s="138"/>
      <c r="J60" s="3146"/>
      <c r="K60" s="3144"/>
      <c r="L60" s="2490" t="s">
        <v>2229</v>
      </c>
      <c r="M60" s="1760"/>
      <c r="N60" s="2492" t="str">
        <f ca="1">NUMBERSTRING(INT(N59*10000),2)&amp;"元整"</f>
        <v>陆拾肆亿陆仟零肆拾陆万元整</v>
      </c>
      <c r="O60" s="2493"/>
    </row>
    <row r="61" spans="1:35" ht="13.5" thickBot="1">
      <c r="A61" s="3091" t="s">
        <v>2233</v>
      </c>
      <c r="B61" s="3091"/>
      <c r="C61" s="3091"/>
      <c r="D61" s="3091"/>
      <c r="E61" s="3091"/>
      <c r="F61" s="2489"/>
      <c r="G61" s="2489"/>
      <c r="H61" s="2497"/>
      <c r="I61" s="138"/>
      <c r="J61" s="1811">
        <f>J59+1</f>
        <v>6</v>
      </c>
      <c r="K61" s="3144" t="s">
        <v>2234</v>
      </c>
      <c r="L61" s="3144"/>
      <c r="M61" s="1763"/>
      <c r="N61" s="1764">
        <f ca="1">ROUND(N59*10000/'数据-汇总表'!E3,0)</f>
        <v>63615</v>
      </c>
      <c r="O61" s="2498"/>
    </row>
    <row r="62" spans="1:35" ht="12.75">
      <c r="A62" s="3107" t="s">
        <v>2235</v>
      </c>
      <c r="B62" s="3108"/>
      <c r="C62" s="1803"/>
      <c r="D62" s="1803" t="s">
        <v>2236</v>
      </c>
      <c r="E62" s="192" t="s">
        <v>2237</v>
      </c>
      <c r="F62" s="2489"/>
      <c r="G62" s="2489"/>
      <c r="H62" s="2497"/>
      <c r="I62" s="138"/>
    </row>
    <row r="63" spans="1:35" ht="12.75">
      <c r="A63" s="203" t="s">
        <v>775</v>
      </c>
      <c r="B63" s="193" t="s">
        <v>2238</v>
      </c>
      <c r="C63" s="194">
        <f ca="1">ROUND((C64+C65)/(1+'数据-取费表'!C42),0)</f>
        <v>1039831</v>
      </c>
      <c r="D63" s="195"/>
      <c r="E63" s="196"/>
      <c r="F63" s="2489"/>
      <c r="G63" s="2489"/>
      <c r="H63" s="2497"/>
      <c r="I63" s="138"/>
      <c r="J63" s="3169" t="s">
        <v>2239</v>
      </c>
      <c r="K63" s="2499" t="s">
        <v>2240</v>
      </c>
      <c r="L63" s="1751">
        <f ca="1">IF(M49&gt;10000,M49*0.5%,IF(AND(M49&gt;1000,M49&lt;=10000),M49*1%,IF(AND(M49&gt;100,M49&lt;=1000),M49*3%,IF(AND(M49&gt;10,M49&lt;=100),M49*5%,M49*8%))))</f>
        <v>5459.1149999999998</v>
      </c>
      <c r="M63" s="24">
        <f ca="1">ROUND(L63,1)</f>
        <v>5459.1</v>
      </c>
      <c r="Z63" s="2423"/>
      <c r="AI63" s="2424"/>
    </row>
    <row r="64" spans="1:35" ht="14.25" customHeight="1">
      <c r="A64" s="197" t="s">
        <v>770</v>
      </c>
      <c r="B64" s="198" t="s">
        <v>2241</v>
      </c>
      <c r="C64" s="199">
        <f ca="1">D45</f>
        <v>1091823</v>
      </c>
      <c r="D64" s="200" t="s">
        <v>32</v>
      </c>
      <c r="E64" s="201"/>
      <c r="F64" s="2489"/>
      <c r="G64" s="2489"/>
      <c r="H64" s="2497"/>
      <c r="I64" s="138"/>
      <c r="J64" s="3169"/>
      <c r="K64" s="2499" t="s">
        <v>2242</v>
      </c>
      <c r="L64" s="1751">
        <f ca="1">IF(M49&gt;2000,M49*0.5%,IF(AND(M49&gt;1000,M49&lt;=2000),M49*0.6%,IF(AND(M49&gt;500,M49&lt;=1000),M49*0.7%,IF(AND(M49&gt;200,M49&lt;=500),M49*0.8%,IF(AND(M49&gt;100,M49&lt;=200),M49*0.9%,IF(AND(M49&gt;50,M49&lt;=100),M49*1%,IF(AND(M49&gt;20,M49&lt;=50),M49*1.5%,IF(AND(M49&gt;10,M49&lt;=20),M49*2%,IF(AND(M49&gt;1,M49&lt;=10),M49*2.5%)))))))))</f>
        <v>5459.1149999999998</v>
      </c>
      <c r="M64" s="24">
        <f ca="1">ROUND(L64,1)</f>
        <v>5459.1</v>
      </c>
      <c r="N64" s="138" t="s">
        <v>2243</v>
      </c>
      <c r="Z64" s="2423"/>
      <c r="AI64" s="2424"/>
    </row>
    <row r="65" spans="1:35" ht="14.25" customHeight="1">
      <c r="A65" s="197" t="s">
        <v>771</v>
      </c>
      <c r="B65" s="198" t="s">
        <v>2244</v>
      </c>
      <c r="C65" s="202"/>
      <c r="D65" s="200"/>
      <c r="E65" s="201"/>
      <c r="F65" s="2489"/>
      <c r="G65" s="2489"/>
      <c r="H65" s="2497"/>
      <c r="I65" s="138"/>
      <c r="J65" s="3169"/>
      <c r="K65" s="2499" t="s">
        <v>2245</v>
      </c>
      <c r="L65" s="1751">
        <f ca="1">IF(M49&gt;1000,M49*0.1%,IF(AND(M49&gt;500,M49&lt;=1000),M49*0.5%,IF(AND(M49&gt;50,M49&lt;=500),M49*1%,IF(AND(M49&gt;1,M49&lt;=50),M49*1.5%))))</f>
        <v>1091.8230000000001</v>
      </c>
      <c r="M65" s="24">
        <f ca="1">ROUND(L65,1)</f>
        <v>1091.8</v>
      </c>
      <c r="N65" s="138" t="s">
        <v>2243</v>
      </c>
      <c r="Z65" s="2423"/>
      <c r="AI65" s="2424"/>
    </row>
    <row r="66" spans="1:35" ht="14.25" customHeight="1">
      <c r="A66" s="203" t="s">
        <v>772</v>
      </c>
      <c r="B66" s="204" t="s">
        <v>2246</v>
      </c>
      <c r="C66" s="205"/>
      <c r="D66" s="206" t="s">
        <v>32</v>
      </c>
      <c r="E66" s="1775" t="s">
        <v>1371</v>
      </c>
      <c r="F66" s="2489"/>
      <c r="G66" s="2489"/>
      <c r="H66" s="2497"/>
      <c r="I66" s="138"/>
      <c r="J66" s="3169"/>
      <c r="K66" s="2499" t="s">
        <v>2247</v>
      </c>
      <c r="L66" s="1751">
        <f ca="1">M49*0.5%</f>
        <v>5459.1149999999998</v>
      </c>
      <c r="M66" s="24">
        <f ca="1">IF(L66&gt;0.5,0.5,ROUND(L66,0))</f>
        <v>0.5</v>
      </c>
      <c r="N66" s="138" t="s">
        <v>2248</v>
      </c>
      <c r="Z66" s="2423"/>
      <c r="AI66" s="2424"/>
    </row>
    <row r="67" spans="1:35" ht="14.25" customHeight="1">
      <c r="A67" s="203" t="s">
        <v>773</v>
      </c>
      <c r="B67" s="204" t="s">
        <v>2249</v>
      </c>
      <c r="C67" s="207">
        <f ca="1">C63-C66</f>
        <v>1039831</v>
      </c>
      <c r="D67" s="200" t="s">
        <v>32</v>
      </c>
      <c r="E67" s="201"/>
      <c r="F67" s="2489"/>
      <c r="G67" s="2489"/>
      <c r="H67" s="2497"/>
      <c r="I67" s="138"/>
      <c r="J67" s="3169"/>
      <c r="K67" s="2499" t="s">
        <v>2250</v>
      </c>
      <c r="L67" s="1751">
        <f ca="1">IF(M49&gt;=10000,(8.25+(M49-10000)*0.01%),IF(AND(M49&gt;=8000,M49&lt;10000),(7.85+(M49-8000)*0.02%),IF(AND(M49&gt;=5000,M49&lt;8000),(6.65+(M49-5000)*0.04%),IF(AND(M49&gt;=2000,M49&lt;5000),(4.25+(PM49-2000)*0.08%),IF(AND(M49&gt;=1000,M49&lt;2000),(2.75+(M49-1000)*0.15%),IF(AND(M49&gt;=100,M49&lt;1000),(0.5+(M49-100)*0.25%),IF(AND(M49&gt;0,M49&lt;100),M49*0.5%)))))))</f>
        <v>116.43230000000001</v>
      </c>
      <c r="M67" s="24">
        <f ca="1">ROUND(L67*0.9,1)</f>
        <v>104.8</v>
      </c>
      <c r="Z67" s="2423"/>
      <c r="AI67" s="2424"/>
    </row>
    <row r="68" spans="1:35" ht="14.25" customHeight="1" thickBot="1">
      <c r="A68" s="208" t="s">
        <v>774</v>
      </c>
      <c r="B68" s="209" t="s">
        <v>2251</v>
      </c>
      <c r="C68" s="210">
        <f ca="1">IF(C67&lt;=0,0,ROUND(C67*D68,0))</f>
        <v>58231</v>
      </c>
      <c r="D68" s="211">
        <f>'数据-取费表'!B41</f>
        <v>5.6000000000000001E-2</v>
      </c>
      <c r="E68" s="212"/>
      <c r="F68" s="2489"/>
      <c r="G68" s="2489"/>
      <c r="H68" s="2497"/>
      <c r="I68" s="138"/>
      <c r="J68" s="3169"/>
      <c r="K68" s="2499" t="s">
        <v>2252</v>
      </c>
      <c r="L68" s="1751">
        <f ca="1">IF(M49&gt;10000,M49*0.5%,IF(AND(M49&gt;5000,M49&lt;=10000),M49*1%,IF(AND(M49&gt;1000,M49&lt;=5000),M49*2%,IF(AND(M49&gt;200,M49&lt;=1000),M49*3%,M49*5%))))</f>
        <v>5459.1149999999998</v>
      </c>
      <c r="M68" s="24">
        <f ca="1">ROUND(L68,1)</f>
        <v>5459.1</v>
      </c>
      <c r="Z68" s="2423"/>
      <c r="AI68" s="2424"/>
    </row>
    <row r="69" spans="1:35" s="2446" customFormat="1" ht="16.5" customHeight="1">
      <c r="A69" s="2500"/>
      <c r="B69" s="2501"/>
      <c r="C69" s="2502"/>
      <c r="D69" s="2503"/>
      <c r="E69" s="2504"/>
      <c r="F69" s="2165"/>
      <c r="G69" s="2165"/>
      <c r="H69" s="2164"/>
      <c r="I69" s="2418"/>
      <c r="J69" s="3169"/>
      <c r="K69" s="2499" t="s">
        <v>2253</v>
      </c>
      <c r="L69" s="2505"/>
      <c r="M69" s="24">
        <f ca="1">ROUND(SUM(M63:M68),0)</f>
        <v>17574</v>
      </c>
      <c r="N69" s="1752">
        <f ca="1">M69/M49</f>
        <v>1.609601556296213E-2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28" t="s">
        <v>2254</v>
      </c>
      <c r="B70" s="3129"/>
      <c r="C70" s="3129"/>
      <c r="D70" s="3129"/>
      <c r="E70" s="3129"/>
      <c r="F70" s="3129"/>
      <c r="G70" s="3129"/>
      <c r="H70" s="312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07" t="s">
        <v>2235</v>
      </c>
      <c r="B71" s="3108"/>
      <c r="C71" s="1803"/>
      <c r="D71" s="1803"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2255</v>
      </c>
      <c r="C72" s="207">
        <f ca="1">ROUND(D45/(1+'数据-取费表'!C42),0)</f>
        <v>1039831</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2256</v>
      </c>
      <c r="C73" s="207">
        <f ca="1">C74+C78</f>
        <v>6239</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2257</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2262</v>
      </c>
      <c r="C76" s="200">
        <f>IF(F75="购房发票",ROUND(C75*H75*D76,0),0)</f>
        <v>0</v>
      </c>
      <c r="D76" s="222">
        <v>0.05</v>
      </c>
      <c r="E76" s="3102" t="s">
        <v>2263</v>
      </c>
      <c r="F76" s="3079"/>
      <c r="G76" s="3079"/>
      <c r="H76" s="312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3" t="s">
        <v>2266</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2267</v>
      </c>
      <c r="C78" s="225">
        <f ca="1">ROUND(D45*D78/(1+'数据-取费表'!C42),0)</f>
        <v>6239</v>
      </c>
      <c r="D78" s="226">
        <f>'数据-取费表'!B43</f>
        <v>6.000000000000001E-3</v>
      </c>
      <c r="E78" s="3088" t="s">
        <v>2268</v>
      </c>
      <c r="F78" s="3089"/>
      <c r="G78" s="3089"/>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2269</v>
      </c>
      <c r="C79" s="207">
        <f ca="1">C72-C73</f>
        <v>1033592</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2270</v>
      </c>
      <c r="C80" s="227">
        <f ca="1">IF(C79&lt;=0,0,C79/C73)</f>
        <v>165.6662926751082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2271</v>
      </c>
      <c r="C81" s="228">
        <f ca="1">ROUND(IF(C79&lt;=0,0,IF(C80&gt;=200%,C79*60%-C73*35%,IF(C80&gt;=100%,C79*50%-C73*15%,IF(C80&gt;=50%,C79*40%-C73*5%,IF(C80&lt;50%,C79*30%,0))))),0)</f>
        <v>617972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8" t="s">
        <v>2272</v>
      </c>
      <c r="B83" s="3129"/>
      <c r="C83" s="3129"/>
      <c r="D83" s="3129"/>
      <c r="E83" s="3129"/>
      <c r="F83" s="3129"/>
      <c r="G83" s="3129"/>
      <c r="H83" s="312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7" t="s">
        <v>2235</v>
      </c>
      <c r="B84" s="3108"/>
      <c r="C84" s="1803"/>
      <c r="D84" s="1803"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1039831</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249366.73353500001</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75704.842900000003</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f>Sheet4!C3/10000</f>
        <v>73463.842900000003</v>
      </c>
      <c r="D88" s="226"/>
      <c r="E88" s="237" t="s">
        <v>2275</v>
      </c>
      <c r="F88" s="1799"/>
      <c r="G88" s="238" t="s">
        <v>2276</v>
      </c>
      <c r="H88" s="2517" t="s">
        <v>3125</v>
      </c>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2241</v>
      </c>
      <c r="D89" s="226">
        <f>'数据-取费表'!B48+'数据-取费表'!B49</f>
        <v>3.0499999999999999E-2</v>
      </c>
      <c r="E89" s="237" t="s">
        <v>2277</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f>(Sheet4!C4+Sheet4!C5+Sheet4!C6+Sheet4!C7)/10000</f>
        <v>56514.039453999998</v>
      </c>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IF(H91="——",成本法!C33,I91)</f>
        <v>54802.851180999991</v>
      </c>
      <c r="D91" s="226"/>
      <c r="E91" s="3088" t="s">
        <v>2281</v>
      </c>
      <c r="F91" s="3089"/>
      <c r="G91" s="3089"/>
      <c r="H91" s="2518" t="s">
        <v>2282</v>
      </c>
      <c r="I91" s="2519">
        <f>(Sheet4!C8+Sheet4!C9)/10000</f>
        <v>54802.851180999991</v>
      </c>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18702</v>
      </c>
      <c r="D92" s="226">
        <v>0.1</v>
      </c>
      <c r="E92" s="3088" t="s">
        <v>2285</v>
      </c>
      <c r="F92" s="3089"/>
      <c r="G92" s="3089"/>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6239</v>
      </c>
      <c r="D93" s="226">
        <f>'数据-取费表'!B43</f>
        <v>6.000000000000001E-3</v>
      </c>
      <c r="E93" s="3088" t="s">
        <v>2268</v>
      </c>
      <c r="F93" s="3089"/>
      <c r="G93" s="3089"/>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37404</v>
      </c>
      <c r="D94" s="226">
        <v>0.2</v>
      </c>
      <c r="E94" s="3099" t="s">
        <v>2289</v>
      </c>
      <c r="F94" s="3100"/>
      <c r="G94" s="3100"/>
      <c r="H94" s="310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790464</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3.1698855288131447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387000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2290</v>
      </c>
      <c r="B99" s="2418"/>
      <c r="C99" s="2418"/>
      <c r="D99" s="2418"/>
      <c r="E99" s="2165"/>
      <c r="F99" s="2165"/>
      <c r="G99" s="2165"/>
      <c r="H99" s="2164"/>
      <c r="I99" s="138"/>
    </row>
    <row r="100" spans="1:35" ht="18.75" customHeight="1">
      <c r="A100" s="3073" t="s">
        <v>2291</v>
      </c>
      <c r="B100" s="3074"/>
      <c r="C100" s="3074"/>
      <c r="D100" s="3090"/>
      <c r="E100" s="3074" t="s">
        <v>2292</v>
      </c>
      <c r="F100" s="3074"/>
      <c r="G100" s="3074"/>
      <c r="H100" s="3090"/>
      <c r="I100" s="138"/>
    </row>
    <row r="101" spans="1:35" ht="18.75" customHeight="1">
      <c r="A101" s="3152" t="s">
        <v>2293</v>
      </c>
      <c r="B101" s="3153"/>
      <c r="C101" s="736" t="str">
        <f>C4</f>
        <v>成本法</v>
      </c>
      <c r="D101" s="737" t="str">
        <f>D4</f>
        <v>收益法（汇总）</v>
      </c>
      <c r="E101" s="3166" t="s">
        <v>2294</v>
      </c>
      <c r="F101" s="3120"/>
      <c r="G101" s="2520" t="s">
        <v>2295</v>
      </c>
      <c r="H101" s="1048">
        <f ca="1">H118</f>
        <v>125871</v>
      </c>
      <c r="I101" s="138"/>
    </row>
    <row r="102" spans="1:35" ht="18.75" customHeight="1">
      <c r="A102" s="3122" t="s">
        <v>2296</v>
      </c>
      <c r="B102" s="2520" t="s">
        <v>2295</v>
      </c>
      <c r="C102" s="736">
        <f ca="1">C19</f>
        <v>114063</v>
      </c>
      <c r="D102" s="737">
        <f ca="1">D19</f>
        <v>137678</v>
      </c>
      <c r="E102" s="3166"/>
      <c r="F102" s="3120"/>
      <c r="G102" s="2520" t="s">
        <v>2297</v>
      </c>
      <c r="H102" s="371">
        <f ca="1">I118</f>
        <v>12394</v>
      </c>
      <c r="I102" s="138"/>
    </row>
    <row r="103" spans="1:35" ht="42.75" customHeight="1">
      <c r="A103" s="3122"/>
      <c r="B103" s="2520" t="s">
        <v>2297</v>
      </c>
      <c r="C103" s="738">
        <f ca="1">C20</f>
        <v>11232</v>
      </c>
      <c r="D103" s="739">
        <f ca="1">D20</f>
        <v>13557</v>
      </c>
      <c r="E103" s="3161" t="s">
        <v>2298</v>
      </c>
      <c r="F103" s="3162"/>
      <c r="G103" s="2521" t="s">
        <v>2299</v>
      </c>
      <c r="H103" s="1048">
        <f>IF(D36="正常操作",H104+H105+H106,H105+H106)</f>
        <v>0</v>
      </c>
      <c r="I103" s="138"/>
    </row>
    <row r="104" spans="1:35" ht="18.75" customHeight="1">
      <c r="A104" s="3122" t="s">
        <v>2300</v>
      </c>
      <c r="B104" s="2522" t="s">
        <v>2295</v>
      </c>
      <c r="C104" s="740">
        <f ca="1">H118</f>
        <v>125871</v>
      </c>
      <c r="D104" s="741"/>
      <c r="E104" s="2266" t="s">
        <v>2301</v>
      </c>
      <c r="F104" s="2257"/>
      <c r="G104" s="2521" t="s">
        <v>2299</v>
      </c>
      <c r="H104" s="1049">
        <f>IF(D36="同一抵押权人同一抵押物续贷",C36&amp;"（未扣减，详见特别提示）",C36)</f>
        <v>0</v>
      </c>
      <c r="I104" s="138"/>
    </row>
    <row r="105" spans="1:35" ht="18.75" customHeight="1" thickBot="1">
      <c r="A105" s="3123"/>
      <c r="B105" s="2523" t="s">
        <v>2297</v>
      </c>
      <c r="C105" s="742">
        <f ca="1">I118</f>
        <v>12394</v>
      </c>
      <c r="D105" s="743"/>
      <c r="E105" s="2266" t="s">
        <v>2302</v>
      </c>
      <c r="F105" s="2257"/>
      <c r="G105" s="2521" t="s">
        <v>2299</v>
      </c>
      <c r="H105" s="1049">
        <f>C37</f>
        <v>0</v>
      </c>
      <c r="I105" s="138"/>
    </row>
    <row r="106" spans="1:35" ht="18.75" customHeight="1">
      <c r="A106" s="2418" t="s">
        <v>2303</v>
      </c>
      <c r="B106" s="2418"/>
      <c r="C106" s="2418"/>
      <c r="D106" s="2418"/>
      <c r="E106" s="2524" t="s">
        <v>2304</v>
      </c>
      <c r="F106" s="2257"/>
      <c r="G106" s="2521" t="s">
        <v>2299</v>
      </c>
      <c r="H106" s="1049">
        <f>C38</f>
        <v>0</v>
      </c>
      <c r="I106" s="138"/>
    </row>
    <row r="107" spans="1:35" ht="18.75" customHeight="1">
      <c r="A107" s="138"/>
      <c r="B107" s="138"/>
      <c r="C107" s="138"/>
      <c r="D107" s="138"/>
      <c r="E107" s="3119" t="str">
        <f>IF(项目基本情况!E8="已注销","——","3.房地产抵押价值")</f>
        <v>——</v>
      </c>
      <c r="F107" s="3120"/>
      <c r="G107" s="2520" t="s">
        <v>2295</v>
      </c>
      <c r="H107" s="1048" t="str">
        <f>IF(E107="——","——",H101-H103)</f>
        <v>——</v>
      </c>
      <c r="I107" s="138"/>
    </row>
    <row r="108" spans="1:35" ht="18.75" customHeight="1">
      <c r="A108" s="138"/>
      <c r="B108" s="138"/>
      <c r="C108" s="138"/>
      <c r="D108" s="138"/>
      <c r="E108" s="3119"/>
      <c r="F108" s="3120"/>
      <c r="G108" s="2520" t="s">
        <v>2297</v>
      </c>
      <c r="H108" s="371" t="e">
        <f>ROUND(H107*10000/'数据-汇总表'!E3,0)</f>
        <v>#VALUE!</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3.抵押担保权已注销时的房地产抵押价值</v>
      </c>
      <c r="F109" s="3120"/>
      <c r="G109" s="2520" t="s">
        <v>2295</v>
      </c>
      <c r="H109" s="348">
        <f ca="1">IF(E109="——","——",H101-H105-H106)</f>
        <v>125871</v>
      </c>
      <c r="I109" s="138"/>
    </row>
    <row r="110" spans="1:35" ht="18.75" customHeight="1">
      <c r="A110" s="138"/>
      <c r="B110" s="138"/>
      <c r="C110" s="138"/>
      <c r="D110" s="138"/>
      <c r="E110" s="3119"/>
      <c r="F110" s="3120"/>
      <c r="G110" s="2520" t="s">
        <v>2297</v>
      </c>
      <c r="H110" s="371">
        <f ca="1">IF(H109="——","——",ROUND(H109*10000/'数据-汇总表'!E3,0))</f>
        <v>12394</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20" t="s">
        <v>2295</v>
      </c>
      <c r="H111" s="1048" t="str">
        <f>IF(E111="——","——",N59)</f>
        <v>——</v>
      </c>
      <c r="I111" s="138"/>
    </row>
    <row r="112" spans="1:35" ht="18.75" customHeight="1" thickBot="1">
      <c r="A112" s="138"/>
      <c r="B112" s="138"/>
      <c r="C112" s="138"/>
      <c r="D112" s="138"/>
      <c r="E112" s="3156"/>
      <c r="F112" s="3157"/>
      <c r="G112" s="2525" t="s">
        <v>2297</v>
      </c>
      <c r="H112" s="790" t="str">
        <f>IF(E111="——","——",N61)</f>
        <v>——</v>
      </c>
      <c r="I112" s="138"/>
    </row>
    <row r="113" spans="1:11" ht="18.75" customHeight="1">
      <c r="A113" s="138"/>
      <c r="B113" s="138"/>
      <c r="C113" s="138"/>
      <c r="D113" s="138"/>
      <c r="E113" s="3124" t="s">
        <v>2303</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2305</v>
      </c>
      <c r="B115" s="3138"/>
      <c r="C115" s="3138"/>
      <c r="D115" s="3138"/>
      <c r="E115" s="3138"/>
      <c r="F115" s="3138"/>
      <c r="G115" s="3138"/>
      <c r="H115" s="3138"/>
      <c r="I115" s="3139"/>
    </row>
    <row r="116" spans="1:11" ht="27" customHeight="1">
      <c r="A116" s="3030" t="s">
        <v>2306</v>
      </c>
      <c r="B116" s="3125" t="s">
        <v>2307</v>
      </c>
      <c r="C116" s="3125" t="s">
        <v>2308</v>
      </c>
      <c r="D116" s="3141" t="s">
        <v>2309</v>
      </c>
      <c r="E116" s="3142"/>
      <c r="F116" s="3133" t="s">
        <v>2310</v>
      </c>
      <c r="G116" s="3133"/>
      <c r="H116" s="3030" t="s">
        <v>2311</v>
      </c>
      <c r="I116" s="3030"/>
    </row>
    <row r="117" spans="1:11" ht="18.75" customHeight="1">
      <c r="A117" s="3030"/>
      <c r="B117" s="3126"/>
      <c r="C117" s="3126"/>
      <c r="D117" s="1797" t="s">
        <v>2312</v>
      </c>
      <c r="E117" s="1797" t="s">
        <v>2313</v>
      </c>
      <c r="F117" s="1797" t="s">
        <v>2312</v>
      </c>
      <c r="G117" s="1797" t="s">
        <v>2314</v>
      </c>
      <c r="H117" s="1797" t="s">
        <v>2312</v>
      </c>
      <c r="I117" s="1797" t="s">
        <v>2314</v>
      </c>
    </row>
    <row r="118" spans="1:11" ht="24.75" customHeight="1">
      <c r="A118" s="2526" t="str">
        <f>项目基本情况!S2</f>
        <v>广东省佛山市三水区芦苞镇芦苞大道33号房地产</v>
      </c>
      <c r="B118" s="1797">
        <f>M18</f>
        <v>101555.9</v>
      </c>
      <c r="C118" s="1797">
        <f>M19</f>
        <v>172253.55</v>
      </c>
      <c r="D118" s="1797">
        <f ca="1">ROUND(IF(D32="总价",C34,E118*B118/10000),0)</f>
        <v>94781</v>
      </c>
      <c r="E118" s="1797">
        <f ca="1">ROUND(IF(C33="自定义",IF(D32="楼面单价",C34,D118*10000/B118),I118-G118),0)</f>
        <v>9333</v>
      </c>
      <c r="F118" s="1797">
        <f ca="1">ROUND(IF(D32="总价",C35,G118*B118/10000),0)</f>
        <v>31090</v>
      </c>
      <c r="G118" s="1797">
        <f ca="1">ROUND(IF(D32="楼面单价",C35,F118*10000/B118),0)</f>
        <v>3061</v>
      </c>
      <c r="H118" s="1797">
        <f ca="1">ROUND(IF(D32="总价",C32,I118*B118/10000),0)</f>
        <v>125871</v>
      </c>
      <c r="I118" s="1797">
        <f ca="1">ROUND(IF(D32="楼面单价",C32,H118*10000/B118),0)</f>
        <v>12394</v>
      </c>
    </row>
    <row r="119" spans="1:11" ht="18.75" customHeight="1">
      <c r="A119" s="3030" t="s">
        <v>2315</v>
      </c>
      <c r="B119" s="3030"/>
      <c r="C119" s="3030"/>
      <c r="D119" s="3130" t="str">
        <f ca="1">NUMBERSTRING(INT(D118*10000),2)&amp;"元整"</f>
        <v>玖亿肆仟柒佰捌拾壹万元整</v>
      </c>
      <c r="E119" s="3132"/>
      <c r="F119" s="3130" t="str">
        <f ca="1">NUMBERSTRING(INT(F118*10000),2)&amp;"元整"</f>
        <v>叁亿壹仟零玖拾万元整</v>
      </c>
      <c r="G119" s="3132"/>
      <c r="H119" s="3130" t="str">
        <f ca="1">NUMBERSTRING(INT(H118*10000),2)&amp;"元整"</f>
        <v>壹拾贰亿伍仟捌佰柒拾壹万元整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3" t="str">
        <f>IF(D120=0,"故，本次评估不存在"&amp;A120,"故，本次评估"&amp;A120&amp;"为人民币"&amp;D120&amp;"万元整。")</f>
        <v>故，本次评估不存在估价师知悉的法定优先受偿款</v>
      </c>
    </row>
    <row r="121" spans="1:11" ht="18.75" customHeight="1">
      <c r="A121" s="3134" t="s">
        <v>2315</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
      </c>
      <c r="B122" s="3121"/>
      <c r="C122" s="3121"/>
      <c r="D122" s="3158" t="str">
        <f>H107</f>
        <v>——</v>
      </c>
      <c r="E122" s="3159"/>
      <c r="F122" s="3159"/>
      <c r="G122" s="3159"/>
      <c r="H122" s="3159"/>
      <c r="I122" s="3160"/>
    </row>
    <row r="123" spans="1:11" ht="18.75" customHeight="1">
      <c r="A123" s="3030" t="s">
        <v>2315</v>
      </c>
      <c r="B123" s="3030"/>
      <c r="C123" s="3030"/>
      <c r="D123" s="3130" t="e">
        <f>NUMBERSTRING(INT(D122*10000),2)&amp;"元整"</f>
        <v>#VALUE!</v>
      </c>
      <c r="E123" s="3131"/>
      <c r="F123" s="3131"/>
      <c r="G123" s="3131"/>
      <c r="H123" s="3131"/>
      <c r="I123" s="3132"/>
    </row>
    <row r="124" spans="1:11" ht="18.75" customHeight="1">
      <c r="A124" s="3121" t="str">
        <f>IF(项目基本情况!B9="房地产市场价值","",MID(E109,3,LEN(E109)-2))</f>
        <v>抵押担保权已注销时的房地产抵押价值</v>
      </c>
      <c r="B124" s="3121"/>
      <c r="C124" s="3121"/>
      <c r="D124" s="3158">
        <f ca="1">H109</f>
        <v>125871</v>
      </c>
      <c r="E124" s="3159"/>
      <c r="F124" s="3159"/>
      <c r="G124" s="3159"/>
      <c r="H124" s="3159"/>
      <c r="I124" s="3160"/>
    </row>
    <row r="125" spans="1:11" ht="18.75" customHeight="1">
      <c r="A125" s="3030" t="s">
        <v>2315</v>
      </c>
      <c r="B125" s="3030"/>
      <c r="C125" s="3030"/>
      <c r="D125" s="3130" t="str">
        <f ca="1">NUMBERSTRING(INT(D124*10000),2)&amp;"元整"</f>
        <v>壹拾贰亿伍仟捌佰柒拾壹万元整</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2315</v>
      </c>
      <c r="B127" s="3030"/>
      <c r="C127" s="3030"/>
      <c r="D127" s="3130" t="e">
        <f>NUMBERSTRING(INT(D126*10000),2)&amp;"元整"</f>
        <v>#VALUE!</v>
      </c>
      <c r="E127" s="3131"/>
      <c r="F127" s="3131"/>
      <c r="G127" s="3131"/>
      <c r="H127" s="3131"/>
      <c r="I127" s="3132"/>
    </row>
    <row r="128" spans="1:11" ht="21.75" customHeight="1">
      <c r="A128" s="3140" t="s">
        <v>2316</v>
      </c>
      <c r="B128" s="3140"/>
      <c r="C128" s="3140"/>
      <c r="D128" s="3140"/>
      <c r="E128" s="3140"/>
      <c r="F128" s="3140"/>
      <c r="G128" s="3140"/>
      <c r="H128" s="3140"/>
      <c r="I128" s="3140"/>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E15" sqref="E15"/>
    </sheetView>
  </sheetViews>
  <sheetFormatPr defaultRowHeight="20.100000000000001" customHeight="1"/>
  <cols>
    <col min="1" max="1" width="21.25" style="2968" customWidth="1"/>
    <col min="2" max="2" width="26.25" style="2968" customWidth="1"/>
    <col min="3" max="3" width="22.875" style="2968" bestFit="1" customWidth="1"/>
    <col min="4" max="4" width="16.125" style="2968" bestFit="1" customWidth="1"/>
    <col min="5" max="5" width="12.25" style="2968" bestFit="1" customWidth="1"/>
    <col min="6" max="6" width="9" style="2968"/>
    <col min="7" max="9" width="13.875" style="2968" bestFit="1" customWidth="1"/>
    <col min="10" max="16384" width="9" style="2968"/>
  </cols>
  <sheetData>
    <row r="1" spans="1:9" ht="20.100000000000001" customHeight="1">
      <c r="A1" s="2968" t="s">
        <v>3126</v>
      </c>
    </row>
    <row r="2" spans="1:9" s="2970" customFormat="1" ht="20.100000000000001" customHeight="1">
      <c r="A2" s="2969" t="s">
        <v>3127</v>
      </c>
      <c r="B2" s="2969" t="s">
        <v>3128</v>
      </c>
      <c r="C2" s="2969" t="s">
        <v>3129</v>
      </c>
    </row>
    <row r="3" spans="1:9" ht="20.100000000000001" customHeight="1">
      <c r="A3" s="2971" t="s">
        <v>3130</v>
      </c>
      <c r="B3" s="2971" t="s">
        <v>3131</v>
      </c>
      <c r="C3" s="2972">
        <v>734638429</v>
      </c>
      <c r="D3" s="2973">
        <f>SUM(C3:C9)</f>
        <v>1847807335.3499999</v>
      </c>
      <c r="E3" s="2974"/>
      <c r="F3" s="2975"/>
      <c r="G3" s="2975"/>
      <c r="H3" s="2976"/>
      <c r="I3" s="2977"/>
    </row>
    <row r="4" spans="1:9" ht="20.100000000000001" customHeight="1">
      <c r="A4" s="2971" t="s">
        <v>3132</v>
      </c>
      <c r="B4" s="2971" t="s">
        <v>3133</v>
      </c>
      <c r="C4" s="2972">
        <v>325941944.14999998</v>
      </c>
      <c r="E4" s="2974"/>
      <c r="F4" s="2975"/>
      <c r="G4" s="2975"/>
      <c r="H4" s="2976"/>
      <c r="I4" s="2977"/>
    </row>
    <row r="5" spans="1:9" ht="20.100000000000001" customHeight="1">
      <c r="A5" s="2971" t="s">
        <v>3134</v>
      </c>
      <c r="B5" s="2971" t="s">
        <v>3135</v>
      </c>
      <c r="C5" s="2972">
        <v>83644939.090000004</v>
      </c>
      <c r="E5" s="2974"/>
      <c r="F5" s="2975"/>
      <c r="G5" s="2975"/>
      <c r="H5" s="2976"/>
      <c r="I5" s="2977"/>
    </row>
    <row r="6" spans="1:9" ht="20.100000000000001" customHeight="1">
      <c r="A6" s="2971" t="s">
        <v>3136</v>
      </c>
      <c r="B6" s="2971" t="s">
        <v>3137</v>
      </c>
      <c r="C6" s="2972">
        <v>18908800.289999999</v>
      </c>
      <c r="E6" s="2974"/>
      <c r="F6" s="2975"/>
      <c r="G6" s="2975"/>
      <c r="H6" s="2976"/>
      <c r="I6" s="2977"/>
    </row>
    <row r="7" spans="1:9" ht="20.100000000000001" customHeight="1">
      <c r="A7" s="2971" t="s">
        <v>3138</v>
      </c>
      <c r="B7" s="2971" t="s">
        <v>3139</v>
      </c>
      <c r="C7" s="2972">
        <v>136644711.00999999</v>
      </c>
      <c r="E7" s="2974"/>
      <c r="F7" s="2975"/>
      <c r="G7" s="2975"/>
      <c r="H7" s="2976"/>
      <c r="I7" s="2977"/>
    </row>
    <row r="8" spans="1:9" ht="20.100000000000001" customHeight="1">
      <c r="A8" s="2971" t="s">
        <v>3140</v>
      </c>
      <c r="B8" s="2971" t="s">
        <v>3141</v>
      </c>
      <c r="C8" s="2972">
        <v>546786377.79999995</v>
      </c>
      <c r="E8" s="2974"/>
      <c r="F8" s="2975"/>
      <c r="G8" s="2975"/>
      <c r="H8" s="2976"/>
      <c r="I8" s="2977"/>
    </row>
    <row r="9" spans="1:9" ht="20.100000000000001" customHeight="1">
      <c r="A9" s="2971" t="s">
        <v>3142</v>
      </c>
      <c r="B9" s="2971" t="s">
        <v>3143</v>
      </c>
      <c r="C9" s="2972">
        <v>1242134.01</v>
      </c>
      <c r="E9" s="2974"/>
      <c r="F9" s="2975"/>
      <c r="G9" s="2975"/>
      <c r="H9" s="2976"/>
      <c r="I9" s="2977"/>
    </row>
    <row r="10" spans="1:9" ht="20.100000000000001" customHeight="1">
      <c r="A10" s="2971" t="s">
        <v>3144</v>
      </c>
      <c r="B10" s="2971" t="s">
        <v>3145</v>
      </c>
      <c r="C10" s="2978">
        <v>1151239719.52</v>
      </c>
      <c r="E10" s="2974"/>
      <c r="F10" s="2975"/>
      <c r="G10" s="2975"/>
      <c r="H10" s="2976"/>
      <c r="I10" s="2977"/>
    </row>
    <row r="11" spans="1:9" ht="20.100000000000001" customHeight="1">
      <c r="A11" s="2971" t="s">
        <v>3146</v>
      </c>
      <c r="B11" s="2971" t="s">
        <v>3147</v>
      </c>
      <c r="C11" s="2972">
        <v>1463944095.3</v>
      </c>
      <c r="E11" s="2974"/>
      <c r="F11" s="2975"/>
      <c r="G11" s="2975"/>
      <c r="H11" s="2976"/>
      <c r="I11" s="2977"/>
    </row>
    <row r="12" spans="1:9" ht="20.100000000000001" customHeight="1">
      <c r="A12" s="2971" t="s">
        <v>3148</v>
      </c>
      <c r="B12" s="2971" t="s">
        <v>3149</v>
      </c>
      <c r="C12" s="2972">
        <v>71387369.180000007</v>
      </c>
      <c r="E12" s="2974"/>
      <c r="F12" s="2975"/>
      <c r="G12" s="2975"/>
      <c r="H12" s="2976"/>
      <c r="I12" s="2977"/>
    </row>
    <row r="13" spans="1:9" ht="20.100000000000001" customHeight="1">
      <c r="A13" s="2971" t="s">
        <v>3150</v>
      </c>
      <c r="B13" s="2971" t="s">
        <v>3151</v>
      </c>
      <c r="C13" s="2979">
        <v>4534378519.3500004</v>
      </c>
      <c r="F13" s="2975"/>
      <c r="G13" s="2975"/>
      <c r="H13" s="2976"/>
    </row>
    <row r="14" spans="1:9" ht="20.100000000000001" customHeight="1">
      <c r="A14" s="2980">
        <v>1123</v>
      </c>
      <c r="B14" s="2981" t="s">
        <v>3152</v>
      </c>
      <c r="C14" s="2982">
        <v>1598951484.24</v>
      </c>
      <c r="F14" s="2975"/>
      <c r="G14" s="2975"/>
      <c r="H14" s="2976"/>
    </row>
    <row r="15" spans="1:9" ht="20.100000000000001" customHeight="1">
      <c r="A15" s="2980">
        <v>4104</v>
      </c>
      <c r="B15" s="2981" t="s">
        <v>3153</v>
      </c>
      <c r="C15" s="2982">
        <v>126596955.84999999</v>
      </c>
      <c r="E15" s="2985"/>
    </row>
    <row r="16" spans="1:9" ht="20.100000000000001" customHeight="1">
      <c r="A16" s="2983"/>
      <c r="B16" s="2969" t="s">
        <v>3154</v>
      </c>
      <c r="C16" s="2982">
        <f>SUM(C13:C15)</f>
        <v>6259926959.4400005</v>
      </c>
      <c r="E16" s="2985"/>
      <c r="F16" s="2985"/>
    </row>
  </sheetData>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6" t="str">
        <f>项目基本情况!B1</f>
        <v>广东省佛山市三水区芦苞镇芦苞大道33号房地产抵押价值预评估</v>
      </c>
      <c r="C37" s="2986"/>
      <c r="D37" s="2986"/>
      <c r="E37" s="2986"/>
      <c r="F37" s="2986"/>
      <c r="G37" s="2986"/>
      <c r="H37" s="2986"/>
      <c r="I37" s="2986"/>
    </row>
    <row r="38" spans="1:9">
      <c r="A38" s="1019"/>
      <c r="B38" s="1019"/>
    </row>
    <row r="39" spans="1:9">
      <c r="A39" s="1017" t="s">
        <v>818</v>
      </c>
      <c r="B39" s="1017" t="s">
        <v>820</v>
      </c>
    </row>
    <row r="40" spans="1:9">
      <c r="A40" s="1017"/>
      <c r="B40" s="1944" t="str">
        <f>项目基本情况!B5</f>
        <v>奥特莱斯置业广东有限公司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郑燚（注册号：1120070131)、王鹏（注册号：1120050019)</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D19" sqref="D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2">
        <f>MATCH(B1,'数据-取费表'!A6:A16,0)+5</f>
        <v>8</v>
      </c>
    </row>
    <row r="2" spans="1:9" s="244" customFormat="1" ht="18" customHeight="1">
      <c r="A2" s="245" t="s">
        <v>2325</v>
      </c>
      <c r="B2" s="246">
        <f ca="1">IF(D2="——",C52,C52-E2)</f>
        <v>114063</v>
      </c>
      <c r="C2" s="243" t="s">
        <v>2326</v>
      </c>
      <c r="D2" s="2549" t="s">
        <v>70</v>
      </c>
      <c r="E2" s="1443" t="e">
        <f ca="1">SUMIF(INDIRECT("'"&amp;G2&amp;"'"&amp;"!A:A"),"承租人权益价值",INDIRECT("'"&amp;G2&amp;"'"&amp;"!c:c"))</f>
        <v>#REF!</v>
      </c>
      <c r="F2" s="2550" t="s">
        <v>2326</v>
      </c>
      <c r="G2" s="2551"/>
    </row>
    <row r="3" spans="1:9" s="244" customFormat="1" ht="18" customHeight="1" thickBot="1">
      <c r="A3" s="247" t="s">
        <v>2327</v>
      </c>
      <c r="B3" s="248">
        <f ca="1">ROUND(B2*10000/(IF(B1="",'数据-汇总表'!E3,INDIRECT("'数据-取费表'!k"&amp;$G$1))),0)</f>
        <v>11232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62917</v>
      </c>
      <c r="D5" s="255" t="s">
        <v>2332</v>
      </c>
      <c r="E5" s="256" t="s">
        <v>2333</v>
      </c>
      <c r="F5" s="256" t="s">
        <v>2334</v>
      </c>
      <c r="G5" s="257"/>
    </row>
    <row r="6" spans="1:9" s="258" customFormat="1" ht="13.5" customHeight="1">
      <c r="A6" s="952" t="s">
        <v>2335</v>
      </c>
      <c r="B6" s="259" t="s">
        <v>2336</v>
      </c>
      <c r="C6" s="260">
        <f>'土地比较法-住宅、综合'!B2</f>
        <v>61055</v>
      </c>
      <c r="D6" s="261"/>
      <c r="E6" s="262"/>
      <c r="F6" s="262"/>
      <c r="G6" s="263"/>
    </row>
    <row r="7" spans="1:9" s="258" customFormat="1" ht="13.5" customHeight="1">
      <c r="A7" s="952" t="s">
        <v>2337</v>
      </c>
      <c r="B7" s="259" t="s">
        <v>2338</v>
      </c>
      <c r="C7" s="264">
        <f>ROUND(C6*F7,0)</f>
        <v>1862</v>
      </c>
      <c r="D7" s="264"/>
      <c r="E7" s="262"/>
      <c r="F7" s="265">
        <f>'数据-取费表'!B48+'数据-取费表'!B49</f>
        <v>3.0499999999999999E-2</v>
      </c>
      <c r="G7" s="263"/>
    </row>
    <row r="8" spans="1:9" s="267" customFormat="1">
      <c r="A8" s="952" t="s">
        <v>2339</v>
      </c>
      <c r="B8" s="259" t="s">
        <v>2340</v>
      </c>
      <c r="C8" s="269">
        <f>IF(G8="已包含在土地购买价格中","0",IF(B1="",'数据-取费表'!B29,IF(G9="全部缴纳",C9+C10,H9)))</f>
        <v>0</v>
      </c>
      <c r="D8" s="266"/>
      <c r="E8" s="264"/>
      <c r="F8" s="265"/>
      <c r="G8" s="2552" t="s">
        <v>3077</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3"/>
      <c r="H9" s="1393"/>
      <c r="I9" s="2554" t="s">
        <v>2342</v>
      </c>
    </row>
    <row r="10" spans="1:9" s="258" customFormat="1" ht="13.5" customHeight="1">
      <c r="A10" s="953" t="s">
        <v>801</v>
      </c>
      <c r="B10" s="268" t="s">
        <v>2343</v>
      </c>
      <c r="C10" s="269">
        <f ca="1">ROUND(D10*E10/10000,0)</f>
        <v>0</v>
      </c>
      <c r="D10" s="1035">
        <f ca="1">IF(B1="",'数据-汇总表'!E6,IF(INDIRECT("'数据-取费表'!c"&amp;$G$1)="住宅",INDIRECT("'数据-取费表'!s"&amp;$G$1),INDIRECT("'数据-取费表'!k"&amp;$G$1)+INDIRECT("'数据-取费表'!s"&amp;$G$1)))</f>
        <v>101555.9</v>
      </c>
      <c r="E10" s="269">
        <f>'数据-取费表'!B28</f>
        <v>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101555.9</v>
      </c>
      <c r="E19" s="255">
        <f>'数据-取费表'!B31</f>
        <v>200</v>
      </c>
      <c r="F19" s="275"/>
      <c r="G19" s="2552" t="s">
        <v>3078</v>
      </c>
    </row>
    <row r="20" spans="1:7" s="258" customFormat="1" ht="13.5" customHeight="1">
      <c r="A20" s="299" t="s">
        <v>2356</v>
      </c>
      <c r="B20" s="254" t="s">
        <v>2357</v>
      </c>
      <c r="C20" s="276">
        <f>ROUND((C5+C19)*F20,0)</f>
        <v>629</v>
      </c>
      <c r="D20" s="276"/>
      <c r="E20" s="276"/>
      <c r="F20" s="277">
        <f>'数据-取费表'!B37</f>
        <v>0.01</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6149</v>
      </c>
      <c r="D22" s="279">
        <f ca="1">C26</f>
        <v>1E-3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6119</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30</v>
      </c>
      <c r="D25" s="282"/>
      <c r="E25" s="285"/>
      <c r="F25" s="283"/>
      <c r="G25" s="286" t="s">
        <v>2373</v>
      </c>
    </row>
    <row r="26" spans="1:7" s="258" customFormat="1">
      <c r="A26" s="954"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9532</v>
      </c>
      <c r="D27" s="279">
        <f ca="1">C29</f>
        <v>3.0000000000000001E-3</v>
      </c>
      <c r="E27" s="280" t="s">
        <v>2377</v>
      </c>
      <c r="F27" s="290">
        <f ca="1">IF(B1="",'数据-取费表'!Q16,INDIRECT("'数据-取费表'!q"&amp;$G$1))</f>
        <v>0.15</v>
      </c>
      <c r="G27" s="291" t="s">
        <v>2378</v>
      </c>
    </row>
    <row r="28" spans="1:7" s="258" customFormat="1" ht="13.5" customHeight="1">
      <c r="A28" s="954" t="s">
        <v>791</v>
      </c>
      <c r="B28" s="292" t="s">
        <v>2379</v>
      </c>
      <c r="C28" s="293">
        <f ca="1">ROUND((C5+C19+C20)*F27*'数据-取费表'!B21/'数据-取费表'!B20,0)</f>
        <v>9532</v>
      </c>
      <c r="D28" s="279"/>
      <c r="E28" s="280"/>
      <c r="F28" s="290"/>
      <c r="G28" s="291"/>
    </row>
    <row r="29" spans="1:7" s="258" customFormat="1" ht="13.5" customHeight="1">
      <c r="A29" s="954"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85864</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23877</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20905</v>
      </c>
      <c r="D34" s="261"/>
      <c r="E34" s="264"/>
      <c r="F34" s="301">
        <f ca="1">IF('数据-取费表'!B24=0,1,IF(B1="",'数据-取费表'!N16,INDIRECT("'数据-取费表'!n"&amp;$G$1)))</f>
        <v>1</v>
      </c>
      <c r="G34" s="263" t="s">
        <v>2389</v>
      </c>
    </row>
    <row r="35" spans="1:7" ht="13.5" customHeight="1">
      <c r="A35" s="954" t="s">
        <v>796</v>
      </c>
      <c r="B35" s="259" t="s">
        <v>2390</v>
      </c>
      <c r="C35" s="264">
        <f ca="1">ROUND(C34*F35,0)</f>
        <v>627</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2031</v>
      </c>
      <c r="D37" s="261">
        <f ca="1">D19</f>
        <v>101555.9</v>
      </c>
      <c r="E37" s="293">
        <f>'数据-取费表'!B35</f>
        <v>200</v>
      </c>
      <c r="F37" s="303"/>
      <c r="G37" s="305" t="s">
        <v>2395</v>
      </c>
    </row>
    <row r="38" spans="1:7" ht="13.5" customHeight="1">
      <c r="A38" s="954" t="s">
        <v>799</v>
      </c>
      <c r="B38" s="259" t="s">
        <v>2396</v>
      </c>
      <c r="C38" s="264">
        <f ca="1">ROUND(C34*F38,0)</f>
        <v>314</v>
      </c>
      <c r="D38" s="264"/>
      <c r="E38" s="264"/>
      <c r="F38" s="303">
        <f>'数据-取费表'!B36</f>
        <v>1.4999999999999999E-2</v>
      </c>
      <c r="G38" s="263" t="s">
        <v>2391</v>
      </c>
    </row>
    <row r="39" spans="1:7" s="258" customFormat="1" ht="13.5" customHeight="1">
      <c r="A39" s="299" t="s">
        <v>2397</v>
      </c>
      <c r="B39" s="254" t="s">
        <v>2398</v>
      </c>
      <c r="C39" s="276">
        <f ca="1">ROUND(C33*F20,0)</f>
        <v>239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1145</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1134</v>
      </c>
      <c r="D42" s="282"/>
      <c r="E42" s="282"/>
      <c r="F42" s="283"/>
      <c r="G42" s="3172" t="s">
        <v>2407</v>
      </c>
    </row>
    <row r="43" spans="1:7" ht="13.5" customHeight="1">
      <c r="A43" s="954" t="s">
        <v>792</v>
      </c>
      <c r="B43" s="259" t="s">
        <v>2408</v>
      </c>
      <c r="C43" s="282">
        <f ca="1">ROUND(IF('数据-取费表'!B22&lt;=1,C39*F22*'数据-取费表'!B21/2,C39*(POWER((1+F22),'数据-取费表'!B21/2)-1)),0)</f>
        <v>11</v>
      </c>
      <c r="D43" s="282"/>
      <c r="E43" s="282"/>
      <c r="F43" s="283"/>
      <c r="G43" s="3173"/>
    </row>
    <row r="44" spans="1:7" ht="13.5" customHeight="1">
      <c r="A44" s="954" t="s">
        <v>793</v>
      </c>
      <c r="B44" s="259" t="s">
        <v>2409</v>
      </c>
      <c r="C44" s="282">
        <f ca="1">ROUND(IF('数据-取费表'!B22&lt;=1,C40*F22*'数据-取费表'!B21/2,C40*(POWER((1+F22),'数据-取费表'!B21/2)-1)),4)</f>
        <v>1E-3</v>
      </c>
      <c r="D44" s="282"/>
      <c r="E44" s="282"/>
      <c r="F44" s="283"/>
      <c r="G44" s="3174"/>
    </row>
    <row r="45" spans="1:7" s="258" customFormat="1" ht="13.5" customHeight="1">
      <c r="A45" s="299" t="s">
        <v>2410</v>
      </c>
      <c r="B45" s="288" t="s">
        <v>2376</v>
      </c>
      <c r="C45" s="289">
        <f ca="1">C46</f>
        <v>3617</v>
      </c>
      <c r="D45" s="279">
        <f ca="1">C47</f>
        <v>3.0000000000000001E-3</v>
      </c>
      <c r="E45" s="280" t="s">
        <v>2402</v>
      </c>
      <c r="F45" s="290"/>
      <c r="G45" s="291" t="s">
        <v>2411</v>
      </c>
    </row>
    <row r="46" spans="1:7" s="258" customFormat="1" ht="13.5" customHeight="1">
      <c r="A46" s="954" t="s">
        <v>791</v>
      </c>
      <c r="B46" s="292" t="s">
        <v>2412</v>
      </c>
      <c r="C46" s="293">
        <f ca="1">ROUND((C33+C39)*F27,0)</f>
        <v>3617</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31297</v>
      </c>
      <c r="D49" s="276"/>
      <c r="E49" s="276"/>
      <c r="F49" s="308"/>
      <c r="G49" s="278" t="s">
        <v>2417</v>
      </c>
    </row>
    <row r="50" spans="1:7" s="302" customFormat="1" ht="24">
      <c r="A50" s="299" t="s">
        <v>2418</v>
      </c>
      <c r="B50" s="254" t="s">
        <v>2419</v>
      </c>
      <c r="C50" s="276"/>
      <c r="D50" s="276"/>
      <c r="E50" s="276"/>
      <c r="F50" s="308">
        <f>IF('数据-取费表'!B24=0,'数据-取费表'!N16,1)</f>
        <v>0.90100000000000002</v>
      </c>
      <c r="G50" s="291" t="s">
        <v>2420</v>
      </c>
    </row>
    <row r="51" spans="1:7" ht="16.5" customHeight="1">
      <c r="A51" s="299" t="s">
        <v>2421</v>
      </c>
      <c r="B51" s="254" t="s">
        <v>2422</v>
      </c>
      <c r="C51" s="276">
        <f ca="1">ROUND(C49*F50,0)</f>
        <v>28199</v>
      </c>
      <c r="D51" s="276"/>
      <c r="E51" s="276"/>
      <c r="F51" s="308"/>
      <c r="G51" s="278" t="s">
        <v>2423</v>
      </c>
    </row>
    <row r="52" spans="1:7" s="252" customFormat="1" ht="16.5" thickBot="1">
      <c r="A52" s="309" t="s">
        <v>2424</v>
      </c>
      <c r="B52" s="310"/>
      <c r="C52" s="311">
        <f ca="1">C31+C51</f>
        <v>114063</v>
      </c>
      <c r="D52" s="310"/>
      <c r="E52" s="310"/>
      <c r="F52" s="310"/>
      <c r="G52" s="312"/>
    </row>
    <row r="55" spans="1:7" ht="15">
      <c r="B55" s="314" t="s">
        <v>2425</v>
      </c>
      <c r="C55" s="315"/>
    </row>
    <row r="56" spans="1:7">
      <c r="B56" s="317" t="s">
        <v>1514</v>
      </c>
      <c r="C56" s="319">
        <f ca="1">1-C57</f>
        <v>0.753</v>
      </c>
    </row>
    <row r="57" spans="1:7">
      <c r="B57" s="317" t="s">
        <v>1515</v>
      </c>
      <c r="C57" s="318">
        <f ca="1">ROUND(C51/C52,3)</f>
        <v>0.247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5" t="s">
        <v>2426</v>
      </c>
      <c r="D1" s="242"/>
      <c r="E1" s="242"/>
      <c r="F1" s="242"/>
      <c r="G1" s="1382">
        <f>MATCH(B1,'数据-取费表'!A6:A16,0)+5</f>
        <v>8</v>
      </c>
      <c r="H1" s="1285" t="str">
        <f>IF(ISERROR(FIND("住宅",B1)),"非住宅","住宅")</f>
        <v>非住宅</v>
      </c>
    </row>
    <row r="2" spans="1:8" s="244" customFormat="1" ht="18" customHeight="1">
      <c r="A2" s="245" t="s">
        <v>2325</v>
      </c>
      <c r="B2" s="246">
        <f ca="1">ROUND(IF(D2="——",C52/10000,C52/10000-E2),0)</f>
        <v>30971</v>
      </c>
      <c r="C2" s="243" t="s">
        <v>2326</v>
      </c>
      <c r="D2" s="2549" t="s">
        <v>70</v>
      </c>
      <c r="E2" s="1443" t="e">
        <f ca="1">SUMIF(INDIRECT("'"&amp;G2&amp;"'"&amp;"!A:A"),"承租人权益价值",INDIRECT("'"&amp;G2&amp;"'"&amp;"!c:c"))</f>
        <v>#REF!</v>
      </c>
      <c r="F2" s="2550" t="s">
        <v>2326</v>
      </c>
      <c r="G2" s="2551"/>
    </row>
    <row r="3" spans="1:8" s="244" customFormat="1" ht="18" customHeight="1" thickBot="1">
      <c r="A3" s="247" t="s">
        <v>2327</v>
      </c>
      <c r="B3" s="248">
        <f ca="1">ROUND(B2*10000/(IF(B1="",'数据-汇总表'!E3,INDIRECT("'数据-取费表'!k"&amp;$G$1))),0)</f>
        <v>3050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0</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0</v>
      </c>
      <c r="D8" s="266"/>
      <c r="E8" s="264"/>
      <c r="F8" s="265"/>
      <c r="G8" s="2552"/>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0</v>
      </c>
      <c r="D10" s="1035">
        <f ca="1">IF(B1="",'数据-汇总表'!E6,IF(INDIRECT("'数据-取费表'!c"&amp;$G$1)="住宅",INDIRECT("'数据-取费表'!s"&amp;$G$1),INDIRECT("'数据-取费表'!k"&amp;$G$1)+INDIRECT("'数据-取费表'!s"&amp;$G$1)))</f>
        <v>101555.9</v>
      </c>
      <c r="E10" s="269">
        <f>'数据-取费表'!B28</f>
        <v>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20311180</v>
      </c>
      <c r="D19" s="1039">
        <f ca="1">D9+D10</f>
        <v>101555.9</v>
      </c>
      <c r="E19" s="255">
        <f>'数据-取费表'!B31</f>
        <v>200</v>
      </c>
      <c r="F19" s="275"/>
      <c r="G19" s="2552"/>
    </row>
    <row r="20" spans="1:7" s="258" customFormat="1" ht="13.5" customHeight="1">
      <c r="A20" s="299" t="s">
        <v>2437</v>
      </c>
      <c r="B20" s="254" t="s">
        <v>2438</v>
      </c>
      <c r="C20" s="276">
        <f ca="1">ROUND((C5+C19)*F20,0)</f>
        <v>203112</v>
      </c>
      <c r="D20" s="276"/>
      <c r="E20" s="276"/>
      <c r="F20" s="277">
        <f>'数据-取费表'!B37</f>
        <v>0.01</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1985037</v>
      </c>
      <c r="D22" s="279">
        <f ca="1">C26</f>
        <v>1E-3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0</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1975389</v>
      </c>
      <c r="D24" s="282"/>
      <c r="E24" s="282"/>
      <c r="F24" s="283"/>
      <c r="G24" s="284" t="s">
        <v>2449</v>
      </c>
    </row>
    <row r="25" spans="1:7" s="258" customFormat="1" ht="24">
      <c r="A25" s="954" t="s">
        <v>2339</v>
      </c>
      <c r="B25" s="259" t="s">
        <v>2450</v>
      </c>
      <c r="C25" s="1384">
        <f ca="1">ROUND(IF('数据-取费表'!B22&lt;=1,C20*F22*'数据-取费表'!B22/2,C20*(POWER((1+F22),'数据-取费表'!B22/2)-1)),0)</f>
        <v>9648</v>
      </c>
      <c r="D25" s="282"/>
      <c r="E25" s="285"/>
      <c r="F25" s="283"/>
      <c r="G25" s="286" t="s">
        <v>2451</v>
      </c>
    </row>
    <row r="26" spans="1:7" s="258" customFormat="1">
      <c r="A26" s="954"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3077144</v>
      </c>
      <c r="D27" s="279">
        <f ca="1">C29</f>
        <v>3.0000000000000001E-3</v>
      </c>
      <c r="E27" s="280" t="s">
        <v>2377</v>
      </c>
      <c r="F27" s="290">
        <f ca="1">IF(B1="",'数据-取费表'!Q16,INDIRECT("'数据-取费表'!q"&amp;$G$1))</f>
        <v>0.15</v>
      </c>
      <c r="G27" s="291" t="s">
        <v>2378</v>
      </c>
    </row>
    <row r="28" spans="1:7" s="258" customFormat="1" ht="13.5" customHeight="1">
      <c r="A28" s="954" t="s">
        <v>791</v>
      </c>
      <c r="B28" s="292" t="s">
        <v>2379</v>
      </c>
      <c r="C28" s="293">
        <f ca="1">ROUND((C5+C19+C20)*F27,0)</f>
        <v>3077144</v>
      </c>
      <c r="D28" s="279"/>
      <c r="E28" s="280"/>
      <c r="F28" s="290"/>
      <c r="G28" s="291"/>
    </row>
    <row r="29" spans="1:7" s="258" customFormat="1" ht="13.5" customHeight="1">
      <c r="A29" s="954"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27719164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238765734</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209047420</v>
      </c>
      <c r="D34" s="261"/>
      <c r="E34" s="264"/>
      <c r="F34" s="301"/>
      <c r="G34" s="263"/>
    </row>
    <row r="35" spans="1:7" ht="13.5" customHeight="1">
      <c r="A35" s="954" t="s">
        <v>796</v>
      </c>
      <c r="B35" s="259" t="s">
        <v>2390</v>
      </c>
      <c r="C35" s="264">
        <f ca="1">ROUND(C34*F35,0)</f>
        <v>6271423</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20311180</v>
      </c>
      <c r="D37" s="261">
        <f ca="1">D19</f>
        <v>101555.9</v>
      </c>
      <c r="E37" s="293">
        <f>'数据-取费表'!B35</f>
        <v>200</v>
      </c>
      <c r="F37" s="303"/>
      <c r="G37" s="305"/>
    </row>
    <row r="38" spans="1:7" ht="13.5" customHeight="1">
      <c r="A38" s="954" t="s">
        <v>799</v>
      </c>
      <c r="B38" s="259" t="s">
        <v>2396</v>
      </c>
      <c r="C38" s="264">
        <f ca="1">ROUND(C34*F38,0)</f>
        <v>3135711</v>
      </c>
      <c r="D38" s="264"/>
      <c r="E38" s="264"/>
      <c r="F38" s="303">
        <f>'数据-取费表'!B36</f>
        <v>1.4999999999999999E-2</v>
      </c>
      <c r="G38" s="263" t="s">
        <v>2391</v>
      </c>
    </row>
    <row r="39" spans="1:7" s="258" customFormat="1" ht="13.5" customHeight="1">
      <c r="A39" s="299" t="s">
        <v>2397</v>
      </c>
      <c r="B39" s="254" t="s">
        <v>2398</v>
      </c>
      <c r="C39" s="276">
        <f ca="1">ROUND(C33*F20,0)</f>
        <v>2387657</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11454786</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11341372</v>
      </c>
      <c r="D42" s="282"/>
      <c r="E42" s="282"/>
      <c r="F42" s="283"/>
      <c r="G42" s="3172" t="s">
        <v>2454</v>
      </c>
    </row>
    <row r="43" spans="1:7" ht="13.5" customHeight="1">
      <c r="A43" s="954" t="s">
        <v>792</v>
      </c>
      <c r="B43" s="259" t="s">
        <v>2408</v>
      </c>
      <c r="C43" s="282">
        <f ca="1">ROUND(IF('数据-取费表'!B22&lt;=1,C39*F22*'数据-取费表'!B20/2,C39*(POWER((1+F22),'数据-取费表'!B20/2)-1)),0)</f>
        <v>113414</v>
      </c>
      <c r="D43" s="282"/>
      <c r="E43" s="282"/>
      <c r="F43" s="283"/>
      <c r="G43" s="3173"/>
    </row>
    <row r="44" spans="1:7" ht="13.5" customHeight="1">
      <c r="A44" s="954" t="s">
        <v>793</v>
      </c>
      <c r="B44" s="259" t="s">
        <v>2409</v>
      </c>
      <c r="C44" s="282">
        <f ca="1">ROUND(IF('数据-取费表'!B22&lt;=1,C40*F22*'数据-取费表'!B20/2,C40*(POWER((1+F22),'数据-取费表'!B20/2)-1)),4)</f>
        <v>1E-3</v>
      </c>
      <c r="D44" s="282"/>
      <c r="E44" s="282"/>
      <c r="F44" s="283"/>
      <c r="G44" s="3174"/>
    </row>
    <row r="45" spans="1:7" s="258" customFormat="1" ht="13.5" customHeight="1">
      <c r="A45" s="299" t="s">
        <v>2410</v>
      </c>
      <c r="B45" s="288" t="s">
        <v>2376</v>
      </c>
      <c r="C45" s="289">
        <f ca="1">C46</f>
        <v>36173009</v>
      </c>
      <c r="D45" s="279">
        <f ca="1">C47</f>
        <v>3.0000000000000001E-3</v>
      </c>
      <c r="E45" s="280" t="s">
        <v>2402</v>
      </c>
      <c r="F45" s="290"/>
      <c r="G45" s="291" t="s">
        <v>2411</v>
      </c>
    </row>
    <row r="46" spans="1:7" s="258" customFormat="1" ht="13.5" customHeight="1">
      <c r="A46" s="954" t="s">
        <v>791</v>
      </c>
      <c r="B46" s="292" t="s">
        <v>2412</v>
      </c>
      <c r="C46" s="293">
        <f ca="1">ROUND((C33+C39)*F27,0)</f>
        <v>36173009</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312974083</v>
      </c>
      <c r="D49" s="276"/>
      <c r="E49" s="276"/>
      <c r="F49" s="308"/>
      <c r="G49" s="278" t="s">
        <v>2417</v>
      </c>
    </row>
    <row r="50" spans="1:7" s="302" customFormat="1">
      <c r="A50" s="299" t="s">
        <v>2418</v>
      </c>
      <c r="B50" s="254" t="s">
        <v>2419</v>
      </c>
      <c r="C50" s="276"/>
      <c r="D50" s="276"/>
      <c r="E50" s="276"/>
      <c r="F50" s="308">
        <f>IF('数据-取费表'!B24=0,'数据-取费表'!N16,1)</f>
        <v>0.90100000000000002</v>
      </c>
      <c r="G50" s="291"/>
    </row>
    <row r="51" spans="1:7" ht="16.5" customHeight="1">
      <c r="A51" s="299" t="s">
        <v>2421</v>
      </c>
      <c r="B51" s="254" t="s">
        <v>2456</v>
      </c>
      <c r="C51" s="276">
        <f ca="1">ROUND(C49*F50,0)</f>
        <v>281989649</v>
      </c>
      <c r="D51" s="276"/>
      <c r="E51" s="276"/>
      <c r="F51" s="308"/>
      <c r="G51" s="278" t="s">
        <v>2423</v>
      </c>
    </row>
    <row r="52" spans="1:7" s="252" customFormat="1" ht="16.5" thickBot="1">
      <c r="A52" s="309" t="s">
        <v>2424</v>
      </c>
      <c r="B52" s="310"/>
      <c r="C52" s="311">
        <f ca="1">C31+C51</f>
        <v>309708813</v>
      </c>
      <c r="D52" s="310"/>
      <c r="E52" s="310"/>
      <c r="F52" s="310"/>
      <c r="G52" s="312"/>
    </row>
    <row r="55" spans="1:7" ht="15">
      <c r="B55" s="314" t="s">
        <v>2425</v>
      </c>
      <c r="C55" s="315"/>
    </row>
    <row r="56" spans="1:7">
      <c r="B56" s="317" t="s">
        <v>1514</v>
      </c>
      <c r="C56" s="319">
        <f ca="1">1-C57</f>
        <v>8.9999999999999969E-2</v>
      </c>
    </row>
    <row r="57" spans="1:7">
      <c r="B57" s="317" t="s">
        <v>1515</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6" t="s">
        <v>2463</v>
      </c>
      <c r="D5" s="2556" t="s">
        <v>2464</v>
      </c>
      <c r="E5" s="2556" t="s">
        <v>2465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101555.9</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101555.9</v>
      </c>
      <c r="E17" s="24">
        <f>'数据-取费表'!B32</f>
        <v>0</v>
      </c>
      <c r="F17" s="981"/>
      <c r="G17" s="140" t="s">
        <v>2489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8"/>
      <c r="H18" s="1579"/>
      <c r="I18" s="2559"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2493</v>
      </c>
      <c r="C20" s="24">
        <f ca="1">ROUND(D20*E20/10000,0)</f>
        <v>0</v>
      </c>
      <c r="D20" s="1036">
        <f ca="1">IF(C1="",'数据-汇总表'!E6,IF(INDIRECT("'数据-取费表'!c"&amp;$K$1)="住宅",INDIRECT("'数据-取费表'!s"&amp;$K$1),INDIRECT("'数据-取费表'!k"&amp;$K$1)+INDIRECT("'数据-取费表'!s"&amp;$K$1)))</f>
        <v>101555.9</v>
      </c>
      <c r="E20" s="24">
        <f>'数据-取费表'!B28</f>
        <v>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0.01</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2507</v>
      </c>
      <c r="B28" s="2561" t="s">
        <v>2508</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2"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zoomScale="80" zoomScaleNormal="80" workbookViewId="0">
      <selection activeCell="I143" sqref="I143"/>
    </sheetView>
  </sheetViews>
  <sheetFormatPr defaultRowHeight="14.25"/>
  <cols>
    <col min="1" max="1" width="14.375" style="403" customWidth="1"/>
    <col min="2" max="2" width="15.7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61055</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6012</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79" t="s">
        <v>2644</v>
      </c>
      <c r="D4" s="3192"/>
      <c r="E4" s="3193" t="s">
        <v>2645</v>
      </c>
      <c r="F4" s="3194"/>
      <c r="G4" s="3179" t="s">
        <v>2646</v>
      </c>
      <c r="H4" s="3192"/>
      <c r="I4" s="3179" t="s">
        <v>2647</v>
      </c>
      <c r="J4" s="3192"/>
      <c r="K4" s="610" t="s">
        <v>2648</v>
      </c>
      <c r="L4" s="1133"/>
      <c r="M4" s="1134"/>
      <c r="N4" s="1134"/>
      <c r="O4" s="1134"/>
      <c r="P4" s="3195" t="s">
        <v>2649</v>
      </c>
      <c r="Q4" s="3196"/>
      <c r="R4" s="3201" t="s">
        <v>2645</v>
      </c>
      <c r="S4" s="3202"/>
      <c r="T4" s="3201" t="s">
        <v>2646</v>
      </c>
      <c r="U4" s="3202"/>
      <c r="V4" s="3188" t="s">
        <v>2647</v>
      </c>
      <c r="W4" s="3188"/>
      <c r="X4" s="1815"/>
      <c r="Y4" s="3201" t="s">
        <v>2649</v>
      </c>
      <c r="Z4" s="3202"/>
      <c r="AA4" s="3189" t="s">
        <v>2645</v>
      </c>
      <c r="AB4" s="3190" t="s">
        <v>2646</v>
      </c>
      <c r="AC4" s="3189" t="s">
        <v>2647</v>
      </c>
    </row>
    <row r="5" spans="1:30" ht="15">
      <c r="A5" s="404"/>
      <c r="B5" s="405"/>
      <c r="C5" s="3209" t="s">
        <v>2540</v>
      </c>
      <c r="D5" s="3210"/>
      <c r="E5" s="3217" t="str">
        <f>'[1]土地案例（1）'!$A$3</f>
        <v>佛山市三水区乐平镇新城区C区16号</v>
      </c>
      <c r="F5" s="3218"/>
      <c r="G5" s="3209" t="str">
        <f>'[1]土地案例（1）'!$A$14</f>
        <v>佛山市三水区西南街道建设一路2号</v>
      </c>
      <c r="H5" s="3210"/>
      <c r="I5" s="3209" t="str">
        <f>'[1]土地案例（1）'!$A$16</f>
        <v>佛山市三水区白坭镇科技大道3号</v>
      </c>
      <c r="J5" s="3210"/>
      <c r="K5" s="610"/>
      <c r="L5" s="1133"/>
      <c r="M5" s="1134"/>
      <c r="N5" s="1134"/>
      <c r="O5" s="1134"/>
      <c r="P5" s="3197"/>
      <c r="Q5" s="3198"/>
      <c r="R5" s="3203"/>
      <c r="S5" s="3204"/>
      <c r="T5" s="3203"/>
      <c r="U5" s="3204"/>
      <c r="V5" s="3188"/>
      <c r="W5" s="3188"/>
      <c r="X5" s="1815"/>
      <c r="Y5" s="3203"/>
      <c r="Z5" s="3204"/>
      <c r="AA5" s="3190"/>
      <c r="AB5" s="3190"/>
      <c r="AC5" s="3190"/>
    </row>
    <row r="6" spans="1:30" ht="15.75" thickBot="1">
      <c r="A6" s="406"/>
      <c r="B6" s="407"/>
      <c r="C6" s="3214" t="s">
        <v>2544</v>
      </c>
      <c r="D6" s="3208"/>
      <c r="E6" s="3215" t="s">
        <v>3121</v>
      </c>
      <c r="F6" s="3216"/>
      <c r="G6" s="3207" t="s">
        <v>3122</v>
      </c>
      <c r="H6" s="3208"/>
      <c r="I6" s="3207" t="s">
        <v>3123</v>
      </c>
      <c r="J6" s="3208"/>
      <c r="K6" s="610" t="s">
        <v>2545</v>
      </c>
      <c r="L6" s="1133"/>
      <c r="M6" s="1134"/>
      <c r="N6" s="1134"/>
      <c r="O6" s="1134"/>
      <c r="P6" s="3199"/>
      <c r="Q6" s="3200"/>
      <c r="R6" s="3203"/>
      <c r="S6" s="3204"/>
      <c r="T6" s="3205"/>
      <c r="U6" s="3206"/>
      <c r="V6" s="3188"/>
      <c r="W6" s="3188"/>
      <c r="X6" s="1815"/>
      <c r="Y6" s="3205"/>
      <c r="Z6" s="3206"/>
      <c r="AA6" s="3191"/>
      <c r="AB6" s="3191"/>
      <c r="AC6" s="3191"/>
    </row>
    <row r="7" spans="1:30" s="117" customFormat="1" ht="15.75" thickBot="1">
      <c r="A7" s="408" t="s">
        <v>2546</v>
      </c>
      <c r="B7" s="409"/>
      <c r="C7" s="410">
        <f>'数据-取费表'!B2</f>
        <v>43180</v>
      </c>
      <c r="D7" s="411">
        <v>100</v>
      </c>
      <c r="E7" s="412" t="str">
        <f>'[1]土地案例（1）'!$I$3</f>
        <v>2018-02-08</v>
      </c>
      <c r="F7" s="413">
        <f>SUMIF(70:70,YEAR(E7)&amp;"-"&amp;INT((MONTH(E7)+2)/3),71:71)</f>
        <v>100</v>
      </c>
      <c r="G7" s="2698" t="str">
        <f>'[1]土地案例（1）'!$I$14</f>
        <v>2017-06-15</v>
      </c>
      <c r="H7" s="411">
        <f>SUMIF(70:70,YEAR(G7)&amp;"-"&amp;INT((MONTH(G7)+2)/3),71:71)</f>
        <v>98.5</v>
      </c>
      <c r="I7" s="2698" t="str">
        <f>'[1]土地案例（1）'!$I$16</f>
        <v>2017-05-05</v>
      </c>
      <c r="J7" s="411">
        <f>SUMIF(70:70,YEAR(I7)&amp;"-"&amp;INT((MONTH(I7)+2)/3),71:71)</f>
        <v>98.5</v>
      </c>
      <c r="K7" s="611"/>
      <c r="L7" s="1135"/>
      <c r="M7" s="1136"/>
      <c r="N7" s="1136"/>
      <c r="O7" s="1136"/>
      <c r="P7" s="3211" t="s">
        <v>2547</v>
      </c>
      <c r="Q7" s="3213"/>
      <c r="R7" s="770" t="s">
        <v>17</v>
      </c>
      <c r="S7" s="771">
        <f t="shared" ref="S7:S15" si="0">F7</f>
        <v>100</v>
      </c>
      <c r="T7" s="770" t="s">
        <v>17</v>
      </c>
      <c r="U7" s="771">
        <f t="shared" ref="U7:U15" si="1">H7</f>
        <v>98.5</v>
      </c>
      <c r="V7" s="770" t="s">
        <v>17</v>
      </c>
      <c r="W7" s="771">
        <f t="shared" ref="W7:W15" si="2">J7</f>
        <v>98.5</v>
      </c>
      <c r="X7" s="772"/>
      <c r="Y7" s="3211" t="s">
        <v>2547</v>
      </c>
      <c r="Z7" s="3212"/>
      <c r="AA7" s="773">
        <f>D7/F7</f>
        <v>1</v>
      </c>
      <c r="AB7" s="773">
        <f>D7/H7</f>
        <v>1.015228426395939</v>
      </c>
      <c r="AC7" s="773">
        <f>D7/J7</f>
        <v>1.015228426395939</v>
      </c>
    </row>
    <row r="8" spans="1:30" s="117" customFormat="1" ht="15.75" thickBot="1">
      <c r="A8" s="408" t="s">
        <v>2548</v>
      </c>
      <c r="B8" s="409"/>
      <c r="C8" s="414" t="s">
        <v>2549</v>
      </c>
      <c r="D8" s="411">
        <v>100</v>
      </c>
      <c r="E8" s="414" t="s">
        <v>3083</v>
      </c>
      <c r="F8" s="413">
        <f>SUMIF(73:73,E8,74:74)-SUMIF(73:73,C8,74:74)+100</f>
        <v>100</v>
      </c>
      <c r="G8" s="414" t="s">
        <v>3083</v>
      </c>
      <c r="H8" s="411">
        <f>SUMIF(73:73,G8,74:74)-SUMIF(73:73,C8,74:74)+100</f>
        <v>100</v>
      </c>
      <c r="I8" s="414" t="s">
        <v>3083</v>
      </c>
      <c r="J8" s="411">
        <f>SUMIF(73:73,I8,74:74)-SUMIF(73:73,C8,74:74)+100</f>
        <v>100</v>
      </c>
      <c r="K8" s="611"/>
      <c r="L8" s="1135"/>
      <c r="M8" s="1136"/>
      <c r="N8" s="1136"/>
      <c r="O8" s="1136"/>
      <c r="P8" s="3211" t="s">
        <v>2550</v>
      </c>
      <c r="Q8" s="3212"/>
      <c r="R8" s="770" t="s">
        <v>17</v>
      </c>
      <c r="S8" s="771">
        <f t="shared" si="0"/>
        <v>100</v>
      </c>
      <c r="T8" s="770" t="s">
        <v>17</v>
      </c>
      <c r="U8" s="771">
        <f t="shared" si="1"/>
        <v>100</v>
      </c>
      <c r="V8" s="770" t="s">
        <v>17</v>
      </c>
      <c r="W8" s="771">
        <f t="shared" si="2"/>
        <v>100</v>
      </c>
      <c r="X8" s="772"/>
      <c r="Y8" s="3211" t="s">
        <v>2550</v>
      </c>
      <c r="Z8" s="3212"/>
      <c r="AA8" s="773">
        <f t="shared" ref="AA8:AA45" si="3">D8/F8</f>
        <v>1</v>
      </c>
      <c r="AB8" s="773">
        <f t="shared" ref="AB8:AB45" si="4">D8/H8</f>
        <v>1</v>
      </c>
      <c r="AC8" s="773">
        <f t="shared" ref="AC8:AC45" si="5">D8/J8</f>
        <v>1</v>
      </c>
    </row>
    <row r="9" spans="1:30" s="117" customFormat="1" ht="57">
      <c r="A9" s="415" t="s">
        <v>2551</v>
      </c>
      <c r="B9" s="71" t="s">
        <v>2552</v>
      </c>
      <c r="C9" s="2701" t="s">
        <v>3084</v>
      </c>
      <c r="D9" s="135">
        <v>100</v>
      </c>
      <c r="E9" s="2701" t="s">
        <v>3086</v>
      </c>
      <c r="F9" s="135">
        <f>SUMIF(75:75,E9,76:76)-SUMIF(75:75,C9,76:76)+100</f>
        <v>100</v>
      </c>
      <c r="G9" s="2701" t="s">
        <v>3086</v>
      </c>
      <c r="H9" s="135">
        <f>SUMIF(75:75,G9,76:76)-SUMIF(75:75,C9,76:76)+100</f>
        <v>100</v>
      </c>
      <c r="I9" s="2701" t="s">
        <v>3086</v>
      </c>
      <c r="J9" s="135">
        <f>SUMIF(75:75,I9,76:76)-SUMIF(75:75,C9,76:76)+100</f>
        <v>100</v>
      </c>
      <c r="K9" s="611"/>
      <c r="L9" s="1135"/>
      <c r="M9" s="1136"/>
      <c r="N9" s="1136"/>
      <c r="O9" s="1137"/>
      <c r="P9" s="3182" t="s">
        <v>2553</v>
      </c>
      <c r="Q9" s="1797"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82"/>
      <c r="Q10" s="1797" t="str">
        <f t="shared" si="6"/>
        <v>土地使用年限（年）</v>
      </c>
      <c r="R10" s="770" t="s">
        <v>17</v>
      </c>
      <c r="S10" s="771">
        <f t="shared" si="0"/>
        <v>111</v>
      </c>
      <c r="T10" s="770" t="s">
        <v>17</v>
      </c>
      <c r="U10" s="771">
        <f t="shared" si="1"/>
        <v>111</v>
      </c>
      <c r="V10" s="770" t="s">
        <v>17</v>
      </c>
      <c r="W10" s="771">
        <f t="shared" si="2"/>
        <v>111</v>
      </c>
      <c r="X10" s="772"/>
      <c r="Y10" s="3030"/>
      <c r="Z10" s="55" t="str">
        <f t="shared" si="7"/>
        <v>土地使用年限（年）</v>
      </c>
      <c r="AA10" s="773">
        <f t="shared" si="3"/>
        <v>0.90090090090090091</v>
      </c>
      <c r="AB10" s="773">
        <f t="shared" si="4"/>
        <v>0.90090090090090091</v>
      </c>
      <c r="AC10" s="773">
        <f t="shared" si="5"/>
        <v>0.90090090090090091</v>
      </c>
    </row>
    <row r="11" spans="1:30" ht="15">
      <c r="A11" s="428"/>
      <c r="B11" s="422" t="s">
        <v>2556</v>
      </c>
      <c r="C11" s="429">
        <v>0.56999999999999995</v>
      </c>
      <c r="D11" s="136">
        <v>100</v>
      </c>
      <c r="E11" s="429">
        <v>2.7</v>
      </c>
      <c r="F11" s="136">
        <f>LOOKUP(E11,80:80,81:81)-LOOKUP(C11,80:80,81:81)+100</f>
        <v>90</v>
      </c>
      <c r="G11" s="430">
        <v>3.2</v>
      </c>
      <c r="H11" s="136">
        <f>LOOKUP(G11,80:80,81:81)-LOOKUP(C11,80:80,81:81)+100</f>
        <v>85</v>
      </c>
      <c r="I11" s="429">
        <v>2.2999999999999998</v>
      </c>
      <c r="J11" s="136">
        <f>LOOKUP(I11,80:80,81:81)-LOOKUP(C11,80:80,81:81)+100</f>
        <v>90</v>
      </c>
      <c r="K11" s="673">
        <v>5</v>
      </c>
      <c r="L11" s="1141"/>
      <c r="M11" s="1134"/>
      <c r="N11" s="1134"/>
      <c r="O11" s="1142"/>
      <c r="P11" s="3182"/>
      <c r="Q11" s="1797" t="str">
        <f t="shared" si="6"/>
        <v>容积率</v>
      </c>
      <c r="R11" s="770" t="s">
        <v>17</v>
      </c>
      <c r="S11" s="771">
        <f t="shared" si="0"/>
        <v>90</v>
      </c>
      <c r="T11" s="770" t="s">
        <v>17</v>
      </c>
      <c r="U11" s="771">
        <f t="shared" si="1"/>
        <v>85</v>
      </c>
      <c r="V11" s="770" t="s">
        <v>17</v>
      </c>
      <c r="W11" s="771">
        <f t="shared" si="2"/>
        <v>90</v>
      </c>
      <c r="X11" s="772"/>
      <c r="Y11" s="3030"/>
      <c r="Z11" s="55" t="str">
        <f t="shared" si="7"/>
        <v>容积率</v>
      </c>
      <c r="AA11" s="773">
        <f t="shared" si="3"/>
        <v>1.1111111111111112</v>
      </c>
      <c r="AB11" s="773">
        <f t="shared" si="4"/>
        <v>1.1764705882352942</v>
      </c>
      <c r="AC11" s="773">
        <f t="shared" si="5"/>
        <v>1.1111111111111112</v>
      </c>
    </row>
    <row r="12" spans="1:30" s="117" customFormat="1" ht="15.75" thickBot="1">
      <c r="A12" s="431"/>
      <c r="B12" s="2963" t="s">
        <v>3114</v>
      </c>
      <c r="C12" s="2964" t="s">
        <v>3115</v>
      </c>
      <c r="D12" s="433">
        <v>100</v>
      </c>
      <c r="E12" s="2965" t="s">
        <v>3116</v>
      </c>
      <c r="F12" s="136">
        <f>SUMIF(82:82,E12,83:83)-SUMIF(82:82,C12,83:83)+100</f>
        <v>95</v>
      </c>
      <c r="G12" s="2966" t="s">
        <v>3117</v>
      </c>
      <c r="H12" s="136">
        <f>SUMIF(82:82,G12,83:83)-SUMIF(82:82,C12,83:83)+100</f>
        <v>100</v>
      </c>
      <c r="I12" s="2965" t="s">
        <v>3115</v>
      </c>
      <c r="J12" s="136">
        <f>SUMIF(82:82,I12,83:83)-SUMIF(82:82,C12,83:83)+100</f>
        <v>100</v>
      </c>
      <c r="K12" s="672"/>
      <c r="L12" s="1135"/>
      <c r="M12" s="1136"/>
      <c r="N12" s="1136"/>
      <c r="O12" s="1137"/>
      <c r="P12" s="3182"/>
      <c r="Q12" s="1797" t="str">
        <f t="shared" si="6"/>
        <v>配建</v>
      </c>
      <c r="R12" s="770" t="s">
        <v>17</v>
      </c>
      <c r="S12" s="771">
        <f t="shared" si="0"/>
        <v>95</v>
      </c>
      <c r="T12" s="770" t="s">
        <v>17</v>
      </c>
      <c r="U12" s="771">
        <f t="shared" si="1"/>
        <v>100</v>
      </c>
      <c r="V12" s="770" t="s">
        <v>17</v>
      </c>
      <c r="W12" s="771">
        <f t="shared" si="2"/>
        <v>100</v>
      </c>
      <c r="X12" s="772"/>
      <c r="Y12" s="3030"/>
      <c r="Z12" s="55" t="str">
        <f t="shared" si="7"/>
        <v>配建</v>
      </c>
      <c r="AA12" s="773">
        <f>D12/F12</f>
        <v>1.0526315789473684</v>
      </c>
      <c r="AB12" s="773">
        <f>D12/H12</f>
        <v>1</v>
      </c>
      <c r="AC12" s="773">
        <f>D12/J12</f>
        <v>1</v>
      </c>
    </row>
    <row r="13" spans="1:30" ht="15" hidden="1">
      <c r="A13" s="428"/>
      <c r="B13" s="2602"/>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2"/>
      <c r="Q13" s="1797">
        <f t="shared" si="6"/>
        <v>0</v>
      </c>
      <c r="R13" s="770" t="s">
        <v>17</v>
      </c>
      <c r="S13" s="771">
        <f t="shared" si="0"/>
        <v>100</v>
      </c>
      <c r="T13" s="770" t="s">
        <v>17</v>
      </c>
      <c r="U13" s="771">
        <f t="shared" si="1"/>
        <v>100</v>
      </c>
      <c r="V13" s="770" t="s">
        <v>17</v>
      </c>
      <c r="W13" s="771">
        <f t="shared" si="2"/>
        <v>100</v>
      </c>
      <c r="X13" s="772"/>
      <c r="Y13" s="3030"/>
      <c r="Z13" s="55">
        <f t="shared" si="7"/>
        <v>0</v>
      </c>
      <c r="AA13" s="773">
        <f>D13/F13</f>
        <v>1</v>
      </c>
      <c r="AB13" s="773">
        <f>D13/H13</f>
        <v>1</v>
      </c>
      <c r="AC13" s="773">
        <f>D13/J13</f>
        <v>1</v>
      </c>
    </row>
    <row r="14" spans="1:30" ht="15.75" hidden="1" thickBot="1">
      <c r="A14" s="436"/>
      <c r="B14" s="2604"/>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2"/>
      <c r="Q14" s="1797">
        <f t="shared" si="6"/>
        <v>0</v>
      </c>
      <c r="R14" s="770" t="s">
        <v>17</v>
      </c>
      <c r="S14" s="771">
        <f t="shared" si="0"/>
        <v>100</v>
      </c>
      <c r="T14" s="770" t="s">
        <v>17</v>
      </c>
      <c r="U14" s="771">
        <f t="shared" si="1"/>
        <v>100</v>
      </c>
      <c r="V14" s="770" t="s">
        <v>17</v>
      </c>
      <c r="W14" s="771">
        <f t="shared" si="2"/>
        <v>100</v>
      </c>
      <c r="X14" s="772"/>
      <c r="Y14" s="3030"/>
      <c r="Z14" s="55">
        <f t="shared" si="7"/>
        <v>0</v>
      </c>
      <c r="AA14" s="773">
        <f>D14/F14</f>
        <v>1</v>
      </c>
      <c r="AB14" s="773">
        <f>D14/H14</f>
        <v>1</v>
      </c>
      <c r="AC14" s="773">
        <f>D14/J14</f>
        <v>1</v>
      </c>
    </row>
    <row r="15" spans="1:30" ht="57">
      <c r="A15" s="440" t="s">
        <v>2557</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105</v>
      </c>
      <c r="G15" s="442"/>
      <c r="H15" s="441">
        <f>SUMIF(88:88,G16,89:89)-SUMIF(88:88,C16,89:89)+100</f>
        <v>105</v>
      </c>
      <c r="I15" s="444"/>
      <c r="J15" s="441">
        <f>SUMIF(88:88,I16,89:89)-SUMIF(88:88,C16,89:89)+100</f>
        <v>105</v>
      </c>
      <c r="K15" s="673">
        <v>5</v>
      </c>
      <c r="L15" s="1143"/>
      <c r="M15" s="1134"/>
      <c r="N15" s="1134"/>
      <c r="O15" s="1142"/>
      <c r="P15" s="3184" t="s">
        <v>2558</v>
      </c>
      <c r="Q15" s="1812" t="str">
        <f t="shared" si="6"/>
        <v>居住社区成熟度</v>
      </c>
      <c r="R15" s="774" t="s">
        <v>17</v>
      </c>
      <c r="S15" s="775">
        <f t="shared" si="0"/>
        <v>105</v>
      </c>
      <c r="T15" s="774" t="s">
        <v>17</v>
      </c>
      <c r="U15" s="775">
        <f t="shared" si="1"/>
        <v>105</v>
      </c>
      <c r="V15" s="774" t="s">
        <v>17</v>
      </c>
      <c r="W15" s="775">
        <f t="shared" si="2"/>
        <v>105</v>
      </c>
      <c r="X15" s="1815"/>
      <c r="Y15" s="3184" t="s">
        <v>2558</v>
      </c>
      <c r="Z15" s="1816" t="str">
        <f t="shared" si="7"/>
        <v>居住社区成熟度</v>
      </c>
      <c r="AA15" s="1813">
        <f t="shared" si="3"/>
        <v>0.95238095238095233</v>
      </c>
      <c r="AB15" s="1813">
        <f t="shared" si="4"/>
        <v>0.95238095238095233</v>
      </c>
      <c r="AC15" s="1813">
        <f t="shared" si="5"/>
        <v>0.95238095238095233</v>
      </c>
    </row>
    <row r="16" spans="1:30" ht="15">
      <c r="A16" s="428"/>
      <c r="B16" s="446"/>
      <c r="C16" s="447" t="s">
        <v>3105</v>
      </c>
      <c r="D16" s="448"/>
      <c r="E16" s="2607" t="s">
        <v>3106</v>
      </c>
      <c r="F16" s="448"/>
      <c r="G16" s="2607" t="s">
        <v>3106</v>
      </c>
      <c r="H16" s="450"/>
      <c r="I16" s="2606" t="s">
        <v>3106</v>
      </c>
      <c r="J16" s="448"/>
      <c r="K16" s="672"/>
      <c r="L16" s="1143"/>
      <c r="M16" s="1134"/>
      <c r="N16" s="1134"/>
      <c r="O16" s="1142"/>
      <c r="P16" s="3185"/>
      <c r="Q16" s="1812"/>
      <c r="R16" s="774"/>
      <c r="S16" s="775"/>
      <c r="T16" s="774"/>
      <c r="U16" s="775"/>
      <c r="V16" s="774"/>
      <c r="W16" s="775"/>
      <c r="X16" s="1815"/>
      <c r="Y16" s="3185"/>
      <c r="Z16" s="1816"/>
      <c r="AA16" s="1813">
        <v>1</v>
      </c>
      <c r="AB16" s="1813">
        <v>1</v>
      </c>
      <c r="AC16" s="1813">
        <v>1</v>
      </c>
    </row>
    <row r="17" spans="1:29" ht="42.75">
      <c r="A17" s="428"/>
      <c r="B17" s="451" t="s">
        <v>2651</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3</v>
      </c>
      <c r="L17" s="1143"/>
      <c r="M17" s="1134"/>
      <c r="N17" s="1134"/>
      <c r="O17" s="1142"/>
      <c r="P17" s="3185"/>
      <c r="Q17" s="1812" t="str">
        <f>B17</f>
        <v>商业繁华度</v>
      </c>
      <c r="R17" s="774" t="s">
        <v>17</v>
      </c>
      <c r="S17" s="775">
        <f>F17</f>
        <v>100</v>
      </c>
      <c r="T17" s="774" t="s">
        <v>17</v>
      </c>
      <c r="U17" s="775">
        <f>H17</f>
        <v>100</v>
      </c>
      <c r="V17" s="774" t="s">
        <v>17</v>
      </c>
      <c r="W17" s="775">
        <f>J17</f>
        <v>100</v>
      </c>
      <c r="X17" s="1815"/>
      <c r="Y17" s="3185"/>
      <c r="Z17" s="1816" t="str">
        <f>Q17</f>
        <v>商业繁华度</v>
      </c>
      <c r="AA17" s="1813">
        <f t="shared" si="3"/>
        <v>1</v>
      </c>
      <c r="AB17" s="1813">
        <f t="shared" si="4"/>
        <v>1</v>
      </c>
      <c r="AC17" s="1813">
        <f t="shared" si="5"/>
        <v>1</v>
      </c>
    </row>
    <row r="18" spans="1:29" ht="15">
      <c r="A18" s="428"/>
      <c r="B18" s="456"/>
      <c r="C18" s="2610" t="s">
        <v>3106</v>
      </c>
      <c r="D18" s="450"/>
      <c r="E18" s="2612" t="s">
        <v>3106</v>
      </c>
      <c r="F18" s="450"/>
      <c r="G18" s="2612" t="s">
        <v>3106</v>
      </c>
      <c r="H18" s="448"/>
      <c r="I18" s="2611" t="s">
        <v>3106</v>
      </c>
      <c r="J18" s="448"/>
      <c r="K18" s="672"/>
      <c r="L18" s="1143"/>
      <c r="M18" s="1134"/>
      <c r="N18" s="1134"/>
      <c r="O18" s="1142"/>
      <c r="P18" s="3185"/>
      <c r="Q18" s="1812"/>
      <c r="R18" s="774"/>
      <c r="S18" s="775"/>
      <c r="T18" s="774"/>
      <c r="U18" s="775"/>
      <c r="V18" s="774"/>
      <c r="W18" s="775"/>
      <c r="X18" s="1815"/>
      <c r="Y18" s="3185"/>
      <c r="Z18" s="1816"/>
      <c r="AA18" s="1813">
        <v>1</v>
      </c>
      <c r="AB18" s="1813">
        <v>1</v>
      </c>
      <c r="AC18" s="1813">
        <v>1</v>
      </c>
    </row>
    <row r="19" spans="1:29" ht="42.75" hidden="1">
      <c r="A19" s="428"/>
      <c r="B19" s="451" t="s">
        <v>2685</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5"/>
      <c r="Q19" s="1812" t="str">
        <f>B19</f>
        <v>办公集聚程度</v>
      </c>
      <c r="R19" s="774" t="s">
        <v>17</v>
      </c>
      <c r="S19" s="775">
        <f>F19</f>
        <v>100</v>
      </c>
      <c r="T19" s="774" t="s">
        <v>17</v>
      </c>
      <c r="U19" s="775">
        <f>H19</f>
        <v>100</v>
      </c>
      <c r="V19" s="774" t="s">
        <v>17</v>
      </c>
      <c r="W19" s="775">
        <f>J19</f>
        <v>100</v>
      </c>
      <c r="X19" s="1815"/>
      <c r="Y19" s="3185"/>
      <c r="Z19" s="1816" t="str">
        <f>Q19</f>
        <v>办公集聚程度</v>
      </c>
      <c r="AA19" s="1813">
        <f t="shared" si="3"/>
        <v>1</v>
      </c>
      <c r="AB19" s="1813">
        <f t="shared" si="4"/>
        <v>1</v>
      </c>
      <c r="AC19" s="1813">
        <f t="shared" si="5"/>
        <v>1</v>
      </c>
    </row>
    <row r="20" spans="1:29" ht="15" hidden="1">
      <c r="A20" s="428"/>
      <c r="B20" s="456"/>
      <c r="C20" s="447"/>
      <c r="D20" s="448"/>
      <c r="E20" s="2607"/>
      <c r="F20" s="448"/>
      <c r="G20" s="2607"/>
      <c r="H20" s="448"/>
      <c r="I20" s="2606"/>
      <c r="J20" s="448"/>
      <c r="K20" s="672"/>
      <c r="L20" s="1143"/>
      <c r="M20" s="1134"/>
      <c r="N20" s="1134"/>
      <c r="O20" s="1142"/>
      <c r="P20" s="3185"/>
      <c r="Q20" s="1812"/>
      <c r="R20" s="774"/>
      <c r="S20" s="775"/>
      <c r="T20" s="774"/>
      <c r="U20" s="775"/>
      <c r="V20" s="774"/>
      <c r="W20" s="775"/>
      <c r="X20" s="1815"/>
      <c r="Y20" s="3185"/>
      <c r="Z20" s="1816"/>
      <c r="AA20" s="1813">
        <v>1</v>
      </c>
      <c r="AB20" s="1813">
        <v>1</v>
      </c>
      <c r="AC20" s="1813">
        <v>1</v>
      </c>
    </row>
    <row r="21" spans="1:29" ht="57">
      <c r="A21" s="428"/>
      <c r="B21" s="451" t="s">
        <v>2707</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3</v>
      </c>
      <c r="L21" s="1143"/>
      <c r="M21" s="1134"/>
      <c r="N21" s="1134"/>
      <c r="O21" s="1142"/>
      <c r="P21" s="3185"/>
      <c r="Q21" s="1812" t="str">
        <f>B21</f>
        <v>交通便捷度</v>
      </c>
      <c r="R21" s="774" t="s">
        <v>17</v>
      </c>
      <c r="S21" s="775">
        <f>F21</f>
        <v>100</v>
      </c>
      <c r="T21" s="774" t="s">
        <v>17</v>
      </c>
      <c r="U21" s="775">
        <f>H21</f>
        <v>100</v>
      </c>
      <c r="V21" s="774" t="s">
        <v>17</v>
      </c>
      <c r="W21" s="775">
        <f>J21</f>
        <v>100</v>
      </c>
      <c r="X21" s="1815"/>
      <c r="Y21" s="3185"/>
      <c r="Z21" s="1816" t="str">
        <f>Q21</f>
        <v>交通便捷度</v>
      </c>
      <c r="AA21" s="1813">
        <f t="shared" si="3"/>
        <v>1</v>
      </c>
      <c r="AB21" s="1813">
        <f t="shared" si="4"/>
        <v>1</v>
      </c>
      <c r="AC21" s="1813">
        <f t="shared" si="5"/>
        <v>1</v>
      </c>
    </row>
    <row r="22" spans="1:29" ht="15">
      <c r="A22" s="428"/>
      <c r="B22" s="1387"/>
      <c r="C22" s="447" t="s">
        <v>3106</v>
      </c>
      <c r="D22" s="450"/>
      <c r="E22" s="2607" t="s">
        <v>3106</v>
      </c>
      <c r="F22" s="448"/>
      <c r="G22" s="2607" t="s">
        <v>3106</v>
      </c>
      <c r="H22" s="448"/>
      <c r="I22" s="2606" t="s">
        <v>3106</v>
      </c>
      <c r="J22" s="448"/>
      <c r="K22" s="672"/>
      <c r="L22" s="1143"/>
      <c r="M22" s="1134"/>
      <c r="N22" s="1134"/>
      <c r="O22" s="1142"/>
      <c r="P22" s="3185"/>
      <c r="Q22" s="1812"/>
      <c r="R22" s="774"/>
      <c r="S22" s="775"/>
      <c r="T22" s="774"/>
      <c r="U22" s="775"/>
      <c r="V22" s="774"/>
      <c r="W22" s="775"/>
      <c r="X22" s="1815"/>
      <c r="Y22" s="3185"/>
      <c r="Z22" s="1816"/>
      <c r="AA22" s="1813">
        <v>1</v>
      </c>
      <c r="AB22" s="1813">
        <v>1</v>
      </c>
      <c r="AC22" s="1813">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43"/>
      <c r="M23" s="1134"/>
      <c r="N23" s="1134"/>
      <c r="O23" s="1142"/>
      <c r="P23" s="3185"/>
      <c r="Q23" s="1812" t="str">
        <f t="shared" ref="Q23:Q37" si="8">B23</f>
        <v>区域土地利用方向</v>
      </c>
      <c r="R23" s="774" t="s">
        <v>17</v>
      </c>
      <c r="S23" s="775">
        <f>F23</f>
        <v>100</v>
      </c>
      <c r="T23" s="774" t="s">
        <v>17</v>
      </c>
      <c r="U23" s="775">
        <f>H23</f>
        <v>100</v>
      </c>
      <c r="V23" s="774" t="s">
        <v>17</v>
      </c>
      <c r="W23" s="775">
        <f>J23</f>
        <v>100</v>
      </c>
      <c r="X23" s="1815"/>
      <c r="Y23" s="3185"/>
      <c r="Z23" s="1816" t="str">
        <f>Q23</f>
        <v>区域土地利用方向</v>
      </c>
      <c r="AA23" s="1813">
        <f t="shared" si="3"/>
        <v>1</v>
      </c>
      <c r="AB23" s="1813">
        <f t="shared" si="4"/>
        <v>1</v>
      </c>
      <c r="AC23" s="1813">
        <f t="shared" si="5"/>
        <v>1</v>
      </c>
    </row>
    <row r="24" spans="1:29" ht="15">
      <c r="A24" s="404"/>
      <c r="B24" s="456"/>
      <c r="C24" s="616" t="s">
        <v>3096</v>
      </c>
      <c r="D24" s="448"/>
      <c r="E24" s="616" t="s">
        <v>3096</v>
      </c>
      <c r="F24" s="448"/>
      <c r="G24" s="616" t="s">
        <v>3096</v>
      </c>
      <c r="H24" s="448"/>
      <c r="I24" s="616" t="s">
        <v>3096</v>
      </c>
      <c r="J24" s="448"/>
      <c r="K24" s="812"/>
      <c r="L24" s="1143"/>
      <c r="M24" s="1134"/>
      <c r="N24" s="1134"/>
      <c r="O24" s="1142"/>
      <c r="P24" s="3185"/>
      <c r="Q24" s="1812"/>
      <c r="R24" s="774"/>
      <c r="S24" s="775"/>
      <c r="T24" s="774"/>
      <c r="U24" s="775"/>
      <c r="V24" s="774"/>
      <c r="W24" s="775"/>
      <c r="X24" s="1815"/>
      <c r="Y24" s="3185"/>
      <c r="Z24" s="1816"/>
      <c r="AA24" s="1813"/>
      <c r="AB24" s="1813"/>
      <c r="AC24" s="1813"/>
    </row>
    <row r="25" spans="1:29" ht="28.5">
      <c r="A25" s="404"/>
      <c r="B25" s="1387" t="s">
        <v>2746</v>
      </c>
      <c r="C25" s="2666" t="str">
        <f>估价对象房地状况!C20</f>
        <v>区域自然环境：；人文环境；综合评价环境状况一般</v>
      </c>
      <c r="D25" s="450">
        <v>100</v>
      </c>
      <c r="E25" s="452"/>
      <c r="F25" s="450">
        <f>SUMIF(98:98,E26,99:99)-SUMIF(98:98,C26,99:99)+100</f>
        <v>95</v>
      </c>
      <c r="G25" s="452"/>
      <c r="H25" s="450">
        <f>SUMIF(98:98,G26,99:99)-SUMIF(98:98,C26,99:99)+100</f>
        <v>100</v>
      </c>
      <c r="I25" s="454"/>
      <c r="J25" s="450">
        <f>SUMIF(98:98,I26,99:99)-SUMIF(98:98,C26,99:99)+100</f>
        <v>95</v>
      </c>
      <c r="K25" s="673">
        <v>5</v>
      </c>
      <c r="L25" s="1143"/>
      <c r="M25" s="1134"/>
      <c r="N25" s="1134"/>
      <c r="O25" s="1142"/>
      <c r="P25" s="3185"/>
      <c r="Q25" s="1812" t="str">
        <f t="shared" si="8"/>
        <v>自然及人文环境状况</v>
      </c>
      <c r="R25" s="774" t="s">
        <v>17</v>
      </c>
      <c r="S25" s="775">
        <f>F25</f>
        <v>95</v>
      </c>
      <c r="T25" s="774" t="s">
        <v>17</v>
      </c>
      <c r="U25" s="775">
        <f>H25</f>
        <v>100</v>
      </c>
      <c r="V25" s="774" t="s">
        <v>17</v>
      </c>
      <c r="W25" s="775">
        <f>J25</f>
        <v>95</v>
      </c>
      <c r="X25" s="1815"/>
      <c r="Y25" s="3185"/>
      <c r="Z25" s="1816" t="str">
        <f>Q25</f>
        <v>自然及人文环境状况</v>
      </c>
      <c r="AA25" s="1813">
        <f t="shared" si="3"/>
        <v>1.0526315789473684</v>
      </c>
      <c r="AB25" s="1813">
        <f t="shared" si="4"/>
        <v>1</v>
      </c>
      <c r="AC25" s="1813">
        <f t="shared" si="5"/>
        <v>1.0526315789473684</v>
      </c>
    </row>
    <row r="26" spans="1:29" ht="15">
      <c r="A26" s="404"/>
      <c r="B26" s="456"/>
      <c r="C26" s="447" t="s">
        <v>3096</v>
      </c>
      <c r="D26" s="448"/>
      <c r="E26" s="2613" t="s">
        <v>3106</v>
      </c>
      <c r="F26" s="448"/>
      <c r="G26" s="2613" t="s">
        <v>3096</v>
      </c>
      <c r="H26" s="448"/>
      <c r="I26" s="2613" t="s">
        <v>3106</v>
      </c>
      <c r="J26" s="448"/>
      <c r="K26" s="672"/>
      <c r="L26" s="1143"/>
      <c r="M26" s="1134"/>
      <c r="N26" s="1134"/>
      <c r="O26" s="1142"/>
      <c r="P26" s="3185"/>
      <c r="Q26" s="1812"/>
      <c r="R26" s="774"/>
      <c r="S26" s="775"/>
      <c r="T26" s="774"/>
      <c r="U26" s="775"/>
      <c r="V26" s="774"/>
      <c r="W26" s="775"/>
      <c r="X26" s="1815"/>
      <c r="Y26" s="3185"/>
      <c r="Z26" s="1816"/>
      <c r="AA26" s="1813">
        <v>1</v>
      </c>
      <c r="AB26" s="1813">
        <v>1</v>
      </c>
      <c r="AC26" s="1813">
        <v>1</v>
      </c>
    </row>
    <row r="27" spans="1:29" s="117" customFormat="1" ht="28.5">
      <c r="A27" s="649"/>
      <c r="B27" s="1387" t="s">
        <v>2652</v>
      </c>
      <c r="C27" s="2609" t="str">
        <f>估价对象房地状况!C21</f>
        <v>估价对象所在区域公共配套设施齐备情况</v>
      </c>
      <c r="D27" s="450">
        <v>100</v>
      </c>
      <c r="E27" s="452"/>
      <c r="F27" s="450">
        <f>SUMIF(100:100,E28,101:101)-SUMIF(100:100,C28,101:101)+100</f>
        <v>105</v>
      </c>
      <c r="G27" s="452"/>
      <c r="H27" s="450">
        <f>SUMIF(100:100,G28,101:101)-SUMIF(100:100,C28,101:101)+100</f>
        <v>105</v>
      </c>
      <c r="I27" s="454"/>
      <c r="J27" s="450">
        <f>SUMIF(100:100,I28,101:101)-SUMIF(100:100,C28,101:101)+100</f>
        <v>105</v>
      </c>
      <c r="K27" s="673">
        <v>5</v>
      </c>
      <c r="L27" s="1135"/>
      <c r="M27" s="1136"/>
      <c r="N27" s="1136"/>
      <c r="O27" s="1137"/>
      <c r="P27" s="3185"/>
      <c r="Q27" s="1797" t="str">
        <f t="shared" si="8"/>
        <v>公共配套设施</v>
      </c>
      <c r="R27" s="770" t="s">
        <v>17</v>
      </c>
      <c r="S27" s="771">
        <f>F27</f>
        <v>105</v>
      </c>
      <c r="T27" s="770" t="s">
        <v>17</v>
      </c>
      <c r="U27" s="771">
        <f>H27</f>
        <v>105</v>
      </c>
      <c r="V27" s="770" t="s">
        <v>17</v>
      </c>
      <c r="W27" s="771">
        <f>J27</f>
        <v>105</v>
      </c>
      <c r="X27" s="772"/>
      <c r="Y27" s="3185"/>
      <c r="Z27" s="55" t="str">
        <f>Q27</f>
        <v>公共配套设施</v>
      </c>
      <c r="AA27" s="1813">
        <f>D27/F27</f>
        <v>0.95238095238095233</v>
      </c>
      <c r="AB27" s="1813">
        <f>D27/H27</f>
        <v>0.95238095238095233</v>
      </c>
      <c r="AC27" s="1813">
        <f>D27/J27</f>
        <v>0.95238095238095233</v>
      </c>
    </row>
    <row r="28" spans="1:29" s="117" customFormat="1" ht="15">
      <c r="A28" s="649"/>
      <c r="B28" s="456"/>
      <c r="C28" s="2702" t="s">
        <v>3105</v>
      </c>
      <c r="D28" s="448"/>
      <c r="E28" s="2613" t="s">
        <v>3106</v>
      </c>
      <c r="F28" s="448"/>
      <c r="G28" s="2613" t="s">
        <v>3106</v>
      </c>
      <c r="H28" s="448"/>
      <c r="I28" s="447" t="s">
        <v>3106</v>
      </c>
      <c r="J28" s="448"/>
      <c r="K28" s="672"/>
      <c r="L28" s="1135"/>
      <c r="M28" s="1136"/>
      <c r="N28" s="1136"/>
      <c r="O28" s="1137"/>
      <c r="P28" s="3185"/>
      <c r="Q28" s="1797"/>
      <c r="R28" s="770"/>
      <c r="S28" s="771"/>
      <c r="T28" s="770"/>
      <c r="U28" s="771"/>
      <c r="V28" s="770"/>
      <c r="W28" s="771"/>
      <c r="X28" s="772"/>
      <c r="Y28" s="3185"/>
      <c r="Z28" s="55"/>
      <c r="AA28" s="1813">
        <v>1</v>
      </c>
      <c r="AB28" s="1813">
        <v>1</v>
      </c>
      <c r="AC28" s="1813">
        <v>1</v>
      </c>
    </row>
    <row r="29" spans="1:29" s="117" customFormat="1" ht="28.5">
      <c r="A29" s="649"/>
      <c r="B29" s="1387" t="s">
        <v>2653</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185"/>
      <c r="Q29" s="1797" t="str">
        <f>B29</f>
        <v>基础设施水平</v>
      </c>
      <c r="R29" s="770" t="s">
        <v>17</v>
      </c>
      <c r="S29" s="771">
        <f>F29</f>
        <v>100</v>
      </c>
      <c r="T29" s="770" t="s">
        <v>17</v>
      </c>
      <c r="U29" s="771">
        <f>H29</f>
        <v>100</v>
      </c>
      <c r="V29" s="770" t="s">
        <v>17</v>
      </c>
      <c r="W29" s="771">
        <f>J29</f>
        <v>100</v>
      </c>
      <c r="X29" s="772"/>
      <c r="Y29" s="3185"/>
      <c r="Z29" s="55" t="str">
        <f>Q29</f>
        <v>基础设施水平</v>
      </c>
      <c r="AA29" s="1813">
        <f>D29/F29</f>
        <v>1</v>
      </c>
      <c r="AB29" s="1813">
        <f>D29/H29</f>
        <v>1</v>
      </c>
      <c r="AC29" s="1813">
        <f>D29/J29</f>
        <v>1</v>
      </c>
    </row>
    <row r="30" spans="1:29" s="117" customFormat="1" ht="15">
      <c r="A30" s="649"/>
      <c r="B30" s="456"/>
      <c r="C30" s="2702" t="s">
        <v>3103</v>
      </c>
      <c r="D30" s="448"/>
      <c r="E30" s="2702" t="s">
        <v>3103</v>
      </c>
      <c r="F30" s="448"/>
      <c r="G30" s="2702" t="s">
        <v>3103</v>
      </c>
      <c r="H30" s="448"/>
      <c r="I30" s="2702" t="s">
        <v>3103</v>
      </c>
      <c r="J30" s="448"/>
      <c r="K30" s="672"/>
      <c r="L30" s="1135"/>
      <c r="M30" s="1136"/>
      <c r="N30" s="1136"/>
      <c r="O30" s="1137"/>
      <c r="P30" s="3185"/>
      <c r="Q30" s="1797"/>
      <c r="R30" s="770"/>
      <c r="S30" s="771"/>
      <c r="T30" s="770"/>
      <c r="U30" s="771"/>
      <c r="V30" s="770"/>
      <c r="W30" s="771"/>
      <c r="X30" s="772"/>
      <c r="Y30" s="3185"/>
      <c r="Z30" s="55"/>
      <c r="AA30" s="1813">
        <v>1</v>
      </c>
      <c r="AB30" s="1813">
        <v>1</v>
      </c>
      <c r="AC30" s="1813">
        <v>1</v>
      </c>
    </row>
    <row r="31" spans="1:29" ht="15" hidden="1">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5"/>
      <c r="Q31" s="1812" t="str">
        <f t="shared" si="8"/>
        <v>临街状况</v>
      </c>
      <c r="R31" s="774" t="s">
        <v>17</v>
      </c>
      <c r="S31" s="775">
        <f t="shared" ref="S31:S45" si="9">F31</f>
        <v>100</v>
      </c>
      <c r="T31" s="774" t="s">
        <v>17</v>
      </c>
      <c r="U31" s="775">
        <f t="shared" ref="U31:U45" si="10">H31</f>
        <v>100</v>
      </c>
      <c r="V31" s="774" t="s">
        <v>17</v>
      </c>
      <c r="W31" s="775">
        <f t="shared" ref="W31:W45" si="11">J31</f>
        <v>100</v>
      </c>
      <c r="X31" s="1815"/>
      <c r="Y31" s="3185"/>
      <c r="Z31" s="1816" t="str">
        <f t="shared" ref="Z31:Z45" si="12">Q31</f>
        <v>临街状况</v>
      </c>
      <c r="AA31" s="1813">
        <f t="shared" si="3"/>
        <v>1</v>
      </c>
      <c r="AB31" s="1813">
        <f t="shared" si="4"/>
        <v>1</v>
      </c>
      <c r="AC31" s="1813">
        <f t="shared" si="5"/>
        <v>1</v>
      </c>
    </row>
    <row r="32" spans="1:29" ht="27">
      <c r="A32" s="428"/>
      <c r="B32" s="1387" t="s">
        <v>2689</v>
      </c>
      <c r="C32" s="454"/>
      <c r="D32" s="450">
        <v>100</v>
      </c>
      <c r="E32" s="2960" t="s">
        <v>3118</v>
      </c>
      <c r="F32" s="450">
        <f>SUMIF(106:106,E33,107:107)-SUMIF(106:106,C33,107:107)+100</f>
        <v>100</v>
      </c>
      <c r="G32" s="2960" t="s">
        <v>3119</v>
      </c>
      <c r="H32" s="450">
        <f>SUMIF(106:106,G33,107:107)-SUMIF(106:106,C33,107:107)+100</f>
        <v>101</v>
      </c>
      <c r="I32" s="2967"/>
      <c r="J32" s="450">
        <f>SUMIF(106:106,I33,107:107)-SUMIF(106:106,C33,107:107)+100</f>
        <v>100</v>
      </c>
      <c r="K32" s="673">
        <v>1</v>
      </c>
      <c r="L32" s="1143"/>
      <c r="M32" s="1134"/>
      <c r="N32" s="1134"/>
      <c r="O32" s="1142"/>
      <c r="P32" s="3185"/>
      <c r="Q32" s="1812" t="str">
        <f t="shared" si="8"/>
        <v>毗邻道路的类型与等级</v>
      </c>
      <c r="R32" s="774" t="s">
        <v>17</v>
      </c>
      <c r="S32" s="775">
        <f t="shared" si="9"/>
        <v>100</v>
      </c>
      <c r="T32" s="774" t="s">
        <v>17</v>
      </c>
      <c r="U32" s="775">
        <f t="shared" si="10"/>
        <v>101</v>
      </c>
      <c r="V32" s="774" t="s">
        <v>17</v>
      </c>
      <c r="W32" s="775">
        <f t="shared" si="11"/>
        <v>100</v>
      </c>
      <c r="X32" s="1815"/>
      <c r="Y32" s="3185"/>
      <c r="Z32" s="1816" t="str">
        <f t="shared" si="12"/>
        <v>毗邻道路的类型与等级</v>
      </c>
      <c r="AA32" s="1813">
        <f t="shared" si="3"/>
        <v>1</v>
      </c>
      <c r="AB32" s="1813">
        <f t="shared" si="4"/>
        <v>0.99009900990099009</v>
      </c>
      <c r="AC32" s="1813">
        <f t="shared" si="5"/>
        <v>1</v>
      </c>
    </row>
    <row r="33" spans="1:29" ht="15.75" thickBot="1">
      <c r="A33" s="428"/>
      <c r="B33" s="456"/>
      <c r="C33" s="447" t="s">
        <v>3101</v>
      </c>
      <c r="D33" s="448"/>
      <c r="E33" s="447" t="s">
        <v>3101</v>
      </c>
      <c r="F33" s="448"/>
      <c r="G33" s="447" t="s">
        <v>3120</v>
      </c>
      <c r="H33" s="448"/>
      <c r="I33" s="447" t="s">
        <v>3101</v>
      </c>
      <c r="J33" s="448"/>
      <c r="K33" s="613"/>
      <c r="L33" s="1143"/>
      <c r="M33" s="1134"/>
      <c r="N33" s="1134"/>
      <c r="O33" s="1142"/>
      <c r="P33" s="3185"/>
      <c r="Q33" s="1812"/>
      <c r="R33" s="774"/>
      <c r="S33" s="775"/>
      <c r="T33" s="774"/>
      <c r="U33" s="775"/>
      <c r="V33" s="774"/>
      <c r="W33" s="775"/>
      <c r="X33" s="1815"/>
      <c r="Y33" s="3185"/>
      <c r="Z33" s="1816"/>
      <c r="AA33" s="1813">
        <v>1</v>
      </c>
      <c r="AB33" s="1813">
        <v>1</v>
      </c>
      <c r="AC33" s="1813">
        <v>1</v>
      </c>
    </row>
    <row r="34" spans="1:29" ht="15" hidden="1">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5"/>
      <c r="Q34" s="1812" t="str">
        <f t="shared" si="8"/>
        <v>土地级别</v>
      </c>
      <c r="R34" s="774" t="s">
        <v>17</v>
      </c>
      <c r="S34" s="775">
        <f t="shared" si="9"/>
        <v>100</v>
      </c>
      <c r="T34" s="774" t="s">
        <v>17</v>
      </c>
      <c r="U34" s="775">
        <f t="shared" si="10"/>
        <v>100</v>
      </c>
      <c r="V34" s="774" t="s">
        <v>17</v>
      </c>
      <c r="W34" s="775">
        <f t="shared" si="11"/>
        <v>100</v>
      </c>
      <c r="X34" s="1815"/>
      <c r="Y34" s="3185"/>
      <c r="Z34" s="1816" t="str">
        <f t="shared" si="12"/>
        <v>土地级别</v>
      </c>
      <c r="AA34" s="1813">
        <f t="shared" si="3"/>
        <v>1</v>
      </c>
      <c r="AB34" s="1813">
        <f t="shared" si="4"/>
        <v>1</v>
      </c>
      <c r="AC34" s="1813">
        <f t="shared" si="5"/>
        <v>1</v>
      </c>
    </row>
    <row r="35" spans="1:29" ht="15" hidden="1">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5"/>
      <c r="Q35" s="1812">
        <f t="shared" si="8"/>
        <v>0</v>
      </c>
      <c r="R35" s="774" t="s">
        <v>17</v>
      </c>
      <c r="S35" s="775">
        <f t="shared" si="9"/>
        <v>100</v>
      </c>
      <c r="T35" s="774" t="s">
        <v>17</v>
      </c>
      <c r="U35" s="775">
        <f t="shared" si="10"/>
        <v>100</v>
      </c>
      <c r="V35" s="774" t="s">
        <v>17</v>
      </c>
      <c r="W35" s="775">
        <f t="shared" si="11"/>
        <v>100</v>
      </c>
      <c r="X35" s="1815"/>
      <c r="Y35" s="3185"/>
      <c r="Z35" s="1816">
        <f t="shared" si="12"/>
        <v>0</v>
      </c>
      <c r="AA35" s="1813">
        <f t="shared" si="3"/>
        <v>1</v>
      </c>
      <c r="AB35" s="1813">
        <f t="shared" si="4"/>
        <v>1</v>
      </c>
      <c r="AC35" s="1813">
        <f t="shared" si="5"/>
        <v>1</v>
      </c>
    </row>
    <row r="36" spans="1:29" ht="15" hidden="1">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6" t="s">
        <v>2563</v>
      </c>
      <c r="Q36" s="1812">
        <f t="shared" si="8"/>
        <v>0</v>
      </c>
      <c r="R36" s="774" t="s">
        <v>17</v>
      </c>
      <c r="S36" s="775">
        <f t="shared" si="9"/>
        <v>100</v>
      </c>
      <c r="T36" s="774" t="s">
        <v>17</v>
      </c>
      <c r="U36" s="775">
        <f t="shared" si="10"/>
        <v>100</v>
      </c>
      <c r="V36" s="774" t="s">
        <v>17</v>
      </c>
      <c r="W36" s="775">
        <f t="shared" si="11"/>
        <v>100</v>
      </c>
      <c r="X36" s="1815"/>
      <c r="Y36" s="3187" t="s">
        <v>2563</v>
      </c>
      <c r="Z36" s="1816">
        <f t="shared" si="12"/>
        <v>0</v>
      </c>
      <c r="AA36" s="1813">
        <f t="shared" si="3"/>
        <v>1</v>
      </c>
      <c r="AB36" s="1813">
        <f t="shared" si="4"/>
        <v>1</v>
      </c>
      <c r="AC36" s="1813">
        <f t="shared" si="5"/>
        <v>1</v>
      </c>
    </row>
    <row r="37" spans="1:29" s="471" customFormat="1" ht="15.75" hidden="1"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7"/>
      <c r="Q37" s="1812">
        <f t="shared" si="8"/>
        <v>0</v>
      </c>
      <c r="R37" s="777" t="s">
        <v>17</v>
      </c>
      <c r="S37" s="778">
        <f t="shared" si="9"/>
        <v>100</v>
      </c>
      <c r="T37" s="777" t="s">
        <v>17</v>
      </c>
      <c r="U37" s="778">
        <f t="shared" si="10"/>
        <v>100</v>
      </c>
      <c r="V37" s="777" t="s">
        <v>17</v>
      </c>
      <c r="W37" s="778">
        <f t="shared" si="11"/>
        <v>100</v>
      </c>
      <c r="X37" s="779"/>
      <c r="Y37" s="3187"/>
      <c r="Z37" s="780">
        <f t="shared" si="12"/>
        <v>0</v>
      </c>
      <c r="AA37" s="1813">
        <f t="shared" si="3"/>
        <v>1</v>
      </c>
      <c r="AB37" s="1813">
        <f t="shared" si="4"/>
        <v>1</v>
      </c>
      <c r="AC37" s="1813">
        <f t="shared" si="5"/>
        <v>1</v>
      </c>
    </row>
    <row r="38" spans="1:29" ht="15">
      <c r="A38" s="472" t="s">
        <v>2561</v>
      </c>
      <c r="B38" s="456" t="s">
        <v>2748</v>
      </c>
      <c r="C38" s="679">
        <v>320000.09999999998</v>
      </c>
      <c r="D38" s="467">
        <v>100</v>
      </c>
      <c r="E38" s="679">
        <f>'[1]土地案例（1）'!$F$3</f>
        <v>105523.3</v>
      </c>
      <c r="F38" s="467">
        <f>LOOKUP(E38,117:117,118:118)-LOOKUP(C38,117:117,118:118)+100</f>
        <v>99</v>
      </c>
      <c r="G38" s="679">
        <f>'[1]土地案例（1）'!$F$14</f>
        <v>15970.49</v>
      </c>
      <c r="H38" s="467">
        <f>LOOKUP(G38,117:117,118:118)-LOOKUP(C38,117:117,118:118)+100</f>
        <v>99</v>
      </c>
      <c r="I38" s="530">
        <f>'[1]土地案例（1）'!$F$16</f>
        <v>32726.37</v>
      </c>
      <c r="J38" s="467">
        <f>LOOKUP(I38,117:117,118:118)-LOOKUP(C38,117:117,118:118)+100</f>
        <v>99</v>
      </c>
      <c r="K38" s="613"/>
      <c r="L38" s="1143"/>
      <c r="M38" s="1134"/>
      <c r="N38" s="1134"/>
      <c r="O38" s="1142"/>
      <c r="P38" s="3187"/>
      <c r="Q38" s="1812" t="str">
        <f>B38</f>
        <v>宗地面积</v>
      </c>
      <c r="R38" s="774" t="s">
        <v>17</v>
      </c>
      <c r="S38" s="775">
        <f t="shared" si="9"/>
        <v>99</v>
      </c>
      <c r="T38" s="774" t="s">
        <v>17</v>
      </c>
      <c r="U38" s="775">
        <f t="shared" si="10"/>
        <v>99</v>
      </c>
      <c r="V38" s="774" t="s">
        <v>17</v>
      </c>
      <c r="W38" s="775">
        <f t="shared" si="11"/>
        <v>99</v>
      </c>
      <c r="X38" s="1815"/>
      <c r="Y38" s="3187"/>
      <c r="Z38" s="1816" t="str">
        <f t="shared" si="12"/>
        <v>宗地面积</v>
      </c>
      <c r="AA38" s="1813">
        <f t="shared" si="3"/>
        <v>1.0101010101010102</v>
      </c>
      <c r="AB38" s="1813">
        <f t="shared" si="4"/>
        <v>1.0101010101010102</v>
      </c>
      <c r="AC38" s="1813">
        <f t="shared" si="5"/>
        <v>1.0101010101010102</v>
      </c>
    </row>
    <row r="39" spans="1:29" ht="15">
      <c r="A39" s="472"/>
      <c r="B39" s="422" t="s">
        <v>2749</v>
      </c>
      <c r="C39" s="2615" t="s">
        <v>3087</v>
      </c>
      <c r="D39" s="435">
        <v>100</v>
      </c>
      <c r="E39" s="2615" t="s">
        <v>3087</v>
      </c>
      <c r="F39" s="435">
        <f>SUMIF(119:119,E39,120:120)-SUMIF(119:119,C39,120:120)+100</f>
        <v>100</v>
      </c>
      <c r="G39" s="2615" t="s">
        <v>3087</v>
      </c>
      <c r="H39" s="435">
        <f>SUMIF(119:119,G39,120:120)-SUMIF(119:119,C39,120:120)+100</f>
        <v>100</v>
      </c>
      <c r="I39" s="2615" t="s">
        <v>3087</v>
      </c>
      <c r="J39" s="435">
        <f>SUMIF(119:119,I39,120:120)-SUMIF(119:119,C39,120:120)+100</f>
        <v>100</v>
      </c>
      <c r="K39" s="612">
        <v>1</v>
      </c>
      <c r="L39" s="1143"/>
      <c r="M39" s="1134"/>
      <c r="N39" s="1134"/>
      <c r="O39" s="1142"/>
      <c r="P39" s="3187"/>
      <c r="Q39" s="1812" t="str">
        <f t="shared" ref="Q39:Q45" si="13">B39</f>
        <v>宗地形状</v>
      </c>
      <c r="R39" s="774" t="s">
        <v>17</v>
      </c>
      <c r="S39" s="775">
        <f t="shared" si="9"/>
        <v>100</v>
      </c>
      <c r="T39" s="774" t="s">
        <v>17</v>
      </c>
      <c r="U39" s="775">
        <f t="shared" si="10"/>
        <v>100</v>
      </c>
      <c r="V39" s="774" t="s">
        <v>17</v>
      </c>
      <c r="W39" s="775">
        <f t="shared" si="11"/>
        <v>100</v>
      </c>
      <c r="X39" s="1815"/>
      <c r="Y39" s="3187"/>
      <c r="Z39" s="1816" t="str">
        <f t="shared" si="12"/>
        <v>宗地形状</v>
      </c>
      <c r="AA39" s="1813">
        <f t="shared" si="3"/>
        <v>1</v>
      </c>
      <c r="AB39" s="1813">
        <f t="shared" si="4"/>
        <v>1</v>
      </c>
      <c r="AC39" s="1813">
        <f t="shared" si="5"/>
        <v>1</v>
      </c>
    </row>
    <row r="40" spans="1:29" ht="15" hidden="1">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87"/>
      <c r="Q40" s="1812" t="str">
        <f t="shared" si="13"/>
        <v>临街宽度及深度</v>
      </c>
      <c r="R40" s="774" t="s">
        <v>17</v>
      </c>
      <c r="S40" s="775">
        <f t="shared" si="9"/>
        <v>100</v>
      </c>
      <c r="T40" s="774" t="s">
        <v>17</v>
      </c>
      <c r="U40" s="775">
        <f t="shared" si="10"/>
        <v>100</v>
      </c>
      <c r="V40" s="774" t="s">
        <v>17</v>
      </c>
      <c r="W40" s="775">
        <f t="shared" si="11"/>
        <v>100</v>
      </c>
      <c r="X40" s="1815"/>
      <c r="Y40" s="3187"/>
      <c r="Z40" s="1816" t="str">
        <f t="shared" si="12"/>
        <v>临街宽度及深度</v>
      </c>
      <c r="AA40" s="1813">
        <f t="shared" si="3"/>
        <v>1</v>
      </c>
      <c r="AB40" s="1813">
        <f t="shared" si="4"/>
        <v>1</v>
      </c>
      <c r="AC40" s="1813">
        <f t="shared" si="5"/>
        <v>1</v>
      </c>
    </row>
    <row r="41" spans="1:29" s="117" customFormat="1" ht="15">
      <c r="A41" s="473"/>
      <c r="B41" s="422" t="s">
        <v>2751</v>
      </c>
      <c r="C41" s="2704" t="s">
        <v>3089</v>
      </c>
      <c r="D41" s="136">
        <v>100</v>
      </c>
      <c r="E41" s="2704" t="s">
        <v>3091</v>
      </c>
      <c r="F41" s="435">
        <f>SUMIF(123:123,E41,124:124)-SUMIF(123:123,C41,124:124)+100</f>
        <v>98</v>
      </c>
      <c r="G41" s="2704" t="s">
        <v>3091</v>
      </c>
      <c r="H41" s="435">
        <f>SUMIF(123:123,G41,124:124)-SUMIF(123:123,C41,124:124)+100</f>
        <v>98</v>
      </c>
      <c r="I41" s="2704" t="s">
        <v>3094</v>
      </c>
      <c r="J41" s="435">
        <f>SUMIF(123:123,I41,124:124)-SUMIF(123:123,C41,124:124)+100</f>
        <v>94</v>
      </c>
      <c r="K41" s="612">
        <v>2</v>
      </c>
      <c r="L41" s="1135"/>
      <c r="M41" s="1136"/>
      <c r="N41" s="1136"/>
      <c r="O41" s="1137"/>
      <c r="P41" s="3187"/>
      <c r="Q41" s="1812" t="str">
        <f t="shared" si="13"/>
        <v>宗地开发程度</v>
      </c>
      <c r="R41" s="770" t="s">
        <v>17</v>
      </c>
      <c r="S41" s="771">
        <f t="shared" si="9"/>
        <v>98</v>
      </c>
      <c r="T41" s="770" t="s">
        <v>17</v>
      </c>
      <c r="U41" s="771">
        <f t="shared" si="10"/>
        <v>98</v>
      </c>
      <c r="V41" s="770" t="s">
        <v>17</v>
      </c>
      <c r="W41" s="771">
        <f t="shared" si="11"/>
        <v>94</v>
      </c>
      <c r="X41" s="772"/>
      <c r="Y41" s="3187"/>
      <c r="Z41" s="55" t="str">
        <f t="shared" si="12"/>
        <v>宗地开发程度</v>
      </c>
      <c r="AA41" s="773">
        <f t="shared" si="3"/>
        <v>1.0204081632653061</v>
      </c>
      <c r="AB41" s="773">
        <f t="shared" si="4"/>
        <v>1.0204081632653061</v>
      </c>
      <c r="AC41" s="773">
        <f t="shared" si="5"/>
        <v>1.0638297872340425</v>
      </c>
    </row>
    <row r="42" spans="1:29" ht="15.75" thickBot="1">
      <c r="A42" s="472"/>
      <c r="B42" s="422" t="s">
        <v>2752</v>
      </c>
      <c r="C42" s="2615" t="s">
        <v>3096</v>
      </c>
      <c r="D42" s="435">
        <v>100</v>
      </c>
      <c r="E42" s="2615" t="s">
        <v>3096</v>
      </c>
      <c r="F42" s="435">
        <f>SUMIF(125:125,E42,126:126)-SUMIF(125:125,C42,126:126)+100</f>
        <v>100</v>
      </c>
      <c r="G42" s="2615" t="s">
        <v>3096</v>
      </c>
      <c r="H42" s="435">
        <f>SUMIF(125:125,G42,126:126)-SUMIF(125:125,C42,126:126)+100</f>
        <v>100</v>
      </c>
      <c r="I42" s="2615" t="s">
        <v>3096</v>
      </c>
      <c r="J42" s="435">
        <f>SUMIF(125:125,I42,126:126)-SUMIF(125:125,C42,126:126)+100</f>
        <v>100</v>
      </c>
      <c r="K42" s="612">
        <v>1</v>
      </c>
      <c r="L42" s="1143"/>
      <c r="M42" s="1134"/>
      <c r="N42" s="1134"/>
      <c r="O42" s="1142"/>
      <c r="P42" s="3187" t="s">
        <v>2563</v>
      </c>
      <c r="Q42" s="1812" t="str">
        <f t="shared" si="13"/>
        <v>工程地质条件</v>
      </c>
      <c r="R42" s="774" t="s">
        <v>17</v>
      </c>
      <c r="S42" s="775">
        <f t="shared" si="9"/>
        <v>100</v>
      </c>
      <c r="T42" s="774" t="s">
        <v>17</v>
      </c>
      <c r="U42" s="775">
        <f t="shared" si="10"/>
        <v>100</v>
      </c>
      <c r="V42" s="774" t="s">
        <v>17</v>
      </c>
      <c r="W42" s="775">
        <f t="shared" si="11"/>
        <v>100</v>
      </c>
      <c r="X42" s="1815"/>
      <c r="Y42" s="3187" t="s">
        <v>2563</v>
      </c>
      <c r="Z42" s="1816" t="str">
        <f t="shared" si="12"/>
        <v>工程地质条件</v>
      </c>
      <c r="AA42" s="1813">
        <f t="shared" si="3"/>
        <v>1</v>
      </c>
      <c r="AB42" s="1813">
        <f t="shared" si="4"/>
        <v>1</v>
      </c>
      <c r="AC42" s="1813">
        <f t="shared" si="5"/>
        <v>1</v>
      </c>
    </row>
    <row r="43" spans="1:29" ht="15" hidden="1">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7"/>
      <c r="Q43" s="1812">
        <f t="shared" si="13"/>
        <v>0</v>
      </c>
      <c r="R43" s="774" t="s">
        <v>17</v>
      </c>
      <c r="S43" s="775">
        <f t="shared" si="9"/>
        <v>100</v>
      </c>
      <c r="T43" s="774" t="s">
        <v>17</v>
      </c>
      <c r="U43" s="775">
        <f t="shared" si="10"/>
        <v>100</v>
      </c>
      <c r="V43" s="774" t="s">
        <v>17</v>
      </c>
      <c r="W43" s="775">
        <f t="shared" si="11"/>
        <v>100</v>
      </c>
      <c r="X43" s="1815"/>
      <c r="Y43" s="3187"/>
      <c r="Z43" s="1816">
        <f t="shared" si="12"/>
        <v>0</v>
      </c>
      <c r="AA43" s="1813">
        <f t="shared" si="3"/>
        <v>1</v>
      </c>
      <c r="AB43" s="1813">
        <f t="shared" si="4"/>
        <v>1</v>
      </c>
      <c r="AC43" s="1813">
        <f t="shared" si="5"/>
        <v>1</v>
      </c>
    </row>
    <row r="44" spans="1:29" ht="15" hidden="1">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7"/>
      <c r="Q44" s="1812">
        <f t="shared" si="13"/>
        <v>0</v>
      </c>
      <c r="R44" s="774" t="s">
        <v>17</v>
      </c>
      <c r="S44" s="775">
        <f t="shared" si="9"/>
        <v>100</v>
      </c>
      <c r="T44" s="774" t="s">
        <v>17</v>
      </c>
      <c r="U44" s="775">
        <f t="shared" si="10"/>
        <v>100</v>
      </c>
      <c r="V44" s="774" t="s">
        <v>17</v>
      </c>
      <c r="W44" s="775">
        <f t="shared" si="11"/>
        <v>100</v>
      </c>
      <c r="X44" s="1815"/>
      <c r="Y44" s="3187"/>
      <c r="Z44" s="1816">
        <f t="shared" si="12"/>
        <v>0</v>
      </c>
      <c r="AA44" s="1813">
        <f t="shared" si="3"/>
        <v>1</v>
      </c>
      <c r="AB44" s="1813">
        <f t="shared" si="4"/>
        <v>1</v>
      </c>
      <c r="AC44" s="1813">
        <f t="shared" si="5"/>
        <v>1</v>
      </c>
    </row>
    <row r="45" spans="1:29" s="471" customFormat="1" ht="15.75" hidden="1" thickBot="1">
      <c r="A45" s="468"/>
      <c r="B45" s="1390"/>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7"/>
      <c r="Q45" s="1812">
        <f t="shared" si="13"/>
        <v>0</v>
      </c>
      <c r="R45" s="777" t="s">
        <v>17</v>
      </c>
      <c r="S45" s="778">
        <f t="shared" si="9"/>
        <v>100</v>
      </c>
      <c r="T45" s="777" t="s">
        <v>17</v>
      </c>
      <c r="U45" s="778">
        <f t="shared" si="10"/>
        <v>100</v>
      </c>
      <c r="V45" s="777" t="s">
        <v>17</v>
      </c>
      <c r="W45" s="778">
        <f t="shared" si="11"/>
        <v>100</v>
      </c>
      <c r="X45" s="779"/>
      <c r="Y45" s="3187"/>
      <c r="Z45" s="780">
        <f t="shared" si="12"/>
        <v>0</v>
      </c>
      <c r="AA45" s="1813">
        <f t="shared" si="3"/>
        <v>1</v>
      </c>
      <c r="AB45" s="1813">
        <f t="shared" si="4"/>
        <v>1</v>
      </c>
      <c r="AC45" s="1813">
        <f t="shared" si="5"/>
        <v>1</v>
      </c>
    </row>
    <row r="46" spans="1:29" ht="15">
      <c r="A46" s="479" t="s">
        <v>2718</v>
      </c>
      <c r="B46" s="2706" t="s">
        <v>2753</v>
      </c>
      <c r="C46" s="682" t="s">
        <v>1</v>
      </c>
      <c r="D46" s="481"/>
      <c r="E46" s="482">
        <v>5826</v>
      </c>
      <c r="F46" s="483"/>
      <c r="G46" s="484">
        <v>5925</v>
      </c>
      <c r="H46" s="485"/>
      <c r="I46" s="482">
        <v>5846</v>
      </c>
      <c r="J46" s="485"/>
      <c r="K46" s="783"/>
      <c r="L46" s="1146"/>
      <c r="M46" s="1147"/>
      <c r="N46" s="1134"/>
      <c r="O46" s="1147"/>
      <c r="P46" s="3182" t="str">
        <f>A46</f>
        <v>成交单价</v>
      </c>
      <c r="Q46" s="3182"/>
      <c r="R46" s="3188">
        <f>E46</f>
        <v>5826</v>
      </c>
      <c r="S46" s="3188"/>
      <c r="T46" s="3188">
        <f>G46</f>
        <v>5925</v>
      </c>
      <c r="U46" s="3188"/>
      <c r="V46" s="3188">
        <f>I46</f>
        <v>5846</v>
      </c>
      <c r="W46" s="3188"/>
      <c r="X46" s="759"/>
      <c r="Y46" s="781"/>
      <c r="Z46" s="759"/>
      <c r="AA46" s="759"/>
      <c r="AB46" s="759"/>
      <c r="AC46" s="759"/>
    </row>
    <row r="47" spans="1:29" ht="15.75" thickBot="1">
      <c r="A47" s="486" t="s">
        <v>2667</v>
      </c>
      <c r="B47" s="683"/>
      <c r="C47" s="490">
        <f>R48</f>
        <v>6012</v>
      </c>
      <c r="D47" s="489"/>
      <c r="E47" s="490">
        <f>R47</f>
        <v>6041</v>
      </c>
      <c r="F47" s="491"/>
      <c r="G47" s="488">
        <f>T47</f>
        <v>5901</v>
      </c>
      <c r="H47" s="489"/>
      <c r="I47" s="490">
        <f>V47</f>
        <v>6095</v>
      </c>
      <c r="J47" s="489"/>
      <c r="K47" s="784"/>
      <c r="L47" s="1146"/>
      <c r="M47" s="1147"/>
      <c r="N47" s="1147"/>
      <c r="O47" s="1147"/>
      <c r="P47" s="3182" t="str">
        <f>A47</f>
        <v>比较价值（元/平方米）</v>
      </c>
      <c r="Q47" s="3182"/>
      <c r="R47" s="3175">
        <f>ROUND(PRODUCT(R46,AA7:AA45),0)</f>
        <v>6041</v>
      </c>
      <c r="S47" s="3175"/>
      <c r="T47" s="3175">
        <f>ROUND(PRODUCT(T46,AB7:AB45),0)</f>
        <v>5901</v>
      </c>
      <c r="U47" s="3175"/>
      <c r="V47" s="3175">
        <f>ROUND(PRODUCT(V46,AC7:AC45),0)</f>
        <v>6095</v>
      </c>
      <c r="W47" s="3175"/>
      <c r="X47" s="759"/>
      <c r="Y47" s="759"/>
      <c r="Z47" s="759"/>
      <c r="AA47" s="759"/>
      <c r="AB47" s="759"/>
      <c r="AC47" s="759"/>
    </row>
    <row r="48" spans="1:29" ht="15.75" thickBot="1">
      <c r="A48" s="492" t="s">
        <v>2754</v>
      </c>
      <c r="B48" s="493"/>
      <c r="C48" s="494">
        <f>R48</f>
        <v>6012</v>
      </c>
      <c r="D48" s="494"/>
      <c r="E48" s="494"/>
      <c r="F48" s="494"/>
      <c r="G48" s="494"/>
      <c r="H48" s="494"/>
      <c r="I48" s="494"/>
      <c r="J48" s="494"/>
      <c r="K48" s="785"/>
      <c r="L48" s="1146"/>
      <c r="M48" s="1147"/>
      <c r="N48" s="1147"/>
      <c r="O48" s="1147"/>
      <c r="P48" s="3176" t="str">
        <f>A48</f>
        <v>估价对象XX用房的比较价值（楼面单价，元/平方米）</v>
      </c>
      <c r="Q48" s="3177"/>
      <c r="R48" s="3178">
        <f>ROUND(AVERAGE(R47:V47),0)</f>
        <v>6012</v>
      </c>
      <c r="S48" s="3178"/>
      <c r="T48" s="3178"/>
      <c r="U48" s="3178"/>
      <c r="V48" s="3178"/>
      <c r="W48" s="317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f>IF(E46&lt;E47,E47/E46-1,E46/E47-1)</f>
        <v>3.690353587366979E-2</v>
      </c>
      <c r="F51" s="500" t="str">
        <f>IF(OR(E51&gt;=0.3,E51&lt;=-0.3),"超过30%","")</f>
        <v/>
      </c>
      <c r="G51" s="499">
        <f>IF(G46&lt;G47,G47/G46-1,G46/G47-1)</f>
        <v>4.0671072699542954E-3</v>
      </c>
      <c r="H51" s="500" t="str">
        <f>IF(OR(G51&gt;=0.3,G51&lt;=-0.3),"超过30%","")</f>
        <v/>
      </c>
      <c r="I51" s="499">
        <f>IF(I46&lt;I47,I47/I46-1,I46/I47-1)</f>
        <v>4.2593226137529916E-2</v>
      </c>
      <c r="J51" s="500" t="str">
        <f>IF(OR(I51&gt;=0.3,I51&lt;=-0.3),"超过30%","")</f>
        <v/>
      </c>
      <c r="K51" s="1108"/>
      <c r="L51" s="1109"/>
      <c r="M51" s="1147"/>
      <c r="N51" s="1147"/>
      <c r="O51" s="1147"/>
    </row>
    <row r="52" spans="1:15" ht="13.5" customHeight="1">
      <c r="A52" s="1147"/>
      <c r="B52" s="1147"/>
      <c r="C52" s="497" t="s">
        <v>2670</v>
      </c>
      <c r="D52" s="501"/>
      <c r="E52" s="499">
        <f>IF(E47&lt;G47,G47/E47-1,E47/G47-1)</f>
        <v>2.3724792408066353E-2</v>
      </c>
      <c r="F52" s="500" t="str">
        <f>IF(OR(E52&gt;=0.2,E52&lt;=-0.2),"超过20%","")</f>
        <v/>
      </c>
      <c r="G52" s="499">
        <f>IF(G47&lt;I47,I47/G47-1,G47/I47-1)</f>
        <v>3.2875783765463407E-2</v>
      </c>
      <c r="H52" s="500" t="str">
        <f>IF(OR(G52&gt;=0.2,G52&lt;=-0.2),"超过20%","")</f>
        <v/>
      </c>
      <c r="I52" s="499">
        <f>IF(I47&lt;E47,E47/I47-1,I47/E47-1)</f>
        <v>8.9389173977818537E-3</v>
      </c>
      <c r="J52" s="500" t="str">
        <f>IF(OR(I52&gt;=0.2,I52&lt;=-0.2),"超过20%","")</f>
        <v/>
      </c>
      <c r="K52" s="1108"/>
      <c r="L52" s="1109"/>
      <c r="M52" s="1147"/>
      <c r="N52" s="1147"/>
      <c r="O52" s="1147"/>
    </row>
    <row r="53" spans="1:15" s="502" customFormat="1" ht="13.5" customHeight="1">
      <c r="A53" s="1148"/>
      <c r="B53" s="1148"/>
      <c r="C53" s="497" t="s">
        <v>2671</v>
      </c>
      <c r="D53" s="501"/>
      <c r="E53" s="499">
        <f>IF(E46&lt;G46,G46/E46-1,E46/G46-1)</f>
        <v>1.6992790937178093E-2</v>
      </c>
      <c r="F53" s="500" t="str">
        <f>IF(OR(E53&gt;=0.3,E53&lt;=-0.3),"超过30%","")</f>
        <v/>
      </c>
      <c r="G53" s="499">
        <f>IF(G46&lt;I46,I46/G46-1,G46/I46-1)</f>
        <v>1.3513513513513598E-2</v>
      </c>
      <c r="H53" s="500" t="str">
        <f>IF(OR(G53&gt;=0.3,G53&lt;=-0.3),"超过30%","")</f>
        <v/>
      </c>
      <c r="I53" s="499">
        <f>IF(I46&lt;E46,E46/I46-1,I46/E46-1)</f>
        <v>3.43288705801581E-3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179" t="s">
        <v>2761</v>
      </c>
      <c r="H55" s="3180"/>
      <c r="I55" s="144" t="s">
        <v>2762</v>
      </c>
      <c r="J55" s="2709" t="str">
        <f>项目基本情况!F35</f>
        <v>广东省</v>
      </c>
      <c r="K55" s="2710" t="s">
        <v>2763</v>
      </c>
      <c r="L55" s="1109"/>
      <c r="M55" s="1147"/>
      <c r="N55" s="1147"/>
      <c r="O55" s="1147"/>
    </row>
    <row r="56" spans="1:15" s="692" customFormat="1">
      <c r="A56" s="688" t="s">
        <v>2764</v>
      </c>
      <c r="B56" s="689">
        <f>C48</f>
        <v>6012</v>
      </c>
      <c r="C56" s="690">
        <v>1</v>
      </c>
      <c r="D56" s="1166">
        <v>1</v>
      </c>
      <c r="E56" s="690">
        <f>'数据-汇总表'!E8+'数据-汇总表'!E9</f>
        <v>101555.9</v>
      </c>
      <c r="F56" s="1106">
        <f t="shared" ref="F56:F65" si="14">ROUND(B56*E56/10000,0)</f>
        <v>61055</v>
      </c>
      <c r="G56" s="3181"/>
      <c r="H56" s="3182"/>
      <c r="I56" s="1111">
        <v>1</v>
      </c>
      <c r="J56" s="1114">
        <v>1</v>
      </c>
      <c r="K56" s="1148"/>
      <c r="L56" s="944"/>
      <c r="M56" s="944"/>
      <c r="N56" s="944"/>
      <c r="O56" s="944"/>
    </row>
    <row r="57" spans="1:15" s="692" customFormat="1">
      <c r="A57" s="693" t="s">
        <v>2765</v>
      </c>
      <c r="B57" s="262">
        <f>ROUND($C$48*C57*D57,0)</f>
        <v>0</v>
      </c>
      <c r="C57" s="200">
        <f t="shared" ref="C57:C65" si="15">IF($C$55="北京市系数",I57,J57)</f>
        <v>0</v>
      </c>
      <c r="D57" s="1167">
        <v>0.25</v>
      </c>
      <c r="E57" s="694"/>
      <c r="F57" s="1106">
        <f t="shared" si="14"/>
        <v>0</v>
      </c>
      <c r="G57" s="3183" t="s">
        <v>2766</v>
      </c>
      <c r="H57" s="1107">
        <f>项目基本情况!B37</f>
        <v>0</v>
      </c>
      <c r="I57" s="1111">
        <f>SUMIF(修正!A45:A56,H57,修正!B45:B56)</f>
        <v>0</v>
      </c>
      <c r="J57" s="1115"/>
      <c r="K57" s="1147"/>
      <c r="L57" s="944"/>
      <c r="M57" s="944"/>
      <c r="N57" s="944"/>
      <c r="O57" s="944"/>
    </row>
    <row r="58" spans="1:15" s="692" customFormat="1">
      <c r="A58" s="693" t="s">
        <v>2767</v>
      </c>
      <c r="B58" s="262">
        <f t="shared" ref="B58:B65" si="16">ROUND($C$48*C58*D58,0)</f>
        <v>0</v>
      </c>
      <c r="C58" s="200">
        <f t="shared" si="15"/>
        <v>0</v>
      </c>
      <c r="D58" s="1167">
        <v>0.25</v>
      </c>
      <c r="E58" s="694"/>
      <c r="F58" s="1106">
        <f t="shared" si="14"/>
        <v>0</v>
      </c>
      <c r="G58" s="3183"/>
      <c r="H58" s="1107">
        <f>项目基本情况!B37</f>
        <v>0</v>
      </c>
      <c r="I58" s="1111">
        <f>SUMIF(修正!A45:A56,H58,修正!C45:C56)</f>
        <v>0</v>
      </c>
      <c r="J58" s="1115"/>
      <c r="K58" s="1148"/>
      <c r="L58" s="944"/>
      <c r="M58" s="944"/>
      <c r="N58" s="944"/>
      <c r="O58" s="944"/>
    </row>
    <row r="59" spans="1:15" s="692" customFormat="1">
      <c r="A59" s="693" t="s">
        <v>2768</v>
      </c>
      <c r="B59" s="262">
        <f t="shared" si="16"/>
        <v>0</v>
      </c>
      <c r="C59" s="200">
        <f t="shared" si="15"/>
        <v>0</v>
      </c>
      <c r="D59" s="1167">
        <v>0.25</v>
      </c>
      <c r="E59" s="694"/>
      <c r="F59" s="1106">
        <f t="shared" si="14"/>
        <v>0</v>
      </c>
      <c r="G59" s="3183"/>
      <c r="H59" s="1107">
        <f>项目基本情况!B37</f>
        <v>0</v>
      </c>
      <c r="I59" s="1111">
        <f>SUMIF(修正!A45:A56,H59,修正!D45:D56)</f>
        <v>0</v>
      </c>
      <c r="J59" s="1115"/>
      <c r="K59" s="1147"/>
      <c r="L59" s="944"/>
      <c r="M59" s="944"/>
      <c r="N59" s="944"/>
      <c r="O59" s="944"/>
    </row>
    <row r="60" spans="1:15" s="692" customFormat="1">
      <c r="A60" s="693" t="s">
        <v>2769</v>
      </c>
      <c r="B60" s="262">
        <f t="shared" si="16"/>
        <v>0</v>
      </c>
      <c r="C60" s="200">
        <f t="shared" si="15"/>
        <v>0</v>
      </c>
      <c r="D60" s="1167">
        <v>0.25</v>
      </c>
      <c r="E60" s="694"/>
      <c r="F60" s="1106">
        <f t="shared" si="14"/>
        <v>0</v>
      </c>
      <c r="G60" s="3183"/>
      <c r="H60" s="1107">
        <f>项目基本情况!B37</f>
        <v>0</v>
      </c>
      <c r="I60" s="1111">
        <f>SUMIF(修正!A45:A56,H60,修正!E45:E56)</f>
        <v>0</v>
      </c>
      <c r="J60" s="1115"/>
      <c r="K60" s="1148"/>
      <c r="L60" s="944"/>
      <c r="M60" s="944"/>
      <c r="N60" s="944"/>
      <c r="O60" s="944"/>
    </row>
    <row r="61" spans="1:15" s="692" customFormat="1">
      <c r="A61" s="693" t="s">
        <v>2770</v>
      </c>
      <c r="B61" s="262">
        <f t="shared" si="16"/>
        <v>0</v>
      </c>
      <c r="C61" s="200">
        <f t="shared" si="15"/>
        <v>0</v>
      </c>
      <c r="D61" s="1167">
        <v>0.25</v>
      </c>
      <c r="E61" s="261">
        <f>'数据-汇总表'!E11</f>
        <v>0</v>
      </c>
      <c r="F61" s="1106">
        <f t="shared" si="14"/>
        <v>0</v>
      </c>
      <c r="G61" s="2711" t="s">
        <v>2771</v>
      </c>
      <c r="H61" s="1107">
        <f>项目基本情况!C37</f>
        <v>0</v>
      </c>
      <c r="I61" s="1111">
        <f>SUMIF(修正!A45:A56,H61,修正!F45:F56)</f>
        <v>0</v>
      </c>
      <c r="J61" s="1115"/>
      <c r="K61" s="1147"/>
      <c r="L61" s="944"/>
      <c r="M61" s="944"/>
      <c r="N61" s="944"/>
      <c r="O61" s="944"/>
    </row>
    <row r="62" spans="1:15" s="692" customFormat="1">
      <c r="A62" s="693" t="s">
        <v>2772</v>
      </c>
      <c r="B62" s="262">
        <f t="shared" si="16"/>
        <v>0</v>
      </c>
      <c r="C62" s="200">
        <f t="shared" si="15"/>
        <v>0</v>
      </c>
      <c r="D62" s="1167">
        <v>0.25</v>
      </c>
      <c r="E62" s="261">
        <f>'数据-汇总表'!E12</f>
        <v>0</v>
      </c>
      <c r="F62" s="1106">
        <f t="shared" si="14"/>
        <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f t="shared" si="16"/>
        <v>0</v>
      </c>
      <c r="C63" s="200">
        <f t="shared" si="15"/>
        <v>0</v>
      </c>
      <c r="D63" s="1167">
        <v>0.25</v>
      </c>
      <c r="E63" s="261">
        <f>'数据-汇总表'!E13</f>
        <v>0</v>
      </c>
      <c r="F63" s="1106">
        <f t="shared" si="14"/>
        <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f t="shared" si="16"/>
        <v>0</v>
      </c>
      <c r="C64" s="200">
        <f t="shared" si="15"/>
        <v>0</v>
      </c>
      <c r="D64" s="1167">
        <v>0.25</v>
      </c>
      <c r="E64" s="261">
        <f>'数据-汇总表'!E14</f>
        <v>0</v>
      </c>
      <c r="F64" s="1106">
        <f t="shared" si="14"/>
        <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f t="shared" si="16"/>
        <v>0</v>
      </c>
      <c r="C65" s="200">
        <f t="shared" si="15"/>
        <v>0</v>
      </c>
      <c r="D65" s="1167">
        <v>0.25</v>
      </c>
      <c r="E65" s="261">
        <f>'数据-汇总表'!E15</f>
        <v>0</v>
      </c>
      <c r="F65" s="1106">
        <f t="shared" si="14"/>
        <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101555.9</v>
      </c>
      <c r="F66" s="697">
        <f>IF(B46="楼面地价",SUM(F56:F65),ROUND(C48*E66/10000,0))</f>
        <v>61055</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2018-3-1</v>
      </c>
      <c r="D68" s="761">
        <f>EDATE(C68,-3)</f>
        <v>43070</v>
      </c>
      <c r="E68" s="761">
        <f>EDATE(D68,-3)</f>
        <v>42979</v>
      </c>
      <c r="F68" s="761">
        <f t="shared" ref="F68:O68" si="17">EDATE(E68,-3)</f>
        <v>42887</v>
      </c>
      <c r="G68" s="761">
        <f t="shared" si="17"/>
        <v>42795</v>
      </c>
      <c r="H68" s="761">
        <f t="shared" si="17"/>
        <v>42705</v>
      </c>
      <c r="I68" s="761">
        <f t="shared" si="17"/>
        <v>42614</v>
      </c>
      <c r="J68" s="761">
        <f t="shared" si="17"/>
        <v>42522</v>
      </c>
      <c r="K68" s="761">
        <f t="shared" si="17"/>
        <v>42430</v>
      </c>
      <c r="L68" s="761">
        <f t="shared" si="17"/>
        <v>42339</v>
      </c>
      <c r="M68" s="761">
        <f t="shared" si="17"/>
        <v>42248</v>
      </c>
      <c r="N68" s="761">
        <f t="shared" si="17"/>
        <v>42156</v>
      </c>
      <c r="O68" s="761">
        <f t="shared" si="17"/>
        <v>42064</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4" t="str">
        <f>YEAR(C68)&amp;"-"&amp;ROUNDUP(MONTH(C68)/3,0)</f>
        <v>2018-1</v>
      </c>
      <c r="D70" s="1574" t="str">
        <f>YEAR(D68)&amp;"-"&amp;ROUNDUP(MONTH(D68)/3,0)</f>
        <v>2017-4</v>
      </c>
      <c r="E70" s="1574" t="str">
        <f t="shared" ref="E70:O70" si="18">YEAR(E68)&amp;"-"&amp;ROUNDUP(MONTH(E68)/3,0)</f>
        <v>2017-3</v>
      </c>
      <c r="F70" s="1574" t="str">
        <f t="shared" si="18"/>
        <v>2017-2</v>
      </c>
      <c r="G70" s="1574" t="str">
        <f t="shared" si="18"/>
        <v>2017-1</v>
      </c>
      <c r="H70" s="1574" t="str">
        <f t="shared" si="18"/>
        <v>2016-4</v>
      </c>
      <c r="I70" s="1574" t="str">
        <f t="shared" si="18"/>
        <v>2016-3</v>
      </c>
      <c r="J70" s="1574" t="str">
        <f t="shared" si="18"/>
        <v>2016-2</v>
      </c>
      <c r="K70" s="1574" t="str">
        <f t="shared" si="18"/>
        <v>2016-1</v>
      </c>
      <c r="L70" s="1574" t="str">
        <f t="shared" si="18"/>
        <v>2015-4</v>
      </c>
      <c r="M70" s="1574" t="str">
        <f t="shared" si="18"/>
        <v>2015-3</v>
      </c>
      <c r="N70" s="1574" t="str">
        <f t="shared" si="18"/>
        <v>2015-2</v>
      </c>
      <c r="O70" s="1574" t="str">
        <f t="shared" si="18"/>
        <v>2015-1</v>
      </c>
      <c r="P70" s="507"/>
    </row>
    <row r="71" spans="1:17" s="117" customFormat="1" ht="30" customHeight="1">
      <c r="A71" s="2714" t="s">
        <v>2780</v>
      </c>
      <c r="B71" s="332" t="str">
        <f>"北京市平均增长率"&amp;TEXT(SUMIF(基准地价修正!N21:N25,A71,基准地价修正!P21:P25),"0.00%")</f>
        <v>北京市平均增长率2.55%</v>
      </c>
      <c r="C71" s="603">
        <v>100</v>
      </c>
      <c r="D71" s="595">
        <f>C71-$C$72</f>
        <v>99.5</v>
      </c>
      <c r="E71" s="595">
        <f t="shared" ref="E71:O71" si="19">D71-$C$72</f>
        <v>99</v>
      </c>
      <c r="F71" s="595">
        <f t="shared" si="19"/>
        <v>98.5</v>
      </c>
      <c r="G71" s="595">
        <f t="shared" si="19"/>
        <v>98</v>
      </c>
      <c r="H71" s="595">
        <f t="shared" si="19"/>
        <v>97.5</v>
      </c>
      <c r="I71" s="595">
        <f t="shared" si="19"/>
        <v>97</v>
      </c>
      <c r="J71" s="595">
        <f t="shared" si="19"/>
        <v>96.5</v>
      </c>
      <c r="K71" s="595">
        <f t="shared" si="19"/>
        <v>96</v>
      </c>
      <c r="L71" s="595">
        <f t="shared" si="19"/>
        <v>95.5</v>
      </c>
      <c r="M71" s="595">
        <f t="shared" si="19"/>
        <v>95</v>
      </c>
      <c r="N71" s="595">
        <f t="shared" si="19"/>
        <v>94.5</v>
      </c>
      <c r="O71" s="595">
        <f t="shared" si="19"/>
        <v>94</v>
      </c>
      <c r="P71" s="504"/>
    </row>
    <row r="72" spans="1:17" s="117" customFormat="1" ht="15.75" thickBot="1">
      <c r="A72" s="515" t="s">
        <v>2583</v>
      </c>
      <c r="B72" s="516"/>
      <c r="C72" s="517">
        <v>0.5</v>
      </c>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ht="156.75">
      <c r="A75" s="527" t="s">
        <v>2586</v>
      </c>
      <c r="B75" s="528" t="s">
        <v>2552</v>
      </c>
      <c r="C75" s="2957" t="s">
        <v>3085</v>
      </c>
      <c r="D75" s="530" t="str">
        <f>'[2]土地案例（1）'!$E$7</f>
        <v>城镇住宅用地、商服用地(批发零售用地、住宿餐饮用地、商务金融用地、其它商服用地)</v>
      </c>
      <c r="E75" s="530"/>
      <c r="F75" s="530"/>
      <c r="G75" s="530"/>
      <c r="H75" s="530"/>
      <c r="I75" s="530"/>
      <c r="J75" s="530"/>
      <c r="K75" s="531"/>
      <c r="L75" s="532"/>
      <c r="M75" s="533"/>
      <c r="N75" s="1155"/>
      <c r="O75" s="1155"/>
      <c r="P75" s="45"/>
      <c r="Q75" s="504"/>
    </row>
    <row r="76" spans="1:17" ht="15.75" thickBot="1">
      <c r="A76" s="534"/>
      <c r="B76" s="535"/>
      <c r="C76" s="536">
        <v>100</v>
      </c>
      <c r="D76" s="536">
        <v>100</v>
      </c>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29.25" thickTop="1">
      <c r="A79" s="534"/>
      <c r="B79" s="546" t="s">
        <v>2556</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f>C80+1</f>
        <v>1</v>
      </c>
      <c r="E80" s="549">
        <f t="shared" ref="E80:I80" si="21">D80+1</f>
        <v>2</v>
      </c>
      <c r="F80" s="549">
        <f t="shared" si="21"/>
        <v>3</v>
      </c>
      <c r="G80" s="549">
        <f t="shared" si="21"/>
        <v>4</v>
      </c>
      <c r="H80" s="549">
        <f t="shared" si="21"/>
        <v>5</v>
      </c>
      <c r="I80" s="549">
        <f t="shared" si="21"/>
        <v>6</v>
      </c>
      <c r="J80" s="549"/>
      <c r="K80" s="550"/>
      <c r="L80" s="551"/>
      <c r="M80" s="552"/>
      <c r="N80" s="1155"/>
      <c r="O80" s="1155"/>
      <c r="P80" s="45"/>
      <c r="Q80" s="504"/>
    </row>
    <row r="81" spans="1:17" ht="15.75" thickBot="1">
      <c r="A81" s="534"/>
      <c r="B81" s="535"/>
      <c r="C81" s="544">
        <v>100</v>
      </c>
      <c r="D81" s="544">
        <f t="shared" ref="D81:M81" si="22">IF($B$46="单位面积地价",C81+$K11,C81-$K11)</f>
        <v>95</v>
      </c>
      <c r="E81" s="544">
        <f t="shared" si="22"/>
        <v>90</v>
      </c>
      <c r="F81" s="544">
        <f t="shared" si="22"/>
        <v>85</v>
      </c>
      <c r="G81" s="544">
        <f t="shared" si="22"/>
        <v>80</v>
      </c>
      <c r="H81" s="544">
        <f t="shared" si="22"/>
        <v>75</v>
      </c>
      <c r="I81" s="544">
        <f t="shared" si="22"/>
        <v>70</v>
      </c>
      <c r="J81" s="544">
        <f t="shared" si="22"/>
        <v>65</v>
      </c>
      <c r="K81" s="544">
        <f t="shared" si="22"/>
        <v>60</v>
      </c>
      <c r="L81" s="544">
        <f t="shared" si="22"/>
        <v>55</v>
      </c>
      <c r="M81" s="544">
        <f t="shared" si="22"/>
        <v>50</v>
      </c>
      <c r="N81" s="1156"/>
      <c r="O81" s="1156"/>
      <c r="P81" s="45"/>
      <c r="Q81" s="504"/>
    </row>
    <row r="82" spans="1:17" s="471" customFormat="1" ht="15.75" thickTop="1">
      <c r="A82" s="553"/>
      <c r="B82" s="538" t="str">
        <f>B12</f>
        <v>配建</v>
      </c>
      <c r="C82" s="2959" t="s">
        <v>3116</v>
      </c>
      <c r="D82" s="2959" t="s">
        <v>3117</v>
      </c>
      <c r="E82" s="554"/>
      <c r="F82" s="554"/>
      <c r="G82" s="554"/>
      <c r="H82" s="555"/>
      <c r="I82" s="555"/>
      <c r="J82" s="555"/>
      <c r="K82" s="555"/>
      <c r="L82" s="556"/>
      <c r="M82" s="557"/>
      <c r="N82" s="1157"/>
      <c r="O82" s="1157"/>
      <c r="P82" s="558"/>
      <c r="Q82" s="559"/>
    </row>
    <row r="83" spans="1:17" s="471" customFormat="1" ht="15.75" thickBot="1">
      <c r="A83" s="553"/>
      <c r="B83" s="543"/>
      <c r="C83" s="560">
        <v>95</v>
      </c>
      <c r="D83" s="536">
        <v>100</v>
      </c>
      <c r="E83" s="536"/>
      <c r="F83" s="536"/>
      <c r="G83" s="536"/>
      <c r="H83" s="536"/>
      <c r="I83" s="536"/>
      <c r="J83" s="536"/>
      <c r="K83" s="536"/>
      <c r="L83" s="536"/>
      <c r="M83" s="537"/>
      <c r="N83" s="1156"/>
      <c r="O83" s="1156"/>
      <c r="P83" s="558"/>
      <c r="Q83" s="559"/>
    </row>
    <row r="84" spans="1:17" s="471" customFormat="1" ht="15.75" hidden="1" thickTop="1">
      <c r="A84" s="553"/>
      <c r="B84" s="538">
        <f>B13</f>
        <v>0</v>
      </c>
      <c r="C84" s="554"/>
      <c r="D84" s="554"/>
      <c r="E84" s="554"/>
      <c r="F84" s="554"/>
      <c r="G84" s="554"/>
      <c r="H84" s="555"/>
      <c r="I84" s="555"/>
      <c r="J84" s="555"/>
      <c r="K84" s="555"/>
      <c r="L84" s="556"/>
      <c r="M84" s="557"/>
      <c r="N84" s="1157"/>
      <c r="O84" s="1157"/>
      <c r="P84" s="470"/>
      <c r="Q84" s="561"/>
    </row>
    <row r="85" spans="1:17" s="471" customFormat="1" ht="15.75" hidden="1" thickBot="1">
      <c r="A85" s="553"/>
      <c r="B85" s="543"/>
      <c r="C85" s="560"/>
      <c r="D85" s="560"/>
      <c r="E85" s="560"/>
      <c r="F85" s="560"/>
      <c r="G85" s="560"/>
      <c r="H85" s="562"/>
      <c r="I85" s="562"/>
      <c r="J85" s="562"/>
      <c r="K85" s="562"/>
      <c r="L85" s="562"/>
      <c r="M85" s="563"/>
      <c r="N85" s="1157"/>
      <c r="O85" s="1157"/>
      <c r="P85" s="558"/>
      <c r="Q85" s="559"/>
    </row>
    <row r="86" spans="1:17" s="471" customFormat="1" ht="15.75" hidden="1" thickTop="1">
      <c r="A86" s="553"/>
      <c r="B86" s="546">
        <f>B14</f>
        <v>0</v>
      </c>
      <c r="C86" s="523"/>
      <c r="D86" s="523"/>
      <c r="E86" s="523"/>
      <c r="F86" s="523"/>
      <c r="G86" s="523"/>
      <c r="H86" s="564"/>
      <c r="I86" s="564"/>
      <c r="J86" s="564"/>
      <c r="K86" s="564"/>
      <c r="L86" s="565"/>
      <c r="M86" s="566"/>
      <c r="N86" s="1157"/>
      <c r="O86" s="1157"/>
      <c r="P86" s="567"/>
      <c r="Q86" s="559"/>
    </row>
    <row r="87" spans="1:17" s="471" customFormat="1" ht="15.75" hidden="1" thickBot="1">
      <c r="A87" s="568"/>
      <c r="B87" s="569"/>
      <c r="C87" s="570"/>
      <c r="D87" s="570"/>
      <c r="E87" s="570"/>
      <c r="F87" s="570"/>
      <c r="G87" s="570"/>
      <c r="H87" s="571"/>
      <c r="I87" s="571"/>
      <c r="J87" s="571"/>
      <c r="K87" s="571"/>
      <c r="L87" s="571"/>
      <c r="M87" s="572"/>
      <c r="N87" s="1157"/>
      <c r="O87" s="1157"/>
      <c r="P87" s="558"/>
      <c r="Q87" s="559"/>
    </row>
    <row r="88" spans="1:17" ht="15" thickTop="1">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6"/>
      <c r="O89" s="1156"/>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6"/>
      <c r="O97" s="1156"/>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hidden="1"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hidden="1"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2689</v>
      </c>
      <c r="C106" s="2959" t="s">
        <v>3098</v>
      </c>
      <c r="D106" s="2959" t="s">
        <v>3099</v>
      </c>
      <c r="E106" s="2959" t="s">
        <v>3100</v>
      </c>
      <c r="F106" s="2959" t="s">
        <v>3102</v>
      </c>
      <c r="G106" s="554"/>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6"/>
      <c r="O107" s="1156"/>
      <c r="P107" s="45"/>
      <c r="Q107" s="504"/>
    </row>
    <row r="108" spans="1:17" ht="15.75" hidden="1" thickTop="1">
      <c r="A108" s="534"/>
      <c r="B108" s="538" t="s">
        <v>2747</v>
      </c>
      <c r="C108" s="583"/>
      <c r="D108" s="583"/>
      <c r="E108" s="583"/>
      <c r="F108" s="583"/>
      <c r="G108" s="583"/>
      <c r="H108" s="583"/>
      <c r="I108" s="583"/>
      <c r="J108" s="583"/>
      <c r="K108" s="584"/>
      <c r="L108" s="585"/>
      <c r="M108" s="586"/>
      <c r="N108" s="1155"/>
      <c r="O108" s="1155"/>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hidden="1" thickTop="1">
      <c r="A110" s="534"/>
      <c r="B110" s="546">
        <f>B35</f>
        <v>0</v>
      </c>
      <c r="C110" s="554"/>
      <c r="D110" s="554"/>
      <c r="E110" s="554"/>
      <c r="F110" s="554"/>
      <c r="G110" s="587"/>
      <c r="H110" s="587"/>
      <c r="I110" s="587"/>
      <c r="J110" s="587"/>
      <c r="K110" s="588"/>
      <c r="L110" s="589"/>
      <c r="M110" s="590"/>
      <c r="N110" s="1155"/>
      <c r="O110" s="1155"/>
      <c r="P110" s="45"/>
      <c r="Q110" s="504"/>
    </row>
    <row r="111" spans="1:17" ht="15.75" hidden="1" thickBot="1">
      <c r="A111" s="534"/>
      <c r="B111" s="569"/>
      <c r="C111" s="560"/>
      <c r="D111" s="560"/>
      <c r="E111" s="560"/>
      <c r="F111" s="560"/>
      <c r="G111" s="591"/>
      <c r="H111" s="591"/>
      <c r="I111" s="591"/>
      <c r="J111" s="591"/>
      <c r="K111" s="591"/>
      <c r="L111" s="591"/>
      <c r="M111" s="592"/>
      <c r="N111" s="1156"/>
      <c r="O111" s="1156"/>
      <c r="P111" s="45"/>
      <c r="Q111" s="504"/>
    </row>
    <row r="112" spans="1:17" ht="15" hidden="1" thickTop="1">
      <c r="A112" s="675"/>
      <c r="B112" s="538">
        <f>B36</f>
        <v>0</v>
      </c>
      <c r="C112" s="523"/>
      <c r="D112" s="523"/>
      <c r="E112" s="523"/>
      <c r="F112" s="523"/>
      <c r="G112" s="583"/>
      <c r="H112" s="583"/>
      <c r="I112" s="583"/>
      <c r="J112" s="583"/>
      <c r="K112" s="584"/>
      <c r="L112" s="585"/>
      <c r="M112" s="586"/>
      <c r="N112" s="1155"/>
      <c r="O112" s="1155"/>
      <c r="P112" s="45"/>
      <c r="Q112" s="504"/>
    </row>
    <row r="113" spans="1:17" ht="15.75" hidden="1" thickBot="1">
      <c r="A113" s="534"/>
      <c r="B113" s="543"/>
      <c r="C113" s="570"/>
      <c r="D113" s="570"/>
      <c r="E113" s="570"/>
      <c r="F113" s="570"/>
      <c r="G113" s="536"/>
      <c r="H113" s="536"/>
      <c r="I113" s="536"/>
      <c r="J113" s="536"/>
      <c r="K113" s="536"/>
      <c r="L113" s="536"/>
      <c r="M113" s="537"/>
      <c r="N113" s="1156"/>
      <c r="O113" s="1156"/>
      <c r="P113" s="45"/>
      <c r="Q113" s="504"/>
    </row>
    <row r="114" spans="1:17" s="471" customFormat="1" ht="15" hidden="1"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hidden="1" thickBot="1">
      <c r="A115" s="553"/>
      <c r="B115" s="546"/>
      <c r="C115" s="512"/>
      <c r="D115" s="677"/>
      <c r="E115" s="677"/>
      <c r="F115" s="677"/>
      <c r="G115" s="677"/>
      <c r="H115" s="677"/>
      <c r="I115" s="677"/>
      <c r="J115" s="677"/>
      <c r="K115" s="677"/>
      <c r="L115" s="677"/>
      <c r="M115" s="699"/>
      <c r="N115" s="1156"/>
      <c r="O115" s="1156"/>
      <c r="P115" s="558"/>
      <c r="Q115" s="559"/>
    </row>
    <row r="116" spans="1:17" ht="43.5" thickTop="1">
      <c r="A116" s="527" t="s">
        <v>2561</v>
      </c>
      <c r="B116" s="528" t="s">
        <v>2788</v>
      </c>
      <c r="C116" s="529" t="str">
        <f>C117&amp;"(含)"&amp;"-"&amp;D117</f>
        <v>0(含)-150000</v>
      </c>
      <c r="D116" s="529" t="str">
        <f t="shared" ref="D116:M116" si="26">D117&amp;"(含)"&amp;"-"&amp;E117</f>
        <v>150000(含)-300000</v>
      </c>
      <c r="E116" s="529" t="str">
        <f t="shared" si="26"/>
        <v>300000(含)-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150000</v>
      </c>
      <c r="E117" s="595">
        <v>300000</v>
      </c>
      <c r="F117" s="595"/>
      <c r="G117" s="595"/>
      <c r="H117" s="595"/>
      <c r="I117" s="595"/>
      <c r="J117" s="596"/>
      <c r="K117" s="596"/>
      <c r="L117" s="597"/>
      <c r="M117" s="598"/>
      <c r="N117" s="1155"/>
      <c r="O117" s="1155"/>
      <c r="P117" s="45"/>
      <c r="Q117" s="504"/>
    </row>
    <row r="118" spans="1:17" ht="15.75" thickBot="1">
      <c r="A118" s="534"/>
      <c r="B118" s="543"/>
      <c r="C118" s="570">
        <v>100</v>
      </c>
      <c r="D118" s="591">
        <v>100.5</v>
      </c>
      <c r="E118" s="591">
        <v>101</v>
      </c>
      <c r="F118" s="591"/>
      <c r="G118" s="591"/>
      <c r="H118" s="591"/>
      <c r="I118" s="591"/>
      <c r="J118" s="591"/>
      <c r="K118" s="591"/>
      <c r="L118" s="591"/>
      <c r="M118" s="592"/>
      <c r="N118" s="1156"/>
      <c r="O118" s="1156"/>
      <c r="P118" s="45"/>
      <c r="Q118" s="504"/>
    </row>
    <row r="119" spans="1:17" ht="15" thickTop="1">
      <c r="A119" s="599"/>
      <c r="B119" s="538" t="s">
        <v>2789</v>
      </c>
      <c r="C119" s="2958" t="s">
        <v>3088</v>
      </c>
      <c r="D119" s="2958" t="s">
        <v>3104</v>
      </c>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6"/>
      <c r="O120" s="1156"/>
      <c r="P120" s="45"/>
      <c r="Q120" s="504"/>
    </row>
    <row r="121" spans="1:17" ht="15" hidden="1" thickTop="1">
      <c r="A121" s="599"/>
      <c r="B121" s="538" t="s">
        <v>2790</v>
      </c>
      <c r="C121" s="554"/>
      <c r="D121" s="554"/>
      <c r="E121" s="554"/>
      <c r="F121" s="583"/>
      <c r="G121" s="583"/>
      <c r="H121" s="583"/>
      <c r="I121" s="583"/>
      <c r="J121" s="583"/>
      <c r="K121" s="584"/>
      <c r="L121" s="585"/>
      <c r="M121" s="586"/>
      <c r="N121" s="1155"/>
      <c r="O121" s="1155"/>
      <c r="P121" s="45"/>
      <c r="Q121" s="504"/>
    </row>
    <row r="122" spans="1:17" ht="15.75" hidden="1"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6"/>
      <c r="O122" s="1156"/>
      <c r="P122" s="45"/>
      <c r="Q122" s="504"/>
    </row>
    <row r="123" spans="1:17" s="471" customFormat="1" ht="15" thickTop="1">
      <c r="A123" s="593"/>
      <c r="B123" s="538" t="s">
        <v>2791</v>
      </c>
      <c r="C123" s="2959" t="s">
        <v>3090</v>
      </c>
      <c r="D123" s="2959" t="s">
        <v>3092</v>
      </c>
      <c r="E123" s="2959" t="s">
        <v>3093</v>
      </c>
      <c r="F123" s="2959" t="s">
        <v>3095</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7"/>
      <c r="O124" s="1157"/>
      <c r="P124" s="558"/>
      <c r="Q124" s="559"/>
    </row>
    <row r="125" spans="1:17" ht="15" thickTop="1">
      <c r="A125" s="599"/>
      <c r="B125" s="538" t="s">
        <v>2792</v>
      </c>
      <c r="C125" s="2959" t="s">
        <v>3097</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6"/>
      <c r="O126" s="1156"/>
      <c r="P126" s="45"/>
      <c r="Q126" s="504"/>
    </row>
    <row r="127" spans="1:17" ht="15" hidden="1" thickTop="1">
      <c r="A127" s="599"/>
      <c r="B127" s="538">
        <f>B43</f>
        <v>0</v>
      </c>
      <c r="C127" s="554"/>
      <c r="D127" s="554"/>
      <c r="E127" s="554"/>
      <c r="F127" s="554"/>
      <c r="G127" s="554"/>
      <c r="H127" s="583"/>
      <c r="I127" s="583"/>
      <c r="J127" s="583"/>
      <c r="K127" s="584"/>
      <c r="L127" s="585"/>
      <c r="M127" s="586"/>
      <c r="N127" s="1155"/>
      <c r="O127" s="1155"/>
      <c r="P127" s="45"/>
      <c r="Q127" s="504"/>
    </row>
    <row r="128" spans="1:17" ht="15.75" hidden="1" thickBot="1">
      <c r="A128" s="534"/>
      <c r="B128" s="543"/>
      <c r="C128" s="560"/>
      <c r="D128" s="560"/>
      <c r="E128" s="560"/>
      <c r="F128" s="560"/>
      <c r="G128" s="536"/>
      <c r="H128" s="536"/>
      <c r="I128" s="536"/>
      <c r="J128" s="536"/>
      <c r="K128" s="536"/>
      <c r="L128" s="536"/>
      <c r="M128" s="537"/>
      <c r="N128" s="1156"/>
      <c r="O128" s="1156"/>
      <c r="P128" s="45"/>
      <c r="Q128" s="504"/>
    </row>
    <row r="129" spans="1:17" ht="15" hidden="1" thickTop="1">
      <c r="A129" s="599"/>
      <c r="B129" s="538">
        <f>B44</f>
        <v>0</v>
      </c>
      <c r="C129" s="523"/>
      <c r="D129" s="523"/>
      <c r="E129" s="523"/>
      <c r="F129" s="523"/>
      <c r="G129" s="583"/>
      <c r="H129" s="583"/>
      <c r="I129" s="583"/>
      <c r="J129" s="583"/>
      <c r="K129" s="584"/>
      <c r="L129" s="585"/>
      <c r="M129" s="586"/>
      <c r="N129" s="1155"/>
      <c r="O129" s="1155"/>
      <c r="P129" s="45"/>
      <c r="Q129" s="504"/>
    </row>
    <row r="130" spans="1:17" ht="15.75" hidden="1" thickBot="1">
      <c r="A130" s="534"/>
      <c r="B130" s="543"/>
      <c r="C130" s="570"/>
      <c r="D130" s="570"/>
      <c r="E130" s="570"/>
      <c r="F130" s="570"/>
      <c r="G130" s="536"/>
      <c r="H130" s="536"/>
      <c r="I130" s="536"/>
      <c r="J130" s="536"/>
      <c r="K130" s="536"/>
      <c r="L130" s="536"/>
      <c r="M130" s="537"/>
      <c r="N130" s="1156"/>
      <c r="O130" s="1156"/>
      <c r="P130" s="45"/>
      <c r="Q130" s="504"/>
    </row>
    <row r="131" spans="1:17" s="471" customFormat="1" ht="15" hidden="1"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hidden="1" thickBot="1">
      <c r="A132" s="568"/>
      <c r="B132" s="700"/>
      <c r="C132" s="570"/>
      <c r="D132" s="570"/>
      <c r="E132" s="570"/>
      <c r="F132" s="570"/>
      <c r="G132" s="591"/>
      <c r="H132" s="591"/>
      <c r="I132" s="591"/>
      <c r="J132" s="591"/>
      <c r="K132" s="591"/>
      <c r="L132" s="591"/>
      <c r="M132" s="592"/>
      <c r="N132" s="1157"/>
      <c r="O132" s="1157"/>
      <c r="P132" s="558"/>
      <c r="Q132" s="559"/>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4" sqref="A24:F30"/>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2524</v>
      </c>
      <c r="B1" s="2564"/>
      <c r="C1" s="2564"/>
      <c r="D1" s="2564"/>
      <c r="E1" s="2565"/>
    </row>
    <row r="2" spans="1:6" ht="15.75">
      <c r="A2" s="2566" t="s">
        <v>2325</v>
      </c>
      <c r="B2" s="2567">
        <f ca="1">SUMIF(B6:B13,"&lt;&gt;#ref!",B6:B13)</f>
        <v>137678</v>
      </c>
      <c r="C2" s="2568" t="s">
        <v>2517</v>
      </c>
      <c r="D2" s="2569" t="s">
        <v>2518</v>
      </c>
      <c r="E2" s="2570">
        <f>SUM(E6:E13)</f>
        <v>101555.9</v>
      </c>
    </row>
    <row r="3" spans="1:6" ht="15.75">
      <c r="A3" s="2566" t="s">
        <v>1395</v>
      </c>
      <c r="B3" s="2567">
        <f ca="1">ROUND(B2*10000/E2,0)</f>
        <v>13557</v>
      </c>
      <c r="C3" s="2568" t="s">
        <v>2525</v>
      </c>
      <c r="D3" s="2571"/>
      <c r="E3" s="2572"/>
    </row>
    <row r="4" spans="1:6" ht="15.75">
      <c r="A4" s="2573"/>
      <c r="B4" s="2571"/>
      <c r="C4" s="2571"/>
      <c r="D4" s="2571"/>
      <c r="E4" s="2572"/>
    </row>
    <row r="5" spans="1:6" ht="15">
      <c r="A5" s="2574" t="s">
        <v>2519</v>
      </c>
      <c r="B5" s="3219" t="s">
        <v>2520</v>
      </c>
      <c r="C5" s="3219"/>
      <c r="D5" s="2575"/>
      <c r="E5" s="2576" t="s">
        <v>2521</v>
      </c>
      <c r="F5" s="2577" t="s">
        <v>2522</v>
      </c>
    </row>
    <row r="6" spans="1:6">
      <c r="A6" s="2578" t="str">
        <f>'数据-取费表'!AN6</f>
        <v>收益法（奥特莱斯）</v>
      </c>
      <c r="B6" s="2577">
        <f ca="1">IF(F6="是",'数据-取费表'!AO6,0)</f>
        <v>134701</v>
      </c>
      <c r="C6" s="2568" t="s">
        <v>2517</v>
      </c>
      <c r="D6" s="2571"/>
      <c r="E6" s="2579">
        <f>IF(OR(A6=0,F6="否"),0,'数据-取费表'!K6+'数据-取费表'!S6)</f>
        <v>98588.09</v>
      </c>
      <c r="F6" s="2580" t="s">
        <v>2523</v>
      </c>
    </row>
    <row r="7" spans="1:6">
      <c r="A7" s="2578" t="str">
        <f>'数据-取费表'!AN7</f>
        <v>收益法（会所）</v>
      </c>
      <c r="B7" s="2577">
        <f ca="1">IF(F7="是",'数据-取费表'!AO7,0)</f>
        <v>2977</v>
      </c>
      <c r="C7" s="2568" t="s">
        <v>2517</v>
      </c>
      <c r="D7" s="2571"/>
      <c r="E7" s="2579">
        <f>IF(OR(A7=0,F7="否"),0,'数据-取费表'!K7+'数据-取费表'!S7)</f>
        <v>2967.81</v>
      </c>
      <c r="F7" s="2580" t="s">
        <v>2523</v>
      </c>
    </row>
    <row r="8" spans="1:6">
      <c r="A8" s="2578">
        <f>'数据-取费表'!AN8</f>
        <v>0</v>
      </c>
      <c r="B8" s="2577" t="e">
        <f ca="1">IF(F8="是",'数据-取费表'!AO8,0)</f>
        <v>#REF!</v>
      </c>
      <c r="C8" s="2568" t="s">
        <v>2517</v>
      </c>
      <c r="D8" s="2571"/>
      <c r="E8" s="2579">
        <f>IF(OR(A8=0,F8="否"),0,'数据-取费表'!K8+'数据-取费表'!S8)</f>
        <v>0</v>
      </c>
      <c r="F8" s="2580" t="s">
        <v>2523</v>
      </c>
    </row>
    <row r="9" spans="1:6">
      <c r="A9" s="2578">
        <f>'数据-取费表'!AN9</f>
        <v>0</v>
      </c>
      <c r="B9" s="2577" t="e">
        <f ca="1">IF(F9="是",'数据-取费表'!AO9,0)</f>
        <v>#REF!</v>
      </c>
      <c r="C9" s="2568" t="s">
        <v>2517</v>
      </c>
      <c r="D9" s="2571"/>
      <c r="E9" s="2579">
        <f>IF(OR(A9=0,F9="否"),0,'数据-取费表'!K9+'数据-取费表'!S9)</f>
        <v>0</v>
      </c>
      <c r="F9" s="2580" t="s">
        <v>2523</v>
      </c>
    </row>
    <row r="10" spans="1:6">
      <c r="A10" s="2578">
        <f>'数据-取费表'!AN10</f>
        <v>0</v>
      </c>
      <c r="B10" s="2577" t="e">
        <f ca="1">IF(F10="是",'数据-取费表'!AO10,0)</f>
        <v>#REF!</v>
      </c>
      <c r="C10" s="2568" t="s">
        <v>2517</v>
      </c>
      <c r="D10" s="2571"/>
      <c r="E10" s="2579">
        <f>IF(OR(A10=0,F10="否"),0,'数据-取费表'!K10+'数据-取费表'!S10)</f>
        <v>0</v>
      </c>
      <c r="F10" s="2580" t="s">
        <v>2523</v>
      </c>
    </row>
    <row r="11" spans="1:6">
      <c r="A11" s="2578">
        <f>'数据-取费表'!AN11</f>
        <v>0</v>
      </c>
      <c r="B11" s="2577" t="e">
        <f ca="1">IF(F11="是",'数据-取费表'!AO11,0)</f>
        <v>#REF!</v>
      </c>
      <c r="C11" s="2568" t="s">
        <v>2517</v>
      </c>
      <c r="D11" s="2571"/>
      <c r="E11" s="2579">
        <f>IF(OR(A11=0,F11="否"),0,'数据-取费表'!K11+'数据-取费表'!S11)</f>
        <v>0</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29" sqref="H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3065</v>
      </c>
      <c r="D1" s="1822" t="s">
        <v>70</v>
      </c>
      <c r="E1" s="1823" t="s">
        <v>1387</v>
      </c>
      <c r="F1" s="1286">
        <f ca="1">J53</f>
        <v>31.14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134701</v>
      </c>
      <c r="C2" s="1847" t="s">
        <v>1517</v>
      </c>
      <c r="D2" s="1847"/>
      <c r="E2" s="1848"/>
      <c r="F2" s="1849"/>
      <c r="G2" s="1850"/>
      <c r="H2" s="1842"/>
      <c r="I2" s="1842"/>
      <c r="J2" s="1842"/>
      <c r="K2" s="1843"/>
      <c r="L2" s="1842"/>
      <c r="M2" s="1842"/>
    </row>
    <row r="3" spans="1:37" ht="18" customHeight="1" thickBot="1">
      <c r="A3" s="1851" t="s">
        <v>1518</v>
      </c>
      <c r="B3" s="1852">
        <f ca="1">IF(ISERROR(B2*10000/F43),0,ROUND(B2*10000/F43,0))</f>
        <v>13663</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8108</v>
      </c>
      <c r="D5" s="1824" t="s">
        <v>1402</v>
      </c>
      <c r="E5" s="1296"/>
      <c r="F5" s="1297"/>
      <c r="G5" s="1853"/>
      <c r="H5" s="344">
        <v>1</v>
      </c>
      <c r="I5" s="345" t="s">
        <v>1401</v>
      </c>
      <c r="J5" s="1295">
        <f ca="1">J6+J10+J12</f>
        <v>0</v>
      </c>
      <c r="K5" s="1824" t="s">
        <v>1402</v>
      </c>
      <c r="L5" s="1296"/>
      <c r="M5" s="1297"/>
    </row>
    <row r="6" spans="1:37" ht="18" customHeight="1">
      <c r="A6" s="1294" t="s">
        <v>1035</v>
      </c>
      <c r="B6" s="3222" t="s">
        <v>1403</v>
      </c>
      <c r="C6" s="1299">
        <f ca="1">ROUND(F6*F8*F7*(1-F9)/10000,0)</f>
        <v>8097</v>
      </c>
      <c r="D6" s="164" t="s">
        <v>3033</v>
      </c>
      <c r="E6" s="347" t="s">
        <v>1405</v>
      </c>
      <c r="F6" s="348">
        <f ca="1">INDIRECT("'数据-取费表'!u"&amp;$G$1)</f>
        <v>2.5</v>
      </c>
      <c r="G6" s="1853"/>
      <c r="H6" s="1294" t="s">
        <v>1035</v>
      </c>
      <c r="I6" s="3222" t="s">
        <v>1403</v>
      </c>
      <c r="J6" s="346">
        <f ca="1">ROUND(M6*M8*M7*(1-M9)/10000,0)</f>
        <v>0</v>
      </c>
      <c r="K6" s="164" t="s">
        <v>3032</v>
      </c>
      <c r="L6" s="347" t="s">
        <v>1405</v>
      </c>
      <c r="M6" s="348">
        <f ca="1">INDIRECT("'数据-取费表'!z"&amp;$G$1)</f>
        <v>0</v>
      </c>
    </row>
    <row r="7" spans="1:37" ht="18" customHeight="1">
      <c r="A7" s="1298"/>
      <c r="B7" s="3223"/>
      <c r="C7" s="1300"/>
      <c r="D7" s="352"/>
      <c r="E7" s="1301" t="s">
        <v>1406</v>
      </c>
      <c r="F7" s="348">
        <f ca="1">IF(INDIRECT("'数据-取费表'!ah"&amp;$G$1)="",INDIRECT("'数据-取费表'!k"&amp;$G$1),INDIRECT("'数据-取费表'!ah"&amp;$G$1))</f>
        <v>98588.09</v>
      </c>
      <c r="G7" s="1853"/>
      <c r="H7" s="349"/>
      <c r="I7" s="3223"/>
      <c r="J7" s="351"/>
      <c r="K7" s="352"/>
      <c r="L7" s="347" t="s">
        <v>1406</v>
      </c>
      <c r="M7" s="348">
        <f ca="1">F7</f>
        <v>98588.09</v>
      </c>
    </row>
    <row r="8" spans="1:37" ht="18" customHeight="1">
      <c r="A8" s="349"/>
      <c r="B8" s="3223"/>
      <c r="C8" s="351"/>
      <c r="D8" s="352"/>
      <c r="E8" s="347" t="s">
        <v>1407</v>
      </c>
      <c r="F8" s="348">
        <f ca="1">INDIRECT("'数据-取费表'!ai"&amp;$G$1)</f>
        <v>365</v>
      </c>
      <c r="G8" s="1853"/>
      <c r="H8" s="349"/>
      <c r="I8" s="3223"/>
      <c r="J8" s="351"/>
      <c r="K8" s="352"/>
      <c r="L8" s="347" t="s">
        <v>1407</v>
      </c>
      <c r="M8" s="348">
        <f ca="1">INDIRECT("'数据-取费表'!ai"&amp;$G$1)</f>
        <v>365</v>
      </c>
    </row>
    <row r="9" spans="1:37" ht="18" customHeight="1">
      <c r="A9" s="349"/>
      <c r="B9" s="3224"/>
      <c r="C9" s="351"/>
      <c r="D9" s="352"/>
      <c r="E9" s="347" t="s">
        <v>1408</v>
      </c>
      <c r="F9" s="357">
        <f ca="1">INDIRECT("'数据-取费表'!w"&amp;$G$1)</f>
        <v>0.1</v>
      </c>
      <c r="G9" s="1853"/>
      <c r="H9" s="349"/>
      <c r="I9" s="3224"/>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ROUND(IF(F10="押一",F6*F8*F7/12*F11,IF(F10="押二",F6*F8*F7/12*2*F11,IF(F10="押三",F6*F8*F7/12*3*F11,C11*F11)))/10000,0)</f>
        <v>11</v>
      </c>
      <c r="D10" s="1826" t="s">
        <v>3034</v>
      </c>
      <c r="E10" s="358" t="s">
        <v>1411</v>
      </c>
      <c r="F10" s="2984" t="s">
        <v>3155</v>
      </c>
      <c r="G10" s="1853"/>
      <c r="H10" s="1294" t="s">
        <v>1039</v>
      </c>
      <c r="I10" s="1825" t="s">
        <v>1409</v>
      </c>
      <c r="J10" s="346">
        <f ca="1">ROUND(IF(M10="押一",M6*M8*M7/12*M11,IF(M10="押二",M6*M8*M7/12*2*M11,IF(M10="押三",M6*M8*M7/12*3*M11,J11*M11)))/10000,0)</f>
        <v>0</v>
      </c>
      <c r="K10" s="1826" t="s">
        <v>3035</v>
      </c>
      <c r="L10" s="358" t="s">
        <v>1411</v>
      </c>
      <c r="M10" s="1369" t="s">
        <v>1412</v>
      </c>
    </row>
    <row r="11" spans="1:37" ht="18" customHeight="1">
      <c r="A11" s="353"/>
      <c r="B11" s="1827" t="s">
        <v>1388</v>
      </c>
      <c r="C11" s="1181"/>
      <c r="D11" s="1828"/>
      <c r="E11" s="358" t="s">
        <v>1413</v>
      </c>
      <c r="F11" s="359">
        <f ca="1">'数据-取费表'!B39</f>
        <v>1.4999999999999999E-2</v>
      </c>
      <c r="G11" s="1853"/>
      <c r="H11" s="1302"/>
      <c r="I11" s="1827" t="s">
        <v>1388</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26636</v>
      </c>
      <c r="D13" s="1334" t="s">
        <v>1416</v>
      </c>
      <c r="E13" s="1334" t="s">
        <v>1417</v>
      </c>
      <c r="F13" s="1335">
        <f ca="1">INDIRECT("'数据-取费表'!y"&amp;$G$1)</f>
        <v>0.9</v>
      </c>
      <c r="G13" s="1853"/>
      <c r="H13" s="1332">
        <v>2</v>
      </c>
      <c r="I13" s="1333" t="s">
        <v>1415</v>
      </c>
      <c r="J13" s="1293">
        <f ca="1">ROUND(J14*J15,0)</f>
        <v>0</v>
      </c>
      <c r="K13" s="1340" t="s">
        <v>1416</v>
      </c>
      <c r="L13" s="1854"/>
      <c r="M13" s="1855"/>
    </row>
    <row r="14" spans="1:37" ht="18" customHeight="1">
      <c r="A14" s="1204" t="s">
        <v>1034</v>
      </c>
      <c r="B14" s="347" t="s">
        <v>1418</v>
      </c>
      <c r="C14" s="363">
        <f ca="1">INDIRECT("'数据-取费表'!m"&amp;$G$1)+INDIRECT("'数据-取费表'!t"&amp;$G$1)</f>
        <v>19718</v>
      </c>
      <c r="D14" s="1802" t="s">
        <v>1419</v>
      </c>
      <c r="E14" s="1796"/>
      <c r="F14" s="364"/>
      <c r="G14" s="1853"/>
      <c r="H14" s="1204" t="s">
        <v>1035</v>
      </c>
      <c r="I14" s="347" t="s">
        <v>1420</v>
      </c>
      <c r="J14" s="24">
        <f ca="1">C29</f>
        <v>29596</v>
      </c>
      <c r="K14" s="15"/>
      <c r="L14" s="982"/>
      <c r="M14" s="983"/>
    </row>
    <row r="15" spans="1:37" s="1860" customFormat="1" ht="18" customHeight="1" thickBot="1">
      <c r="A15" s="1204" t="s">
        <v>1036</v>
      </c>
      <c r="B15" s="347" t="s">
        <v>1421</v>
      </c>
      <c r="C15" s="24">
        <f ca="1">ROUND(C14*F15,0)</f>
        <v>592</v>
      </c>
      <c r="D15" s="365" t="s">
        <v>1422</v>
      </c>
      <c r="E15" s="365" t="s">
        <v>1423</v>
      </c>
      <c r="F15" s="366">
        <f>'数据-取费表'!B33</f>
        <v>0.03</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3"/>
      <c r="H16" s="1332" t="s">
        <v>1030</v>
      </c>
      <c r="I16" s="1333" t="s">
        <v>1425</v>
      </c>
      <c r="J16" s="355">
        <f ca="1">ROUND(J17+J22+J23+J24,0)</f>
        <v>810</v>
      </c>
      <c r="K16" s="1340" t="s">
        <v>1426</v>
      </c>
      <c r="L16" s="1341"/>
      <c r="M16" s="1297"/>
    </row>
    <row r="17" spans="1:37" s="1860" customFormat="1" ht="18" customHeight="1">
      <c r="A17" s="1204" t="s">
        <v>1390</v>
      </c>
      <c r="B17" s="347" t="s">
        <v>1427</v>
      </c>
      <c r="C17" s="24">
        <f ca="1">ROUND(F17*(F43+INDIRECT("'数据-取费表'!S"&amp;$G$1))/10000,0)</f>
        <v>1972</v>
      </c>
      <c r="D17" s="347" t="s">
        <v>1428</v>
      </c>
      <c r="E17" s="347" t="s">
        <v>1429</v>
      </c>
      <c r="F17" s="26">
        <f>'数据-取费表'!B35</f>
        <v>200</v>
      </c>
      <c r="G17" s="1856"/>
      <c r="H17" s="1204" t="s">
        <v>1035</v>
      </c>
      <c r="I17" s="347" t="s">
        <v>1430</v>
      </c>
      <c r="J17" s="24">
        <f ca="1">ROUND(IF(项目基本情况!B11="自然人",J5*M17,J18+J19+J20),1)</f>
        <v>365.7</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296</v>
      </c>
      <c r="D18" s="347" t="s">
        <v>1422</v>
      </c>
      <c r="E18" s="347" t="s">
        <v>1423</v>
      </c>
      <c r="F18" s="367">
        <f>'数据-取费表'!B36</f>
        <v>1.4999999999999999E-2</v>
      </c>
      <c r="G18" s="1856"/>
      <c r="H18" s="1204" t="s">
        <v>1034</v>
      </c>
      <c r="I18" s="347" t="s">
        <v>1434</v>
      </c>
      <c r="J18" s="24">
        <f ca="1">ROUND(J5*M18/(1+'数据-取费表'!C42),2)</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22578</v>
      </c>
      <c r="D19" s="140" t="s">
        <v>1437</v>
      </c>
      <c r="E19" s="1820"/>
      <c r="F19" s="26"/>
      <c r="G19" s="1853"/>
      <c r="H19" s="1204" t="s">
        <v>1036</v>
      </c>
      <c r="I19" s="347" t="s">
        <v>1438</v>
      </c>
      <c r="J19" s="24">
        <f ca="1">IF(K19="按租金收入计税",ROUND(J5*M19,2),ROUND(C29*M19*0.7,2))</f>
        <v>248.61</v>
      </c>
      <c r="K19" s="1830" t="s">
        <v>1439</v>
      </c>
      <c r="L19" s="347" t="s">
        <v>1423</v>
      </c>
      <c r="M19" s="367">
        <f>IF(K19="按租金收入计税",'数据-取费表'!B51,'数据-取费表'!B50)</f>
        <v>1.2E-2</v>
      </c>
    </row>
    <row r="20" spans="1:37" s="1860" customFormat="1" ht="18" customHeight="1">
      <c r="A20" s="1204" t="s">
        <v>1039</v>
      </c>
      <c r="B20" s="347" t="s">
        <v>1440</v>
      </c>
      <c r="C20" s="24">
        <f ca="1">ROUND(C19*F20,0)</f>
        <v>226</v>
      </c>
      <c r="D20" s="369" t="s">
        <v>1441</v>
      </c>
      <c r="E20" s="347" t="s">
        <v>1423</v>
      </c>
      <c r="F20" s="367">
        <f>'数据-取费表'!B37</f>
        <v>0.01</v>
      </c>
      <c r="G20" s="1856"/>
      <c r="H20" s="1204" t="s">
        <v>1389</v>
      </c>
      <c r="I20" s="164" t="s">
        <v>1442</v>
      </c>
      <c r="J20" s="25">
        <f ca="1">ROUND(M20*M21/10000,2)</f>
        <v>117.05</v>
      </c>
      <c r="K20" s="370" t="s">
        <v>1443</v>
      </c>
      <c r="L20" s="347" t="s">
        <v>1444</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167219.71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ROUND(J14*M22,1)</f>
        <v>443.9</v>
      </c>
      <c r="K22" s="1800" t="s">
        <v>1451</v>
      </c>
      <c r="L22" s="347" t="s">
        <v>1423</v>
      </c>
      <c r="M22" s="374">
        <f ca="1">INDIRECT("'数据-取费表'!Ak"&amp;$G$1)</f>
        <v>1.4999999999999999E-2</v>
      </c>
    </row>
    <row r="23" spans="1:37" s="1860" customFormat="1" ht="18" customHeight="1">
      <c r="A23" s="1204" t="s">
        <v>1034</v>
      </c>
      <c r="B23" s="347" t="s">
        <v>1452</v>
      </c>
      <c r="C23" s="24">
        <f ca="1">IF('数据-取费表'!B22&lt;=1,ROUND(C19*F24*F23/2,0)+ROUND(C20*F24*F23/2,0),ROUND(C19*(POWER((1+F24),F23/2)-1),0)+ROUND(C20*(POWER((1+F24),F23/2)-1),0))</f>
        <v>1083</v>
      </c>
      <c r="D23" s="375" t="str">
        <f>IF(F23&lt;=1,"(建造成本+管理费用)×利率×(建设周期÷2)","(建造成本+管理费用)×((1+利率)^(建设周期÷2)-1)")</f>
        <v>(建造成本+管理费用)×((1+利率)^(建设周期÷2)-1)</v>
      </c>
      <c r="E23" s="347" t="s">
        <v>1453</v>
      </c>
      <c r="F23" s="371">
        <f>'数据-取费表'!B20</f>
        <v>2</v>
      </c>
      <c r="G23" s="1856"/>
      <c r="H23" s="1204" t="s">
        <v>1075</v>
      </c>
      <c r="I23" s="347" t="s">
        <v>1454</v>
      </c>
      <c r="J23" s="24">
        <f ca="1">ROUND(J13*M23,1)</f>
        <v>0</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ROUND(J5*M24,1)</f>
        <v>0</v>
      </c>
      <c r="K24" s="1345" t="s">
        <v>1460</v>
      </c>
      <c r="L24" s="1343" t="s">
        <v>1456</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1461</v>
      </c>
      <c r="B25" s="347" t="s">
        <v>1462</v>
      </c>
      <c r="C25" s="24"/>
      <c r="D25" s="140" t="s">
        <v>1463</v>
      </c>
      <c r="E25" s="1820"/>
      <c r="F25" s="26"/>
      <c r="G25" s="1853"/>
      <c r="H25" s="1332" t="s">
        <v>1031</v>
      </c>
      <c r="I25" s="1347" t="s">
        <v>1464</v>
      </c>
      <c r="J25" s="355">
        <f ca="1">J5-J16</f>
        <v>-810</v>
      </c>
      <c r="K25" s="1348" t="s">
        <v>1465</v>
      </c>
      <c r="L25" s="1349"/>
      <c r="M25" s="1350"/>
    </row>
    <row r="26" spans="1:37">
      <c r="A26" s="1204" t="s">
        <v>1034</v>
      </c>
      <c r="B26" s="347" t="s">
        <v>1466</v>
      </c>
      <c r="C26" s="24">
        <f ca="1">ROUND((C19+C20)*F26,0)</f>
        <v>3421</v>
      </c>
      <c r="D26" s="369" t="s">
        <v>1467</v>
      </c>
      <c r="E26" s="358" t="s">
        <v>1468</v>
      </c>
      <c r="F26" s="357">
        <f ca="1">INDIRECT("'数据-取费表'!q"&amp;$G$1)</f>
        <v>0.15</v>
      </c>
      <c r="G26" s="1853"/>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3.0000000000000001E-3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29596</v>
      </c>
      <c r="D29" s="1345"/>
      <c r="E29" s="1343"/>
      <c r="F29" s="1346"/>
      <c r="G29" s="1856"/>
      <c r="H29" s="380" t="s">
        <v>1033</v>
      </c>
      <c r="I29" s="381" t="s">
        <v>1480</v>
      </c>
      <c r="J29" s="382">
        <f ca="1">ROUND(J26/(1+F40)^F41,0)</f>
        <v>0</v>
      </c>
      <c r="K29" s="383" t="s">
        <v>1481</v>
      </c>
      <c r="L29" s="384"/>
      <c r="M29" s="385">
        <f ca="1">INDIRECT("'数据-取费表'!k"&amp;$G$1)</f>
        <v>98588.09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2169</v>
      </c>
      <c r="D30" s="1340" t="s">
        <v>1426</v>
      </c>
      <c r="E30" s="1341"/>
      <c r="F30" s="1297"/>
      <c r="G30" s="1853"/>
      <c r="H30" s="745"/>
      <c r="I30" s="746"/>
      <c r="J30" s="747"/>
      <c r="K30" s="748"/>
      <c r="L30" s="749"/>
      <c r="M30" s="750"/>
    </row>
    <row r="31" spans="1:37" ht="18" customHeight="1">
      <c r="A31" s="1204" t="s">
        <v>1035</v>
      </c>
      <c r="B31" s="347" t="s">
        <v>1430</v>
      </c>
      <c r="C31" s="24">
        <f ca="1">ROUND(IF(项目基本情况!B11="自然人",C5*F31,C32+C33+C34),1)</f>
        <v>1522.4</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IF(项目基本情况!B11="自然人","——",ROUND(C5*F32/(1+'数据-取费表'!C42),2))</f>
        <v>432.43</v>
      </c>
      <c r="D32" s="1800" t="s">
        <v>1435</v>
      </c>
      <c r="E32" s="347" t="s">
        <v>1423</v>
      </c>
      <c r="F32" s="377">
        <f>'数据-取费表'!B41</f>
        <v>5.6000000000000001E-2</v>
      </c>
      <c r="G32" s="1853"/>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972.96</v>
      </c>
      <c r="D33" s="1830" t="s">
        <v>3076</v>
      </c>
      <c r="E33" s="347" t="s">
        <v>1423</v>
      </c>
      <c r="F33" s="367">
        <f>IF(D33="按票据","——",IF(D33="按租金收入计税",'数据-取费表'!B51,'数据-取费表'!B50))</f>
        <v>0.12</v>
      </c>
      <c r="G33" s="1853"/>
      <c r="H33" s="1861"/>
      <c r="I33" s="1862"/>
      <c r="J33" s="1863"/>
      <c r="K33" s="1864"/>
      <c r="L33" s="1861"/>
      <c r="M33" s="1861"/>
    </row>
    <row r="34" spans="1:18" ht="18" customHeight="1">
      <c r="A34" s="1294" t="s">
        <v>1389</v>
      </c>
      <c r="B34" s="164" t="s">
        <v>1442</v>
      </c>
      <c r="C34" s="25">
        <f ca="1">IF(项目基本情况!B11="自然人","——",ROUND(F34*F35/10000,2))</f>
        <v>117.05</v>
      </c>
      <c r="D34" s="370" t="s">
        <v>1443</v>
      </c>
      <c r="E34" s="347" t="s">
        <v>1444</v>
      </c>
      <c r="F34" s="371">
        <f>'数据-取费表'!B52</f>
        <v>7</v>
      </c>
      <c r="G34" s="1853"/>
      <c r="H34" s="745"/>
      <c r="I34" s="1862"/>
      <c r="J34" s="1863"/>
      <c r="K34" s="1865"/>
      <c r="L34" s="1866"/>
      <c r="M34" s="1866"/>
    </row>
    <row r="35" spans="1:18" ht="18" customHeight="1">
      <c r="A35" s="1356"/>
      <c r="B35" s="1354"/>
      <c r="C35" s="29"/>
      <c r="D35" s="373"/>
      <c r="E35" s="347" t="s">
        <v>1448</v>
      </c>
      <c r="F35" s="348">
        <f ca="1">INDIRECT("'数据-取费表'!r"&amp;$G$1)</f>
        <v>167219.71</v>
      </c>
      <c r="G35" s="1853"/>
      <c r="H35" s="745"/>
      <c r="I35" s="1862"/>
      <c r="J35" s="1863"/>
      <c r="K35" s="1864"/>
      <c r="L35" s="1861"/>
      <c r="M35" s="1861"/>
    </row>
    <row r="36" spans="1:18" ht="18" customHeight="1">
      <c r="A36" s="1355" t="s">
        <v>1039</v>
      </c>
      <c r="B36" s="347" t="s">
        <v>1450</v>
      </c>
      <c r="C36" s="24">
        <f ca="1">ROUND(C29*F36,1)</f>
        <v>443.9</v>
      </c>
      <c r="D36" s="1800" t="s">
        <v>1483</v>
      </c>
      <c r="E36" s="347" t="s">
        <v>1423</v>
      </c>
      <c r="F36" s="374">
        <f ca="1">INDIRECT("'数据-取费表'!Ak"&amp;$G$1)</f>
        <v>1.4999999999999999E-2</v>
      </c>
      <c r="G36" s="1853"/>
      <c r="H36" s="1861"/>
      <c r="I36" s="1862"/>
      <c r="J36" s="1863"/>
      <c r="K36" s="751"/>
      <c r="L36" s="1861"/>
      <c r="M36" s="1861"/>
    </row>
    <row r="37" spans="1:18" ht="18" customHeight="1">
      <c r="A37" s="1204" t="s">
        <v>1075</v>
      </c>
      <c r="B37" s="347" t="s">
        <v>1454</v>
      </c>
      <c r="C37" s="24">
        <f ca="1">ROUND(C13*F37,1)</f>
        <v>40</v>
      </c>
      <c r="D37" s="1800" t="s">
        <v>1455</v>
      </c>
      <c r="E37" s="347" t="s">
        <v>1456</v>
      </c>
      <c r="F37" s="376">
        <f ca="1">INDIRECT("'数据-取费表'!Al"&amp;$G$1)</f>
        <v>1.5E-3</v>
      </c>
      <c r="G37" s="1853"/>
      <c r="H37" s="1861"/>
      <c r="I37" s="1862"/>
      <c r="J37" s="1863"/>
      <c r="K37" s="751"/>
      <c r="L37" s="1861"/>
      <c r="M37" s="1861"/>
    </row>
    <row r="38" spans="1:18" ht="18" customHeight="1" thickBot="1">
      <c r="A38" s="1342" t="s">
        <v>1393</v>
      </c>
      <c r="B38" s="1343" t="s">
        <v>1440</v>
      </c>
      <c r="C38" s="1344">
        <f ca="1">ROUND(C5*F38,1)</f>
        <v>162.19999999999999</v>
      </c>
      <c r="D38" s="1345" t="s">
        <v>1460</v>
      </c>
      <c r="E38" s="1343" t="s">
        <v>1456</v>
      </c>
      <c r="F38" s="1339">
        <f ca="1">INDIRECT("'数据-取费表'!Am"&amp;$G$1)</f>
        <v>0.02</v>
      </c>
      <c r="G38" s="1853"/>
      <c r="H38" s="1861"/>
      <c r="I38" s="1862"/>
      <c r="J38" s="1863"/>
      <c r="K38" s="1867"/>
      <c r="L38" s="1861"/>
      <c r="M38" s="1861"/>
    </row>
    <row r="39" spans="1:18" ht="24.6" customHeight="1" thickTop="1">
      <c r="A39" s="1332" t="s">
        <v>1031</v>
      </c>
      <c r="B39" s="1347" t="s">
        <v>1484</v>
      </c>
      <c r="C39" s="355">
        <f ca="1">C5-C30</f>
        <v>5939</v>
      </c>
      <c r="D39" s="1348" t="s">
        <v>1485</v>
      </c>
      <c r="E39" s="1349"/>
      <c r="F39" s="1350"/>
      <c r="G39" s="1853"/>
      <c r="H39" s="1861"/>
      <c r="I39" s="1862"/>
      <c r="J39" s="1863"/>
      <c r="K39" s="1867"/>
      <c r="L39" s="1861"/>
      <c r="M39" s="1861"/>
    </row>
    <row r="40" spans="1:18" ht="18" customHeight="1">
      <c r="A40" s="344" t="s">
        <v>1032</v>
      </c>
      <c r="B40" s="345" t="s">
        <v>1486</v>
      </c>
      <c r="C40" s="346">
        <f ca="1">ROUND(C39*(1-((1+F42)/(1+F40))^F41)/(F40-F42),0)</f>
        <v>133795</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31.14</v>
      </c>
      <c r="G41" s="1853"/>
      <c r="H41" s="732"/>
      <c r="I41" s="1862"/>
      <c r="J41" s="1863"/>
      <c r="K41" s="751"/>
      <c r="L41" s="732"/>
      <c r="M41" s="732"/>
    </row>
    <row r="42" spans="1:18" ht="18" customHeight="1">
      <c r="A42" s="353"/>
      <c r="B42" s="354"/>
      <c r="C42" s="355"/>
      <c r="D42" s="373"/>
      <c r="E42" s="347" t="s">
        <v>1478</v>
      </c>
      <c r="F42" s="357">
        <f ca="1">INDIRECT("'数据-取费表'!v"&amp;$G$1)</f>
        <v>0.03</v>
      </c>
      <c r="G42" s="1853"/>
      <c r="H42" s="732"/>
      <c r="I42" s="1862"/>
      <c r="J42" s="1863"/>
      <c r="K42" s="751"/>
      <c r="L42" s="732"/>
      <c r="M42" s="732"/>
    </row>
    <row r="43" spans="1:18" ht="18" customHeight="1" thickBot="1">
      <c r="A43" s="380" t="s">
        <v>1033</v>
      </c>
      <c r="B43" s="381" t="s">
        <v>1488</v>
      </c>
      <c r="C43" s="382">
        <f ca="1">ROUND(C40*10000/F43,0)</f>
        <v>13571</v>
      </c>
      <c r="D43" s="383" t="s">
        <v>1489</v>
      </c>
      <c r="E43" s="384" t="s">
        <v>1490</v>
      </c>
      <c r="F43" s="385">
        <f ca="1">INDIRECT("'数据-取费表'!k"&amp;$G$1)</f>
        <v>98588.09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-182023</v>
      </c>
      <c r="D46" s="1874" t="str">
        <f>C2</f>
        <v>万元</v>
      </c>
      <c r="E46" s="1868"/>
      <c r="F46" s="1868"/>
      <c r="I46" s="1875" t="s">
        <v>1522</v>
      </c>
      <c r="J46" s="1876"/>
      <c r="K46" s="1877"/>
      <c r="L46" s="1878">
        <f ca="1">IF(M47="住宅",0,IF(L48&gt;J51,L60,J60))</f>
        <v>906</v>
      </c>
      <c r="O46" s="1879" t="s">
        <v>1523</v>
      </c>
      <c r="P46" s="1880" t="s">
        <v>1524</v>
      </c>
      <c r="Q46" s="1881" t="s">
        <v>1525</v>
      </c>
      <c r="R46" s="1881" t="s">
        <v>1526</v>
      </c>
    </row>
    <row r="47" spans="1:18" s="1844" customFormat="1" ht="13.5" thickBot="1">
      <c r="A47" s="1168" t="s">
        <v>1396</v>
      </c>
      <c r="B47" s="1200" t="s">
        <v>1397</v>
      </c>
      <c r="C47" s="1370" t="s">
        <v>1398</v>
      </c>
      <c r="D47" s="1200" t="s">
        <v>1399</v>
      </c>
      <c r="E47" s="1282" t="s">
        <v>1400</v>
      </c>
      <c r="F47" s="1283"/>
      <c r="G47" s="792"/>
      <c r="I47" s="1882" t="s">
        <v>1527</v>
      </c>
      <c r="J47" s="1883" t="s">
        <v>3071</v>
      </c>
      <c r="K47" s="1884" t="s">
        <v>1528</v>
      </c>
      <c r="L47" s="1885">
        <f ca="1">INDIRECT("'数据-取费表'!d"&amp;$G$1)</f>
        <v>40</v>
      </c>
      <c r="M47" s="1840" t="str">
        <f>IF(ISNUMBER(FIND("住宅",C1)),"住宅","非住宅")</f>
        <v>非住宅</v>
      </c>
      <c r="O47" s="1886" t="s">
        <v>1040</v>
      </c>
      <c r="P47" s="1887" t="s">
        <v>1529</v>
      </c>
      <c r="Q47" s="1888">
        <f ca="1">C40+J29</f>
        <v>133795</v>
      </c>
      <c r="R47" s="1888" t="s">
        <v>1530</v>
      </c>
    </row>
    <row r="48" spans="1:18" s="1844" customFormat="1" ht="28.5" thickBot="1">
      <c r="A48" s="1363" t="s">
        <v>1135</v>
      </c>
      <c r="B48" s="345" t="s">
        <v>1401</v>
      </c>
      <c r="C48" s="1819">
        <f ca="1">C49+C53+C55</f>
        <v>0</v>
      </c>
      <c r="D48" s="1365"/>
      <c r="E48" s="1366"/>
      <c r="F48" s="1184"/>
      <c r="G48" s="792"/>
      <c r="H48" s="793"/>
      <c r="I48" s="1889" t="s">
        <v>1531</v>
      </c>
      <c r="J48" s="1890" t="s">
        <v>3072</v>
      </c>
      <c r="K48" s="1891" t="s">
        <v>1532</v>
      </c>
      <c r="L48" s="1892">
        <f ca="1">INDIRECT("'数据-取费表'!f"&amp;$G$1)</f>
        <v>31.14</v>
      </c>
      <c r="O48" s="1886" t="s">
        <v>1041</v>
      </c>
      <c r="P48" s="1887" t="s">
        <v>1533</v>
      </c>
      <c r="Q48" s="1888">
        <f ca="1">J60</f>
        <v>906</v>
      </c>
      <c r="R48" s="1888" t="s">
        <v>1534</v>
      </c>
    </row>
    <row r="49" spans="1:18" s="1844" customFormat="1" ht="13.5" thickBot="1">
      <c r="A49" s="1197" t="s">
        <v>1136</v>
      </c>
      <c r="B49" s="1831" t="s">
        <v>1491</v>
      </c>
      <c r="C49" s="1367">
        <f ca="1">ROUND(F49*F51*F50*(1-F52)/10000,0)</f>
        <v>0</v>
      </c>
      <c r="D49" s="1279" t="s">
        <v>3036</v>
      </c>
      <c r="E49" s="1832" t="s">
        <v>1492</v>
      </c>
      <c r="F49" s="1284"/>
      <c r="G49" s="1893"/>
      <c r="H49" s="793"/>
      <c r="I49" s="1889" t="s">
        <v>1535</v>
      </c>
      <c r="J49" s="1894">
        <v>2016</v>
      </c>
      <c r="K49" s="1891" t="s">
        <v>1536</v>
      </c>
      <c r="L49" s="1895"/>
      <c r="O49" s="1896" t="s">
        <v>1042</v>
      </c>
      <c r="P49" s="1887" t="s">
        <v>1537</v>
      </c>
      <c r="Q49" s="1888">
        <f ca="1">C29</f>
        <v>29596</v>
      </c>
      <c r="R49" s="1888" t="s">
        <v>1530</v>
      </c>
    </row>
    <row r="50" spans="1:18" s="1844" customFormat="1" ht="13.5" thickBot="1">
      <c r="A50" s="1198"/>
      <c r="B50" s="1201"/>
      <c r="C50" s="1371"/>
      <c r="D50" s="1175"/>
      <c r="E50" s="1280" t="s">
        <v>1406</v>
      </c>
      <c r="F50" s="1281">
        <f ca="1">F7</f>
        <v>98588.09</v>
      </c>
      <c r="H50" s="793"/>
      <c r="I50" s="1889" t="s">
        <v>1538</v>
      </c>
      <c r="J50" s="1897">
        <f>SUMPRODUCT((I63:I65=J47)*(J62:L62=J48)*(J63:L65))</f>
        <v>60</v>
      </c>
      <c r="K50" s="1891" t="s">
        <v>1539</v>
      </c>
      <c r="L50" s="1895"/>
      <c r="M50" s="1898"/>
      <c r="O50" s="1896" t="s">
        <v>1043</v>
      </c>
      <c r="P50" s="1887" t="s">
        <v>1540</v>
      </c>
      <c r="Q50" s="1899">
        <f ca="1">J58</f>
        <v>0.44800000000000001</v>
      </c>
      <c r="R50" s="1888"/>
    </row>
    <row r="51" spans="1:18" s="1844" customFormat="1" ht="13.5" thickBot="1">
      <c r="A51" s="1199"/>
      <c r="B51" s="1201"/>
      <c r="C51" s="1202"/>
      <c r="D51" s="1175"/>
      <c r="E51" s="1203" t="s">
        <v>1407</v>
      </c>
      <c r="F51" s="348">
        <f ca="1">F8</f>
        <v>365</v>
      </c>
      <c r="I51" s="1900" t="s">
        <v>1541</v>
      </c>
      <c r="J51" s="1901">
        <f>IF(J49="",J50,J49+J50-YEAR('数据-取费表'!B2))</f>
        <v>58</v>
      </c>
      <c r="K51" s="1902" t="s">
        <v>1542</v>
      </c>
      <c r="L51" s="1903">
        <f ca="1">ROUND(-PV(INDIRECT("'数据-取费表'!h"&amp;$G$1),L48,(C39-C13*C76),0),0)</f>
        <v>60928</v>
      </c>
      <c r="M51" s="1904"/>
      <c r="O51" s="1896" t="s">
        <v>1044</v>
      </c>
      <c r="P51" s="1887" t="s">
        <v>1543</v>
      </c>
      <c r="Q51" s="1899">
        <f>J52</f>
        <v>9.0000000000000011E-2</v>
      </c>
      <c r="R51" s="1888"/>
    </row>
    <row r="52" spans="1:18" s="1844" customFormat="1" ht="13.5" thickBot="1">
      <c r="A52" s="1199"/>
      <c r="B52" s="1201"/>
      <c r="C52" s="1202"/>
      <c r="D52" s="1175"/>
      <c r="E52" s="1203" t="s">
        <v>1408</v>
      </c>
      <c r="F52" s="1278"/>
      <c r="I52" s="1905" t="s">
        <v>1544</v>
      </c>
      <c r="J52" s="1906">
        <f>'数据-取费表'!J6+0.005</f>
        <v>9.0000000000000011E-2</v>
      </c>
      <c r="K52" s="1905" t="s">
        <v>1545</v>
      </c>
      <c r="L52" s="1906"/>
      <c r="O52" s="1896" t="s">
        <v>1045</v>
      </c>
      <c r="P52" s="1887" t="s">
        <v>1546</v>
      </c>
      <c r="Q52" s="1888">
        <f ca="1">J53</f>
        <v>31.14</v>
      </c>
      <c r="R52" s="1888" t="s">
        <v>1547</v>
      </c>
    </row>
    <row r="53" spans="1:18" s="1844" customFormat="1" ht="24.75" thickBot="1">
      <c r="A53" s="1408" t="s">
        <v>1137</v>
      </c>
      <c r="B53" s="1833" t="s">
        <v>1409</v>
      </c>
      <c r="C53" s="361">
        <f ca="1">ROUND(IF(F53="押一",F49*F51*F50/12*F11,IF(F53="押二",F49*F51*F50/12*2*F11,IF(F53="押三",F49*F51*F50/12*3*F11,C54*F11)))/10000,0)</f>
        <v>0</v>
      </c>
      <c r="D53" s="1826" t="s">
        <v>3034</v>
      </c>
      <c r="E53" s="358" t="s">
        <v>1411</v>
      </c>
      <c r="F53" s="1369"/>
      <c r="I53" s="1907" t="s">
        <v>1548</v>
      </c>
      <c r="J53" s="1908">
        <f ca="1">IF(M47="住宅",J51,IF(D1="——",MIN(J51,L48),IF(D1="在建（套用方法）",MIN(J51,L48-'数据-取费表'!B24),IF(D1="土地（套用方法）",MIN(J51,L48-'数据-取费表'!B20)))))</f>
        <v>31.14</v>
      </c>
      <c r="K53" s="3220" t="s">
        <v>1549</v>
      </c>
      <c r="L53" s="3221"/>
      <c r="O53" s="1886" t="s">
        <v>1046</v>
      </c>
      <c r="P53" s="1887" t="s">
        <v>1550</v>
      </c>
      <c r="Q53" s="1888">
        <f ca="1">Q47+Q48</f>
        <v>134701</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6" t="s">
        <v>1075</v>
      </c>
      <c r="B55" s="1829" t="s">
        <v>1414</v>
      </c>
      <c r="C55" s="1337"/>
      <c r="D55" s="1826"/>
      <c r="E55" s="1834"/>
      <c r="F55" s="1909"/>
      <c r="I55" s="1912" t="s">
        <v>1552</v>
      </c>
      <c r="J55" s="1913">
        <f ca="1">ROUND(IF(J47="钢混",J57/J50,1-(1-2%)*(J50-J57)/J50),3)</f>
        <v>0.44800000000000001</v>
      </c>
      <c r="K55" s="1914" t="s">
        <v>1553</v>
      </c>
      <c r="L55" s="1915" t="s">
        <v>1554</v>
      </c>
      <c r="O55" s="1879" t="s">
        <v>1523</v>
      </c>
      <c r="P55" s="1880" t="s">
        <v>1524</v>
      </c>
      <c r="Q55" s="1881" t="s">
        <v>1525</v>
      </c>
      <c r="R55" s="1881" t="s">
        <v>1526</v>
      </c>
    </row>
    <row r="56" spans="1:18" s="1844" customFormat="1" ht="25.5" thickTop="1" thickBot="1">
      <c r="A56" s="1179">
        <v>2</v>
      </c>
      <c r="B56" s="1180" t="s">
        <v>1415</v>
      </c>
      <c r="C56" s="276">
        <f ca="1">C13</f>
        <v>26636</v>
      </c>
      <c r="D56" s="1916"/>
      <c r="E56" s="1917"/>
      <c r="F56" s="1909"/>
      <c r="I56" s="1918" t="s">
        <v>1555</v>
      </c>
      <c r="J56" s="1919" t="s">
        <v>3073</v>
      </c>
      <c r="K56" s="1889" t="s">
        <v>1556</v>
      </c>
      <c r="L56" s="1892" t="str">
        <f ca="1">IF(L48&lt;J51,"——",L48-J53)</f>
        <v>——</v>
      </c>
      <c r="O56" s="1886" t="s">
        <v>1040</v>
      </c>
      <c r="P56" s="1887" t="s">
        <v>1529</v>
      </c>
      <c r="Q56" s="1888">
        <f ca="1">C40+J29</f>
        <v>133795</v>
      </c>
      <c r="R56" s="1888" t="s">
        <v>1530</v>
      </c>
    </row>
    <row r="57" spans="1:18" s="1844" customFormat="1" ht="24.75" thickBot="1">
      <c r="A57" s="1920"/>
      <c r="B57" s="1172" t="s">
        <v>1479</v>
      </c>
      <c r="C57" s="282">
        <f ca="1">C29</f>
        <v>29596</v>
      </c>
      <c r="D57" s="1921"/>
      <c r="E57" s="1922"/>
      <c r="F57" s="1923"/>
      <c r="I57" s="1924" t="s">
        <v>1557</v>
      </c>
      <c r="J57" s="1925">
        <f ca="1">IF(OR(M47="住宅",J51&lt;L48,J56="是"),"——",J51-L48)</f>
        <v>26.86</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80" t="s">
        <v>1425</v>
      </c>
      <c r="C58" s="361">
        <f ca="1">ROUND(C59+C64+C65+C66,0)</f>
        <v>3087</v>
      </c>
      <c r="D58" s="1182" t="s">
        <v>1426</v>
      </c>
      <c r="E58" s="1183"/>
      <c r="F58" s="1184"/>
      <c r="I58" s="1924" t="s">
        <v>1561</v>
      </c>
      <c r="J58" s="1926">
        <f ca="1">IF(J55&lt;0.4,0.4,J55)</f>
        <v>0.44800000000000001</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ROUND(IF(项目基本情况!B11="自然人",C48*F59,C60+C61+C62),1)</f>
        <v>2603.1</v>
      </c>
      <c r="D59" s="1185" t="s">
        <v>1431</v>
      </c>
      <c r="E59" s="1186" t="s">
        <v>1432</v>
      </c>
      <c r="F59" s="368" t="str">
        <f ca="1">IF(项目基本情况!B11="企业","",IF(INDIRECT("'数据-取费表'!c"&amp;$G$1)="住宅",5%,IF(F49*F50*F51/12/(1+'数据-取费表'!C42)&gt;20000,12%,7%)))</f>
        <v/>
      </c>
      <c r="I59" s="1924" t="s">
        <v>1564</v>
      </c>
      <c r="J59" s="1925">
        <f ca="1">IF(OR(M47="住宅",J51&lt;L48,J56="是"),"——",ROUND(C29*J58,0))</f>
        <v>13259</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7" t="s">
        <v>1566</v>
      </c>
      <c r="J60" s="1928">
        <f ca="1">IF(OR(M47="住宅",J51&lt;L48,J56="是"),"0",ROUND(J59/(1+J52)^J53,0))</f>
        <v>906</v>
      </c>
      <c r="K60" s="1929" t="s">
        <v>1567</v>
      </c>
      <c r="L60" s="1928">
        <f ca="1">IF(OR(M47="住宅",L48&lt;J51),0,ROUND(L57*(L58/L59-1),0))</f>
        <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IF(项目基本情况!B11="自然人","——",IF(D61="按租金收入计税",ROUND(C48*F61,2),IF(D61="按房产原值计税",ROUND(C57*F61*0.7,2),INDIRECT("'数据-取费表'!Aj"&amp;$G$1))))</f>
        <v>2486.06</v>
      </c>
      <c r="D61" s="1830" t="s">
        <v>1439</v>
      </c>
      <c r="E61" s="1172" t="s">
        <v>1495</v>
      </c>
      <c r="F61" s="367">
        <f t="shared" si="0"/>
        <v>0.12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4" t="s">
        <v>1496</v>
      </c>
      <c r="B62" s="1171" t="s">
        <v>1497</v>
      </c>
      <c r="C62" s="25">
        <f ca="1">IF(项目基本情况!B11="自然人","——",ROUND(F62*F63/10000,2))</f>
        <v>117.05</v>
      </c>
      <c r="D62" s="1187" t="s">
        <v>1498</v>
      </c>
      <c r="E62" s="1172" t="s">
        <v>1499</v>
      </c>
      <c r="F62" s="371">
        <f t="shared" si="0"/>
        <v>7</v>
      </c>
      <c r="I62" s="1931" t="s">
        <v>1571</v>
      </c>
      <c r="J62" s="1932" t="s">
        <v>1572</v>
      </c>
      <c r="K62" s="1932" t="s">
        <v>1573</v>
      </c>
      <c r="L62" s="1932" t="s">
        <v>1574</v>
      </c>
      <c r="M62" s="1933" t="s">
        <v>1575</v>
      </c>
      <c r="O62" s="1886" t="s">
        <v>1046</v>
      </c>
      <c r="P62" s="1887" t="s">
        <v>1576</v>
      </c>
      <c r="Q62" s="1888">
        <f ca="1">Q56+Q57</f>
        <v>133795</v>
      </c>
      <c r="R62" s="1888" t="s">
        <v>1047</v>
      </c>
    </row>
    <row r="63" spans="1:18" s="1844" customFormat="1" ht="13.5" thickBot="1">
      <c r="A63" s="372"/>
      <c r="B63" s="1178"/>
      <c r="C63" s="29"/>
      <c r="D63" s="1188"/>
      <c r="E63" s="1172" t="s">
        <v>1500</v>
      </c>
      <c r="F63" s="348">
        <f t="shared" ca="1" si="0"/>
        <v>167219.71</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ROUND(C57*F64,1)</f>
        <v>443.9</v>
      </c>
      <c r="D64" s="1186" t="s">
        <v>1503</v>
      </c>
      <c r="E64" s="1172"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ROUND(C56*F65,1)</f>
        <v>40</v>
      </c>
      <c r="D65" s="1186" t="s">
        <v>1455</v>
      </c>
      <c r="E65" s="1172" t="s">
        <v>1456</v>
      </c>
      <c r="F65" s="376">
        <f t="shared" ca="1" si="0"/>
        <v>1.5E-3</v>
      </c>
      <c r="I65" s="1931" t="s">
        <v>1580</v>
      </c>
      <c r="J65" s="1932">
        <v>40</v>
      </c>
      <c r="K65" s="1932">
        <v>30</v>
      </c>
      <c r="L65" s="1932">
        <v>50</v>
      </c>
      <c r="M65" s="1934">
        <v>0.02</v>
      </c>
      <c r="O65" s="1886" t="s">
        <v>1040</v>
      </c>
      <c r="P65" s="1887" t="s">
        <v>1581</v>
      </c>
      <c r="Q65" s="1888">
        <f ca="1">C40+J29</f>
        <v>133795</v>
      </c>
      <c r="R65" s="1888" t="s">
        <v>1530</v>
      </c>
    </row>
    <row r="66" spans="1:18" s="1844" customFormat="1" ht="16.5" thickBot="1">
      <c r="A66" s="1204" t="s">
        <v>1505</v>
      </c>
      <c r="B66" s="1172" t="s">
        <v>1440</v>
      </c>
      <c r="C66" s="24">
        <f ca="1">ROUND(C48*F66,1)</f>
        <v>0</v>
      </c>
      <c r="D66" s="1186" t="s">
        <v>1506</v>
      </c>
      <c r="E66" s="1172" t="s">
        <v>1423</v>
      </c>
      <c r="F66" s="357">
        <f t="shared" ca="1" si="0"/>
        <v>0.02</v>
      </c>
      <c r="O66" s="1886" t="s">
        <v>1041</v>
      </c>
      <c r="P66" s="1887" t="s">
        <v>1559</v>
      </c>
      <c r="Q66" s="1888">
        <f ca="1">L60</f>
        <v>0</v>
      </c>
      <c r="R66" s="1888" t="s">
        <v>1582</v>
      </c>
    </row>
    <row r="67" spans="1:18" s="1844" customFormat="1" ht="16.5" thickBot="1">
      <c r="A67" s="1179" t="s">
        <v>1031</v>
      </c>
      <c r="B67" s="1189" t="s">
        <v>1464</v>
      </c>
      <c r="C67" s="361">
        <f ca="1">C48-C58</f>
        <v>-3087</v>
      </c>
      <c r="D67" s="1185" t="s">
        <v>1465</v>
      </c>
      <c r="E67" s="1190"/>
      <c r="F67" s="1191"/>
      <c r="O67" s="1896" t="s">
        <v>1042</v>
      </c>
      <c r="P67" s="1887" t="s">
        <v>1563</v>
      </c>
      <c r="Q67" s="1935">
        <f ca="1">L51</f>
        <v>60928</v>
      </c>
      <c r="R67" s="1888" t="s">
        <v>1583</v>
      </c>
    </row>
    <row r="68" spans="1:18" s="1844" customFormat="1" ht="16.5" thickBot="1">
      <c r="A68" s="1169" t="s">
        <v>1032</v>
      </c>
      <c r="B68" s="1170" t="s">
        <v>1486</v>
      </c>
      <c r="C68" s="346">
        <f ca="1">ROUND(C67*(1-((1+F70)/(1+F68))^F69)/(F68-F70),0)</f>
        <v>-48228</v>
      </c>
      <c r="D68" s="1187" t="s">
        <v>1470</v>
      </c>
      <c r="E68" s="1172" t="s">
        <v>1471</v>
      </c>
      <c r="F68" s="357">
        <f ca="1">F40</f>
        <v>0.05</v>
      </c>
      <c r="O68" s="1896" t="s">
        <v>1043</v>
      </c>
      <c r="P68" s="1936" t="s">
        <v>1584</v>
      </c>
      <c r="Q68" s="1888">
        <f ca="1">ROUND(Q69-Q70*Q71,0)</f>
        <v>3675</v>
      </c>
      <c r="R68" s="1888" t="s">
        <v>1051</v>
      </c>
    </row>
    <row r="69" spans="1:18" s="1844" customFormat="1" ht="13.5" thickBot="1">
      <c r="A69" s="1173"/>
      <c r="B69" s="1174"/>
      <c r="C69" s="351"/>
      <c r="D69" s="1192" t="s">
        <v>1474</v>
      </c>
      <c r="E69" s="1172" t="s">
        <v>1475</v>
      </c>
      <c r="F69" s="379">
        <f ca="1">F41</f>
        <v>31.14</v>
      </c>
      <c r="O69" s="1896" t="s">
        <v>1048</v>
      </c>
      <c r="P69" s="1936" t="s">
        <v>1585</v>
      </c>
      <c r="Q69" s="1888">
        <f ca="1">C39</f>
        <v>5939</v>
      </c>
      <c r="R69" s="1888" t="s">
        <v>1530</v>
      </c>
    </row>
    <row r="70" spans="1:18" s="1844" customFormat="1" ht="13.5" thickBot="1">
      <c r="A70" s="1176"/>
      <c r="B70" s="1177"/>
      <c r="C70" s="355"/>
      <c r="D70" s="1188"/>
      <c r="E70" s="1172" t="s">
        <v>1478</v>
      </c>
      <c r="F70" s="1278"/>
      <c r="O70" s="1896" t="s">
        <v>1049</v>
      </c>
      <c r="P70" s="1936" t="s">
        <v>1586</v>
      </c>
      <c r="Q70" s="1888">
        <f ca="1">C13</f>
        <v>26636</v>
      </c>
      <c r="R70" s="1888" t="s">
        <v>1530</v>
      </c>
    </row>
    <row r="71" spans="1:18" s="1844" customFormat="1" ht="13.5" thickBot="1">
      <c r="A71" s="1193" t="s">
        <v>1033</v>
      </c>
      <c r="B71" s="1194" t="s">
        <v>1488</v>
      </c>
      <c r="C71" s="382">
        <f ca="1">ROUND(C68*10000/F71,0)</f>
        <v>-4892</v>
      </c>
      <c r="D71" s="1195" t="s">
        <v>1489</v>
      </c>
      <c r="E71" s="1196" t="s">
        <v>1490</v>
      </c>
      <c r="F71" s="385">
        <f ca="1">F43</f>
        <v>98588.09</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2264</v>
      </c>
      <c r="D75" s="1844"/>
      <c r="E75" s="1844"/>
      <c r="F75" s="1844"/>
      <c r="K75" s="1870"/>
      <c r="L75" s="1844"/>
      <c r="O75" s="1886" t="s">
        <v>1046</v>
      </c>
      <c r="P75" s="1887" t="s">
        <v>1550</v>
      </c>
      <c r="Q75" s="1888">
        <f ca="1">Q65+Q66</f>
        <v>133795</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0.61899999999999999</v>
      </c>
    </row>
    <row r="80" spans="1:18">
      <c r="B80" s="386" t="s">
        <v>1512</v>
      </c>
      <c r="C80" s="318">
        <f ca="1">ROUND(C75/C39,3)</f>
        <v>0.38100000000000001</v>
      </c>
    </row>
    <row r="81" spans="2:3">
      <c r="B81" s="314" t="s">
        <v>1513</v>
      </c>
      <c r="C81" s="282"/>
    </row>
    <row r="82" spans="2:3">
      <c r="B82" s="317" t="s">
        <v>1514</v>
      </c>
      <c r="C82" s="319">
        <f ca="1">1-C83</f>
        <v>0.80099999999999993</v>
      </c>
    </row>
    <row r="83" spans="2:3">
      <c r="B83" s="317" t="s">
        <v>1515</v>
      </c>
      <c r="C83" s="318">
        <f ca="1">ROUND(C13/C40,3)</f>
        <v>0.19900000000000001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5">
        <f ca="1">C6+C10+C12</f>
        <v>0</v>
      </c>
      <c r="D5" s="1824" t="s">
        <v>1602</v>
      </c>
      <c r="E5" s="1296"/>
      <c r="F5" s="1297"/>
      <c r="G5" s="1853"/>
      <c r="H5" s="344">
        <v>1</v>
      </c>
      <c r="I5" s="345" t="s">
        <v>1601</v>
      </c>
      <c r="J5" s="1295">
        <f ca="1">J6+J10+J12</f>
        <v>0</v>
      </c>
      <c r="K5" s="1824" t="s">
        <v>1602</v>
      </c>
      <c r="L5" s="1296"/>
      <c r="M5" s="1297"/>
    </row>
    <row r="6" spans="1:37" ht="18" customHeight="1">
      <c r="A6" s="1294" t="s">
        <v>1035</v>
      </c>
      <c r="B6" s="3222" t="s">
        <v>1403</v>
      </c>
      <c r="C6" s="1299">
        <f ca="1">ROUND(F6*F8*F7*(1-F9),0)</f>
        <v>0</v>
      </c>
      <c r="D6" s="164" t="s">
        <v>3028</v>
      </c>
      <c r="E6" s="347" t="s">
        <v>1405</v>
      </c>
      <c r="F6" s="348">
        <f ca="1">INDIRECT("'数据-取费表'!u"&amp;$G$1)</f>
        <v>0</v>
      </c>
      <c r="G6" s="1853"/>
      <c r="H6" s="1294" t="s">
        <v>1035</v>
      </c>
      <c r="I6" s="3222" t="s">
        <v>1403</v>
      </c>
      <c r="J6" s="346">
        <f ca="1">ROUND(M6*M8*M7*(1-M9),0)</f>
        <v>0</v>
      </c>
      <c r="K6" s="1836" t="s">
        <v>3031</v>
      </c>
      <c r="L6" s="347" t="s">
        <v>1405</v>
      </c>
      <c r="M6" s="348">
        <f ca="1">INDIRECT("'数据-取费表'!z"&amp;$G$1)</f>
        <v>0</v>
      </c>
    </row>
    <row r="7" spans="1:37" ht="18" customHeight="1">
      <c r="A7" s="1298"/>
      <c r="B7" s="3223"/>
      <c r="C7" s="1300"/>
      <c r="D7" s="352"/>
      <c r="E7" s="1301" t="s">
        <v>1406</v>
      </c>
      <c r="F7" s="348">
        <f ca="1">IF(INDIRECT("'数据-取费表'!ah"&amp;$G$1)="",INDIRECT("'数据-取费表'!k"&amp;$G$1),INDIRECT("'数据-取费表'!ah"&amp;$G$1))</f>
        <v>0</v>
      </c>
      <c r="G7" s="1853"/>
      <c r="H7" s="349"/>
      <c r="I7" s="3223"/>
      <c r="J7" s="351"/>
      <c r="K7" s="352"/>
      <c r="L7" s="347" t="s">
        <v>1406</v>
      </c>
      <c r="M7" s="348">
        <f ca="1">F7</f>
        <v>0</v>
      </c>
    </row>
    <row r="8" spans="1:37" ht="18" customHeight="1">
      <c r="A8" s="349"/>
      <c r="B8" s="3223"/>
      <c r="C8" s="351"/>
      <c r="D8" s="352"/>
      <c r="E8" s="347" t="s">
        <v>1407</v>
      </c>
      <c r="F8" s="348">
        <f ca="1">INDIRECT("'数据-取费表'!ai"&amp;$G$1)</f>
        <v>0</v>
      </c>
      <c r="G8" s="1853"/>
      <c r="H8" s="349"/>
      <c r="I8" s="3223"/>
      <c r="J8" s="351"/>
      <c r="K8" s="352"/>
      <c r="L8" s="347" t="s">
        <v>1407</v>
      </c>
      <c r="M8" s="348">
        <f ca="1">INDIRECT("'数据-取费表'!ai"&amp;$G$1)</f>
        <v>0</v>
      </c>
    </row>
    <row r="9" spans="1:37" ht="18" customHeight="1">
      <c r="A9" s="349"/>
      <c r="B9" s="3224"/>
      <c r="C9" s="351"/>
      <c r="D9" s="352"/>
      <c r="E9" s="347" t="s">
        <v>1408</v>
      </c>
      <c r="F9" s="357">
        <f ca="1">INDIRECT("'数据-取费表'!w"&amp;$G$1)</f>
        <v>0</v>
      </c>
      <c r="G9" s="1853"/>
      <c r="H9" s="349"/>
      <c r="I9" s="3224"/>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ROUND(IF(F10="押一",F6*F8*F7/12*F11,IF(F10="押二",F6*F8*F7/12*2*F11,IF(F10="押三",F6*F8*F7/12*3*F11,C11*F11))),0)</f>
        <v>0</v>
      </c>
      <c r="D10" s="1826" t="s">
        <v>3029</v>
      </c>
      <c r="E10" s="358" t="s">
        <v>1411</v>
      </c>
      <c r="F10" s="1369"/>
      <c r="G10" s="1853"/>
      <c r="H10" s="1294" t="s">
        <v>1039</v>
      </c>
      <c r="I10" s="1825" t="s">
        <v>1409</v>
      </c>
      <c r="J10" s="346">
        <f ca="1">ROUND(IF(M10="押一",M6*M8*M7/12*M11,IF(M10="押二",M6*M8*M7/12*2*M11,IF(M10="押三",M6*M8*M7/12*3*M11,J11*M11))),0)</f>
        <v>0</v>
      </c>
      <c r="K10" s="1837" t="s">
        <v>3030</v>
      </c>
      <c r="L10" s="358" t="s">
        <v>1411</v>
      </c>
      <c r="M10" s="1369"/>
    </row>
    <row r="11" spans="1:37" ht="18" customHeight="1">
      <c r="A11" s="353"/>
      <c r="B11" s="1827" t="s">
        <v>1603</v>
      </c>
      <c r="C11" s="1181"/>
      <c r="D11" s="352"/>
      <c r="E11" s="358" t="s">
        <v>1413</v>
      </c>
      <c r="F11" s="359">
        <f ca="1">'数据-取费表'!B39</f>
        <v>1.4999999999999999E-2</v>
      </c>
      <c r="G11" s="1853"/>
      <c r="H11" s="1302"/>
      <c r="I11" s="1827" t="s">
        <v>1604</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3"/>
      <c r="H13" s="1332">
        <v>2</v>
      </c>
      <c r="I13" s="1333" t="s">
        <v>1415</v>
      </c>
      <c r="J13" s="1293">
        <f ca="1">ROUND(J14*J15,0)</f>
        <v>0</v>
      </c>
      <c r="K13" s="1340" t="s">
        <v>1416</v>
      </c>
      <c r="L13" s="1854"/>
      <c r="M13" s="1855"/>
    </row>
    <row r="14" spans="1:37" ht="18" customHeight="1">
      <c r="A14" s="1204" t="s">
        <v>1034</v>
      </c>
      <c r="B14" s="347" t="s">
        <v>1418</v>
      </c>
      <c r="C14" s="363">
        <f ca="1">ROUND(INDIRECT("'数据-取费表'!l"&amp;$G$1)*F43+'数据-取费表'!L14*INDIRECT("'数据-取费表'!S"&amp;$G$1),0)</f>
        <v>0</v>
      </c>
      <c r="D14" s="1802" t="s">
        <v>1419</v>
      </c>
      <c r="E14" s="1796"/>
      <c r="F14" s="364"/>
      <c r="G14" s="1853"/>
      <c r="H14" s="1204" t="s">
        <v>1035</v>
      </c>
      <c r="I14" s="347" t="s">
        <v>1420</v>
      </c>
      <c r="J14" s="24">
        <f ca="1">C29</f>
        <v>0</v>
      </c>
      <c r="K14" s="15"/>
      <c r="L14" s="982"/>
      <c r="M14" s="983"/>
    </row>
    <row r="15" spans="1:37" s="1860" customFormat="1" ht="18" customHeight="1" thickBot="1">
      <c r="A15" s="1204" t="s">
        <v>1036</v>
      </c>
      <c r="B15" s="347" t="s">
        <v>1421</v>
      </c>
      <c r="C15" s="24">
        <f ca="1">ROUND(C14*F15,0)</f>
        <v>0</v>
      </c>
      <c r="D15" s="365" t="s">
        <v>1422</v>
      </c>
      <c r="E15" s="365" t="s">
        <v>1423</v>
      </c>
      <c r="F15" s="366">
        <f>'数据-取费表'!B33</f>
        <v>0.03</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3"/>
      <c r="H16" s="1332" t="s">
        <v>1030</v>
      </c>
      <c r="I16" s="1333" t="s">
        <v>1425</v>
      </c>
      <c r="J16" s="355">
        <f ca="1">ROUND(J17+J22+J23+J24,0)</f>
        <v>0</v>
      </c>
      <c r="K16" s="1340" t="s">
        <v>1426</v>
      </c>
      <c r="L16" s="1341"/>
      <c r="M16" s="1297"/>
    </row>
    <row r="17" spans="1:37" s="1860" customFormat="1" ht="18" customHeight="1">
      <c r="A17" s="1204" t="s">
        <v>1390</v>
      </c>
      <c r="B17" s="347" t="s">
        <v>1427</v>
      </c>
      <c r="C17" s="24">
        <f ca="1">ROUND(F17*(F43+INDIRECT("'数据-取费表'!S"&amp;$G$1)),0)</f>
        <v>0</v>
      </c>
      <c r="D17" s="347" t="s">
        <v>1428</v>
      </c>
      <c r="E17" s="347" t="s">
        <v>1429</v>
      </c>
      <c r="F17" s="26">
        <f>'数据-取费表'!B35</f>
        <v>200</v>
      </c>
      <c r="G17" s="1856"/>
      <c r="H17" s="1204"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0</v>
      </c>
      <c r="D18" s="347" t="s">
        <v>1422</v>
      </c>
      <c r="E18" s="347" t="s">
        <v>1423</v>
      </c>
      <c r="F18" s="367">
        <f>'数据-取费表'!B36</f>
        <v>1.4999999999999999E-2</v>
      </c>
      <c r="G18" s="1856"/>
      <c r="H18" s="1204" t="s">
        <v>1034</v>
      </c>
      <c r="I18" s="347" t="s">
        <v>1434</v>
      </c>
      <c r="J18" s="24">
        <f ca="1">ROUND(J5*M18/(1+'数据-取费表'!C42),0)</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0</v>
      </c>
      <c r="D19" s="140" t="s">
        <v>1437</v>
      </c>
      <c r="E19" s="1820"/>
      <c r="F19" s="26"/>
      <c r="G19" s="1853"/>
      <c r="H19" s="1204"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4" t="s">
        <v>1039</v>
      </c>
      <c r="B20" s="347" t="s">
        <v>1440</v>
      </c>
      <c r="C20" s="24">
        <f ca="1">ROUND(C19*F20,0)</f>
        <v>0</v>
      </c>
      <c r="D20" s="369" t="s">
        <v>1441</v>
      </c>
      <c r="E20" s="347" t="s">
        <v>1423</v>
      </c>
      <c r="F20" s="367">
        <f>'数据-取费表'!B37</f>
        <v>0.01</v>
      </c>
      <c r="G20" s="1856"/>
      <c r="H20" s="1204" t="s">
        <v>1389</v>
      </c>
      <c r="I20" s="164" t="s">
        <v>1442</v>
      </c>
      <c r="J20" s="25">
        <f ca="1">ROUND(M20*M21,0)</f>
        <v>0</v>
      </c>
      <c r="K20" s="370" t="s">
        <v>1443</v>
      </c>
      <c r="L20" s="347" t="s">
        <v>1444</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ROUND(J14*M22,0)</f>
        <v>0</v>
      </c>
      <c r="K22" s="1800" t="s">
        <v>1451</v>
      </c>
      <c r="L22" s="347" t="s">
        <v>1423</v>
      </c>
      <c r="M22" s="374">
        <f ca="1">INDIRECT("'数据-取费表'!Ak"&amp;$G$1)</f>
        <v>0</v>
      </c>
    </row>
    <row r="23" spans="1:37" s="1860"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6"/>
      <c r="H23" s="1204"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ROUND(J5*M24,0)</f>
        <v>0</v>
      </c>
      <c r="K24" s="1345" t="s">
        <v>1460</v>
      </c>
      <c r="L24" s="1343" t="s">
        <v>1456</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1461</v>
      </c>
      <c r="B25" s="347" t="s">
        <v>1462</v>
      </c>
      <c r="C25" s="24"/>
      <c r="D25" s="140" t="s">
        <v>1463</v>
      </c>
      <c r="E25" s="1820"/>
      <c r="F25" s="26"/>
      <c r="G25" s="1853"/>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0</v>
      </c>
      <c r="D29" s="1345"/>
      <c r="E29" s="1343"/>
      <c r="F29" s="1346"/>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0</v>
      </c>
      <c r="D30" s="1340" t="s">
        <v>1426</v>
      </c>
      <c r="E30" s="1341"/>
      <c r="F30" s="1297"/>
      <c r="G30" s="1853"/>
      <c r="H30" s="745"/>
      <c r="I30" s="746"/>
      <c r="J30" s="747"/>
      <c r="K30" s="748"/>
      <c r="L30" s="749"/>
      <c r="M30" s="750"/>
    </row>
    <row r="31" spans="1:37" ht="18" customHeight="1">
      <c r="A31" s="1204"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IF(项目基本情况!B11="自然人","——",ROUND(C5*F32/(1+'数据-取费表'!C42),0))</f>
        <v>0</v>
      </c>
      <c r="D32" s="1800" t="s">
        <v>1435</v>
      </c>
      <c r="E32" s="347" t="s">
        <v>1423</v>
      </c>
      <c r="F32" s="377">
        <f>'数据-取费表'!B41</f>
        <v>5.6000000000000001E-2</v>
      </c>
      <c r="G32" s="1853"/>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4" t="s">
        <v>1389</v>
      </c>
      <c r="B34" s="164" t="s">
        <v>1442</v>
      </c>
      <c r="C34" s="25">
        <f ca="1">IF(项目基本情况!B11="自然人","——",ROUND(F34*F35,))</f>
        <v>0</v>
      </c>
      <c r="D34" s="370" t="s">
        <v>1443</v>
      </c>
      <c r="E34" s="347" t="s">
        <v>1444</v>
      </c>
      <c r="F34" s="371">
        <f>'数据-取费表'!B52</f>
        <v>7</v>
      </c>
      <c r="G34" s="1853"/>
      <c r="H34" s="745"/>
      <c r="I34" s="1862"/>
      <c r="J34" s="1863"/>
      <c r="K34" s="1865"/>
      <c r="L34" s="1866"/>
      <c r="M34" s="1866"/>
    </row>
    <row r="35" spans="1:18" ht="18" customHeight="1">
      <c r="A35" s="1356"/>
      <c r="B35" s="1354"/>
      <c r="C35" s="29"/>
      <c r="D35" s="373"/>
      <c r="E35" s="347" t="s">
        <v>1448</v>
      </c>
      <c r="F35" s="348">
        <f ca="1">INDIRECT("'数据-取费表'!r"&amp;$G$1)</f>
        <v>0</v>
      </c>
      <c r="G35" s="1853"/>
      <c r="H35" s="745"/>
      <c r="I35" s="1862"/>
      <c r="J35" s="1863"/>
      <c r="K35" s="1864"/>
      <c r="L35" s="1861"/>
      <c r="M35" s="1861"/>
    </row>
    <row r="36" spans="1:18" ht="18" customHeight="1">
      <c r="A36" s="1355"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4"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2" t="s">
        <v>1393</v>
      </c>
      <c r="B38" s="1343" t="s">
        <v>1440</v>
      </c>
      <c r="C38" s="1344">
        <f ca="1">ROUND(C5*F38,1)</f>
        <v>0</v>
      </c>
      <c r="D38" s="1345" t="s">
        <v>1460</v>
      </c>
      <c r="E38" s="1343" t="s">
        <v>1456</v>
      </c>
      <c r="F38" s="1339">
        <f ca="1">INDIRECT("'数据-取费表'!Am"&amp;$G$1)</f>
        <v>0</v>
      </c>
      <c r="G38" s="1853"/>
      <c r="H38" s="1861"/>
      <c r="I38" s="1862"/>
      <c r="J38" s="1863"/>
      <c r="K38" s="1867"/>
      <c r="L38" s="1861"/>
      <c r="M38" s="1861"/>
    </row>
    <row r="39" spans="1:18" ht="24.6" customHeight="1" thickTop="1">
      <c r="A39" s="1332" t="s">
        <v>1031</v>
      </c>
      <c r="B39" s="1347" t="s">
        <v>1484</v>
      </c>
      <c r="C39" s="355">
        <f ca="1">C5-C30</f>
        <v>0</v>
      </c>
      <c r="D39" s="1348" t="s">
        <v>1485</v>
      </c>
      <c r="E39" s="1349"/>
      <c r="F39" s="1350"/>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8" t="s">
        <v>1396</v>
      </c>
      <c r="B47" s="1200" t="s">
        <v>1397</v>
      </c>
      <c r="C47" s="1200" t="s">
        <v>1398</v>
      </c>
      <c r="D47" s="1200" t="s">
        <v>1399</v>
      </c>
      <c r="E47" s="1282" t="s">
        <v>1400</v>
      </c>
      <c r="F47" s="1283"/>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3" t="s">
        <v>1135</v>
      </c>
      <c r="B48" s="345" t="s">
        <v>1401</v>
      </c>
      <c r="C48" s="1819">
        <f ca="1">C49+C53+C55</f>
        <v>0</v>
      </c>
      <c r="D48" s="1365"/>
      <c r="E48" s="1366"/>
      <c r="F48" s="1184"/>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7" t="s">
        <v>1136</v>
      </c>
      <c r="B49" s="1831" t="s">
        <v>1491</v>
      </c>
      <c r="C49" s="1367">
        <f ca="1">ROUND(F49*F51*F50*(1-F52),0)</f>
        <v>0</v>
      </c>
      <c r="D49" s="1279" t="s">
        <v>1404</v>
      </c>
      <c r="E49" s="1832" t="s">
        <v>1492</v>
      </c>
      <c r="F49" s="1284"/>
      <c r="G49" s="1893"/>
      <c r="H49" s="793"/>
      <c r="I49" s="1889" t="s">
        <v>1535</v>
      </c>
      <c r="J49" s="1894"/>
      <c r="K49" s="1891" t="s">
        <v>1536</v>
      </c>
      <c r="L49" s="1895"/>
      <c r="O49" s="1896" t="s">
        <v>1042</v>
      </c>
      <c r="P49" s="1887" t="s">
        <v>1537</v>
      </c>
      <c r="Q49" s="1888">
        <f ca="1">C29</f>
        <v>0</v>
      </c>
      <c r="R49" s="1888" t="s">
        <v>1530</v>
      </c>
    </row>
    <row r="50" spans="1:18" s="1844" customFormat="1" ht="13.5" thickBot="1">
      <c r="A50" s="1198"/>
      <c r="B50" s="1201"/>
      <c r="C50" s="1202"/>
      <c r="D50" s="1175"/>
      <c r="E50" s="1280" t="s">
        <v>1406</v>
      </c>
      <c r="F50" s="1281">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9"/>
      <c r="B51" s="1201"/>
      <c r="C51" s="1202"/>
      <c r="D51" s="1175"/>
      <c r="E51" s="1203"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9"/>
      <c r="B52" s="1201"/>
      <c r="C52" s="1202"/>
      <c r="D52" s="1175"/>
      <c r="E52" s="1203" t="s">
        <v>1408</v>
      </c>
      <c r="F52" s="1278"/>
      <c r="I52" s="1905" t="s">
        <v>1544</v>
      </c>
      <c r="J52" s="1906"/>
      <c r="K52" s="1905" t="s">
        <v>1545</v>
      </c>
      <c r="L52" s="1906"/>
      <c r="O52" s="1896" t="s">
        <v>1045</v>
      </c>
      <c r="P52" s="1887" t="s">
        <v>1546</v>
      </c>
      <c r="Q52" s="1888" t="b">
        <f>J53</f>
        <v>0</v>
      </c>
      <c r="R52" s="1888" t="s">
        <v>1547</v>
      </c>
    </row>
    <row r="53" spans="1:18" s="1844" customFormat="1" ht="30.75" customHeight="1" thickBot="1">
      <c r="A53" s="1364" t="s">
        <v>1137</v>
      </c>
      <c r="B53" s="369" t="s">
        <v>1409</v>
      </c>
      <c r="C53" s="361">
        <f ca="1">ROUND(IF(F53="押一",F49*F51*F50/12*F11,IF(F53="押二",F49*F51*F50/12*2*F11,IF(F53="押三",F49*F51*F50/12*3*F11,C54*F11))),0)</f>
        <v>0</v>
      </c>
      <c r="D53" s="1826" t="s">
        <v>1410</v>
      </c>
      <c r="E53" s="358" t="s">
        <v>1411</v>
      </c>
      <c r="F53" s="1369"/>
      <c r="I53" s="1907" t="s">
        <v>1548</v>
      </c>
      <c r="J53" s="1908" t="b">
        <f>IF(M47="住宅",J51,IF(D1="——",MIN(J51,L48),IF(D1="在建（套用方法）",MIN(J51,L48-'数据-取费表'!B24),IF(D1="土地（套用方法）",MIN(J51,L48-'数据-取费表'!B20)))))</f>
        <v>0</v>
      </c>
      <c r="K53" s="3220" t="s">
        <v>1549</v>
      </c>
      <c r="L53" s="3221"/>
      <c r="O53" s="1886" t="s">
        <v>1046</v>
      </c>
      <c r="P53" s="1887" t="s">
        <v>1550</v>
      </c>
      <c r="Q53" s="1888" t="e">
        <f ca="1">Q47+Q48</f>
        <v>#DIV/0!</v>
      </c>
      <c r="R53" s="1888" t="s">
        <v>1047</v>
      </c>
    </row>
    <row r="54" spans="1:18" s="1844" customFormat="1" ht="13.5" thickBot="1">
      <c r="A54" s="1197"/>
      <c r="B54" s="1943" t="s">
        <v>1604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6" t="s">
        <v>1075</v>
      </c>
      <c r="B55" s="1829" t="s">
        <v>1414</v>
      </c>
      <c r="C55" s="1337"/>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9">
        <v>2</v>
      </c>
      <c r="B56" s="1180"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2"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80" t="s">
        <v>1425</v>
      </c>
      <c r="C58" s="361">
        <f ca="1">ROUND(C59+C64+C65+C66,0)</f>
        <v>0</v>
      </c>
      <c r="D58" s="1182" t="s">
        <v>1426</v>
      </c>
      <c r="E58" s="1183"/>
      <c r="F58" s="1184"/>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IF(项目基本情况!B11="自然人","——",IF(D61="按租金收入计税",ROUND(C48*F61,0),IF(D61="按房产原值计税",ROUND(C57*F61*0.7,0),INDIRECT("'数据-取费表'!Aj"&amp;$G$1))))</f>
        <v>0</v>
      </c>
      <c r="D61" s="1830" t="s">
        <v>1439</v>
      </c>
      <c r="E61" s="1172"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4" t="s">
        <v>1496</v>
      </c>
      <c r="B62" s="1171" t="s">
        <v>1497</v>
      </c>
      <c r="C62" s="25">
        <f ca="1">IF(项目基本情况!B11="自然人","——",ROUND(F62*F63,0))</f>
        <v>0</v>
      </c>
      <c r="D62" s="1187" t="s">
        <v>1498</v>
      </c>
      <c r="E62" s="1172" t="s">
        <v>1499</v>
      </c>
      <c r="F62" s="371">
        <f t="shared" si="0"/>
        <v>7</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8"/>
      <c r="C63" s="29"/>
      <c r="D63" s="1188"/>
      <c r="E63" s="1172"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ROUND(C57*F64,0)</f>
        <v>0</v>
      </c>
      <c r="D64" s="1186" t="s">
        <v>1503</v>
      </c>
      <c r="E64" s="1172"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ROUND(C56*F65,0)</f>
        <v>0</v>
      </c>
      <c r="D65" s="1186" t="s">
        <v>1455</v>
      </c>
      <c r="E65" s="1172"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4" t="s">
        <v>1505</v>
      </c>
      <c r="B66" s="1172" t="s">
        <v>1440</v>
      </c>
      <c r="C66" s="24">
        <f ca="1">ROUND(C48*F66,0)</f>
        <v>0</v>
      </c>
      <c r="D66" s="1186" t="s">
        <v>1506</v>
      </c>
      <c r="E66" s="1172" t="s">
        <v>1423</v>
      </c>
      <c r="F66" s="357">
        <f t="shared" ca="1" si="0"/>
        <v>0</v>
      </c>
      <c r="O66" s="1886" t="s">
        <v>1041</v>
      </c>
      <c r="P66" s="1887" t="s">
        <v>1559</v>
      </c>
      <c r="Q66" s="1888" t="e">
        <f ca="1">L60</f>
        <v>#DIV/0!</v>
      </c>
      <c r="R66" s="1888" t="s">
        <v>1582</v>
      </c>
    </row>
    <row r="67" spans="1:18" s="1844" customFormat="1" ht="16.5" thickBot="1">
      <c r="A67" s="1179" t="s">
        <v>1031</v>
      </c>
      <c r="B67" s="1189" t="s">
        <v>1464</v>
      </c>
      <c r="C67" s="361">
        <f ca="1">C48-C58</f>
        <v>0</v>
      </c>
      <c r="D67" s="1185" t="s">
        <v>1465</v>
      </c>
      <c r="E67" s="1190"/>
      <c r="F67" s="1191"/>
      <c r="O67" s="1896" t="s">
        <v>1042</v>
      </c>
      <c r="P67" s="1887" t="s">
        <v>1563</v>
      </c>
      <c r="Q67" s="1935">
        <f ca="1">L51</f>
        <v>0</v>
      </c>
      <c r="R67" s="1888" t="s">
        <v>1583</v>
      </c>
    </row>
    <row r="68" spans="1:18" s="1844" customFormat="1" ht="16.5" thickBot="1">
      <c r="A68" s="1169" t="s">
        <v>1032</v>
      </c>
      <c r="B68" s="1170" t="s">
        <v>1486</v>
      </c>
      <c r="C68" s="346" t="e">
        <f ca="1">ROUND(C67*(1-((1+F70)/(1+F68))^F69)/(F68-F70),0)</f>
        <v>#DIV/0!</v>
      </c>
      <c r="D68" s="1187" t="s">
        <v>1470</v>
      </c>
      <c r="E68" s="1172" t="s">
        <v>1471</v>
      </c>
      <c r="F68" s="357">
        <f ca="1">F40</f>
        <v>0</v>
      </c>
      <c r="O68" s="1896" t="s">
        <v>1043</v>
      </c>
      <c r="P68" s="1936" t="s">
        <v>1584</v>
      </c>
      <c r="Q68" s="1888">
        <f ca="1">ROUND(Q69-Q70*Q71,0)</f>
        <v>0</v>
      </c>
      <c r="R68" s="1888" t="s">
        <v>1051</v>
      </c>
    </row>
    <row r="69" spans="1:18" s="1844" customFormat="1" ht="13.5" thickBot="1">
      <c r="A69" s="1173"/>
      <c r="B69" s="1174"/>
      <c r="C69" s="351"/>
      <c r="D69" s="1192" t="s">
        <v>1474</v>
      </c>
      <c r="E69" s="1172" t="s">
        <v>1475</v>
      </c>
      <c r="F69" s="379">
        <f ca="1">F41</f>
        <v>0</v>
      </c>
      <c r="O69" s="1896" t="s">
        <v>1048</v>
      </c>
      <c r="P69" s="1936" t="s">
        <v>1585</v>
      </c>
      <c r="Q69" s="1888">
        <f ca="1">C39</f>
        <v>0</v>
      </c>
      <c r="R69" s="1888" t="s">
        <v>1530</v>
      </c>
    </row>
    <row r="70" spans="1:18" s="1844" customFormat="1" ht="13.5" thickBot="1">
      <c r="A70" s="1176"/>
      <c r="B70" s="1177"/>
      <c r="C70" s="355"/>
      <c r="D70" s="1188"/>
      <c r="E70" s="1172" t="s">
        <v>1478</v>
      </c>
      <c r="F70" s="1278">
        <f ca="1">F42</f>
        <v>0</v>
      </c>
      <c r="O70" s="1896" t="s">
        <v>1049</v>
      </c>
      <c r="P70" s="1936" t="s">
        <v>1586</v>
      </c>
      <c r="Q70" s="1888">
        <f ca="1">C13</f>
        <v>0</v>
      </c>
      <c r="R70" s="1888" t="s">
        <v>1530</v>
      </c>
    </row>
    <row r="71" spans="1:18" s="1844" customFormat="1" ht="13.5" thickBot="1">
      <c r="A71" s="1193" t="s">
        <v>1033</v>
      </c>
      <c r="B71" s="1194" t="s">
        <v>1488</v>
      </c>
      <c r="C71" s="382" t="e">
        <f ca="1">ROUND(C68/F71,0)</f>
        <v>#DIV/0!</v>
      </c>
      <c r="D71" s="1195" t="s">
        <v>1489</v>
      </c>
      <c r="E71" s="1196"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8" sqref="D2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3067</v>
      </c>
      <c r="D1" s="1822" t="s">
        <v>70</v>
      </c>
      <c r="E1" s="1823" t="s">
        <v>1387</v>
      </c>
      <c r="F1" s="1286">
        <f ca="1">J53</f>
        <v>31.14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2977</v>
      </c>
      <c r="C2" s="1847" t="s">
        <v>1517</v>
      </c>
      <c r="D2" s="1847"/>
      <c r="E2" s="1848"/>
      <c r="F2" s="1849"/>
      <c r="G2" s="1850"/>
      <c r="H2" s="1842"/>
      <c r="I2" s="1842"/>
      <c r="J2" s="1842"/>
      <c r="K2" s="1843"/>
      <c r="L2" s="1842"/>
      <c r="M2" s="1842"/>
    </row>
    <row r="3" spans="1:37" ht="18" customHeight="1" thickBot="1">
      <c r="A3" s="1851" t="s">
        <v>1518</v>
      </c>
      <c r="B3" s="1852">
        <f ca="1">IF(ISERROR(B2*10000/F43),0,ROUND(B2*10000/F43,0))</f>
        <v>10031</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195</v>
      </c>
      <c r="D5" s="1824" t="s">
        <v>1402</v>
      </c>
      <c r="E5" s="1296"/>
      <c r="F5" s="1297"/>
      <c r="G5" s="1853"/>
      <c r="H5" s="344">
        <v>1</v>
      </c>
      <c r="I5" s="345" t="s">
        <v>1401</v>
      </c>
      <c r="J5" s="1295">
        <f ca="1">J6+J10+J12</f>
        <v>0</v>
      </c>
      <c r="K5" s="1824" t="s">
        <v>1402</v>
      </c>
      <c r="L5" s="1296"/>
      <c r="M5" s="1297"/>
    </row>
    <row r="6" spans="1:37" ht="18" customHeight="1">
      <c r="A6" s="1294" t="s">
        <v>1035</v>
      </c>
      <c r="B6" s="3222" t="s">
        <v>1403</v>
      </c>
      <c r="C6" s="1299">
        <f ca="1">ROUND(F6*F8*F7*(1-F9)/10000,0)</f>
        <v>195</v>
      </c>
      <c r="D6" s="164" t="s">
        <v>3033</v>
      </c>
      <c r="E6" s="347" t="s">
        <v>1405</v>
      </c>
      <c r="F6" s="348">
        <f ca="1">INDIRECT("'数据-取费表'!u"&amp;$G$1)</f>
        <v>2</v>
      </c>
      <c r="G6" s="1853"/>
      <c r="H6" s="1294" t="s">
        <v>1035</v>
      </c>
      <c r="I6" s="3222" t="s">
        <v>1403</v>
      </c>
      <c r="J6" s="346">
        <f ca="1">ROUND(M6*M8*M7*(1-M9)/10000,0)</f>
        <v>0</v>
      </c>
      <c r="K6" s="164" t="s">
        <v>3032</v>
      </c>
      <c r="L6" s="347" t="s">
        <v>1405</v>
      </c>
      <c r="M6" s="348">
        <f ca="1">INDIRECT("'数据-取费表'!z"&amp;$G$1)</f>
        <v>0</v>
      </c>
    </row>
    <row r="7" spans="1:37" ht="18" customHeight="1">
      <c r="A7" s="1298"/>
      <c r="B7" s="3223"/>
      <c r="C7" s="1300"/>
      <c r="D7" s="352"/>
      <c r="E7" s="2944" t="s">
        <v>1406</v>
      </c>
      <c r="F7" s="348">
        <f ca="1">IF(INDIRECT("'数据-取费表'!ah"&amp;$G$1)="",INDIRECT("'数据-取费表'!k"&amp;$G$1),INDIRECT("'数据-取费表'!ah"&amp;$G$1))</f>
        <v>2967.81</v>
      </c>
      <c r="G7" s="1853"/>
      <c r="H7" s="349"/>
      <c r="I7" s="3223"/>
      <c r="J7" s="351"/>
      <c r="K7" s="352"/>
      <c r="L7" s="347" t="s">
        <v>1406</v>
      </c>
      <c r="M7" s="348">
        <f ca="1">F7</f>
        <v>2967.81</v>
      </c>
    </row>
    <row r="8" spans="1:37" ht="18" customHeight="1">
      <c r="A8" s="349"/>
      <c r="B8" s="3223"/>
      <c r="C8" s="351"/>
      <c r="D8" s="352"/>
      <c r="E8" s="347" t="s">
        <v>1407</v>
      </c>
      <c r="F8" s="348">
        <f ca="1">INDIRECT("'数据-取费表'!ai"&amp;$G$1)</f>
        <v>365</v>
      </c>
      <c r="G8" s="1853"/>
      <c r="H8" s="349"/>
      <c r="I8" s="3223"/>
      <c r="J8" s="351"/>
      <c r="K8" s="352"/>
      <c r="L8" s="347" t="s">
        <v>1407</v>
      </c>
      <c r="M8" s="348">
        <f ca="1">INDIRECT("'数据-取费表'!ai"&amp;$G$1)</f>
        <v>365</v>
      </c>
    </row>
    <row r="9" spans="1:37" ht="18" customHeight="1">
      <c r="A9" s="349"/>
      <c r="B9" s="3224"/>
      <c r="C9" s="351"/>
      <c r="D9" s="352"/>
      <c r="E9" s="347" t="s">
        <v>1408</v>
      </c>
      <c r="F9" s="357">
        <f ca="1">INDIRECT("'数据-取费表'!w"&amp;$G$1)</f>
        <v>0.1</v>
      </c>
      <c r="G9" s="1853"/>
      <c r="H9" s="349"/>
      <c r="I9" s="3224"/>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ROUND(IF(F10="押一",F6*F8*F7/12*F11,IF(F10="押二",F6*F8*F7/12*2*F11,IF(F10="押三",F6*F8*F7/12*3*F11,C11*F11)))/10000,0)</f>
        <v>0</v>
      </c>
      <c r="D10" s="1826" t="s">
        <v>3029</v>
      </c>
      <c r="E10" s="358" t="s">
        <v>1411</v>
      </c>
      <c r="F10" s="2984" t="s">
        <v>3155</v>
      </c>
      <c r="G10" s="1853"/>
      <c r="H10" s="1294" t="s">
        <v>1039</v>
      </c>
      <c r="I10" s="1825" t="s">
        <v>1409</v>
      </c>
      <c r="J10" s="346">
        <f ca="1">ROUND(IF(M10="押一",M6*M8*M7/12*M11,IF(M10="押二",M6*M8*M7/12*2*M11,IF(M10="押三",M6*M8*M7/12*3*M11,J11*M11)))/10000,0)</f>
        <v>0</v>
      </c>
      <c r="K10" s="1826" t="s">
        <v>3029</v>
      </c>
      <c r="L10" s="358" t="s">
        <v>1411</v>
      </c>
      <c r="M10" s="1369" t="s">
        <v>1412</v>
      </c>
    </row>
    <row r="11" spans="1:37" ht="18" customHeight="1">
      <c r="A11" s="353"/>
      <c r="B11" s="1827" t="s">
        <v>1388</v>
      </c>
      <c r="C11" s="1181"/>
      <c r="D11" s="1828"/>
      <c r="E11" s="358" t="s">
        <v>1413</v>
      </c>
      <c r="F11" s="359">
        <f ca="1">'数据-取费表'!B39</f>
        <v>1.4999999999999999E-2</v>
      </c>
      <c r="G11" s="1853"/>
      <c r="H11" s="1302"/>
      <c r="I11" s="1827" t="s">
        <v>1388</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1434</v>
      </c>
      <c r="D13" s="1334" t="s">
        <v>1416</v>
      </c>
      <c r="E13" s="1334" t="s">
        <v>1417</v>
      </c>
      <c r="F13" s="1335">
        <f ca="1">INDIRECT("'数据-取费表'!y"&amp;$G$1)</f>
        <v>0.92</v>
      </c>
      <c r="G13" s="1853"/>
      <c r="H13" s="1332">
        <v>2</v>
      </c>
      <c r="I13" s="1333" t="s">
        <v>1415</v>
      </c>
      <c r="J13" s="1293">
        <f ca="1">ROUND(J14*J15,0)</f>
        <v>0</v>
      </c>
      <c r="K13" s="1340" t="s">
        <v>1416</v>
      </c>
      <c r="L13" s="1854"/>
      <c r="M13" s="1855"/>
    </row>
    <row r="14" spans="1:37" ht="18" customHeight="1">
      <c r="A14" s="1204" t="s">
        <v>1034</v>
      </c>
      <c r="B14" s="347" t="s">
        <v>1418</v>
      </c>
      <c r="C14" s="363">
        <f ca="1">INDIRECT("'数据-取费表'!m"&amp;$G$1)+INDIRECT("'数据-取费表'!t"&amp;$G$1)</f>
        <v>1187</v>
      </c>
      <c r="D14" s="2947" t="s">
        <v>1419</v>
      </c>
      <c r="E14" s="2946"/>
      <c r="F14" s="364"/>
      <c r="G14" s="1853"/>
      <c r="H14" s="1204" t="s">
        <v>1035</v>
      </c>
      <c r="I14" s="347" t="s">
        <v>1420</v>
      </c>
      <c r="J14" s="24">
        <f ca="1">C29</f>
        <v>1559</v>
      </c>
      <c r="K14" s="2943"/>
      <c r="L14" s="982"/>
      <c r="M14" s="983"/>
    </row>
    <row r="15" spans="1:37" s="1860" customFormat="1" ht="18" customHeight="1" thickBot="1">
      <c r="A15" s="1204" t="s">
        <v>1036</v>
      </c>
      <c r="B15" s="347" t="s">
        <v>1421</v>
      </c>
      <c r="C15" s="24">
        <f ca="1">ROUND(C14*F15,0)</f>
        <v>36</v>
      </c>
      <c r="D15" s="365" t="s">
        <v>1422</v>
      </c>
      <c r="E15" s="365" t="s">
        <v>1423</v>
      </c>
      <c r="F15" s="366">
        <f>'数据-取费表'!B33</f>
        <v>0.03</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3"/>
      <c r="H16" s="1332" t="s">
        <v>1030</v>
      </c>
      <c r="I16" s="1333" t="s">
        <v>1425</v>
      </c>
      <c r="J16" s="355">
        <f ca="1">ROUND(J17+J22+J23+J24,0)</f>
        <v>40</v>
      </c>
      <c r="K16" s="1340" t="s">
        <v>1426</v>
      </c>
      <c r="L16" s="2949"/>
      <c r="M16" s="1297"/>
    </row>
    <row r="17" spans="1:37" s="1860" customFormat="1" ht="18" customHeight="1">
      <c r="A17" s="1204" t="s">
        <v>1390</v>
      </c>
      <c r="B17" s="347" t="s">
        <v>1427</v>
      </c>
      <c r="C17" s="24">
        <f ca="1">ROUND(F17*(F43+INDIRECT("'数据-取费表'!S"&amp;$G$1))/10000,0)</f>
        <v>59</v>
      </c>
      <c r="D17" s="347" t="s">
        <v>1428</v>
      </c>
      <c r="E17" s="347" t="s">
        <v>1429</v>
      </c>
      <c r="F17" s="26">
        <f>'数据-取费表'!B35</f>
        <v>200</v>
      </c>
      <c r="G17" s="1856"/>
      <c r="H17" s="1204" t="s">
        <v>1035</v>
      </c>
      <c r="I17" s="347" t="s">
        <v>1430</v>
      </c>
      <c r="J17" s="24">
        <f ca="1">ROUND(IF(项目基本情况!B11="自然人",J5*M17,J18+J19+J20),1)</f>
        <v>16.600000000000001</v>
      </c>
      <c r="K17" s="2947" t="s">
        <v>1431</v>
      </c>
      <c r="L17" s="2948"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18</v>
      </c>
      <c r="D18" s="347" t="s">
        <v>1422</v>
      </c>
      <c r="E18" s="347" t="s">
        <v>1423</v>
      </c>
      <c r="F18" s="367">
        <f>'数据-取费表'!B36</f>
        <v>1.4999999999999999E-2</v>
      </c>
      <c r="G18" s="1856"/>
      <c r="H18" s="1204" t="s">
        <v>1034</v>
      </c>
      <c r="I18" s="347" t="s">
        <v>1434</v>
      </c>
      <c r="J18" s="24">
        <f ca="1">ROUND(J5*M18/(1+'数据-取费表'!C42),2)</f>
        <v>0</v>
      </c>
      <c r="K18" s="2948"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1300</v>
      </c>
      <c r="D19" s="140" t="s">
        <v>1437</v>
      </c>
      <c r="E19" s="2942"/>
      <c r="F19" s="26"/>
      <c r="G19" s="1853"/>
      <c r="H19" s="1204" t="s">
        <v>1036</v>
      </c>
      <c r="I19" s="347" t="s">
        <v>1438</v>
      </c>
      <c r="J19" s="24">
        <f ca="1">IF(K19="按租金收入计税",ROUND(J5*M19,2),ROUND(C29*M19*0.7,2))</f>
        <v>13.1</v>
      </c>
      <c r="K19" s="1830" t="s">
        <v>1439</v>
      </c>
      <c r="L19" s="347" t="s">
        <v>1423</v>
      </c>
      <c r="M19" s="367">
        <f>IF(K19="按租金收入计税",'数据-取费表'!B51,'数据-取费表'!B50)</f>
        <v>1.2E-2</v>
      </c>
    </row>
    <row r="20" spans="1:37" s="1860" customFormat="1" ht="18" customHeight="1">
      <c r="A20" s="1204" t="s">
        <v>1039</v>
      </c>
      <c r="B20" s="347" t="s">
        <v>1440</v>
      </c>
      <c r="C20" s="24">
        <f ca="1">ROUND(C19*F20,0)</f>
        <v>13</v>
      </c>
      <c r="D20" s="369" t="s">
        <v>1441</v>
      </c>
      <c r="E20" s="347" t="s">
        <v>1423</v>
      </c>
      <c r="F20" s="367">
        <f>'数据-取费表'!B37</f>
        <v>0.01</v>
      </c>
      <c r="G20" s="1856"/>
      <c r="H20" s="1204" t="s">
        <v>1389</v>
      </c>
      <c r="I20" s="164" t="s">
        <v>1442</v>
      </c>
      <c r="J20" s="25">
        <f ca="1">ROUND(M20*M21/10000,2)</f>
        <v>3.52</v>
      </c>
      <c r="K20" s="370" t="s">
        <v>1443</v>
      </c>
      <c r="L20" s="347" t="s">
        <v>1444</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5033.84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42"/>
      <c r="F22" s="26"/>
      <c r="G22" s="1853"/>
      <c r="H22" s="1204" t="s">
        <v>1039</v>
      </c>
      <c r="I22" s="347" t="s">
        <v>1450</v>
      </c>
      <c r="J22" s="24">
        <f ca="1">ROUND(J14*M22,1)</f>
        <v>23.4</v>
      </c>
      <c r="K22" s="2948" t="s">
        <v>1451</v>
      </c>
      <c r="L22" s="347" t="s">
        <v>1423</v>
      </c>
      <c r="M22" s="374">
        <f ca="1">INDIRECT("'数据-取费表'!Ak"&amp;$G$1)</f>
        <v>1.4999999999999999E-2</v>
      </c>
    </row>
    <row r="23" spans="1:37" s="1860" customFormat="1" ht="18" customHeight="1">
      <c r="A23" s="1204" t="s">
        <v>1034</v>
      </c>
      <c r="B23" s="347" t="s">
        <v>1452</v>
      </c>
      <c r="C23" s="24">
        <f ca="1">IF('数据-取费表'!B22&lt;=1,ROUND(C19*F24*F23/2,0)+ROUND(C20*F24*F23/2,0),ROUND(C19*(POWER((1+F24),F23/2)-1),0)+ROUND(C20*(POWER((1+F24),F23/2)-1),0))</f>
        <v>63</v>
      </c>
      <c r="D23" s="375" t="str">
        <f>IF(F23&lt;=1,"(建造成本+管理费用)×利率×(建设周期÷2)","(建造成本+管理费用)×((1+利率)^(建设周期÷2)-1)")</f>
        <v>(建造成本+管理费用)×((1+利率)^(建设周期÷2)-1)</v>
      </c>
      <c r="E23" s="347" t="s">
        <v>1453</v>
      </c>
      <c r="F23" s="371">
        <f>'数据-取费表'!B20</f>
        <v>2</v>
      </c>
      <c r="G23" s="1856"/>
      <c r="H23" s="1204" t="s">
        <v>1075</v>
      </c>
      <c r="I23" s="347" t="s">
        <v>1454</v>
      </c>
      <c r="J23" s="24">
        <f ca="1">ROUND(J13*M23,1)</f>
        <v>0</v>
      </c>
      <c r="K23" s="2948"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ROUND(J5*M24,1)</f>
        <v>0</v>
      </c>
      <c r="K24" s="1345" t="s">
        <v>1460</v>
      </c>
      <c r="L24" s="1343" t="s">
        <v>1456</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1461</v>
      </c>
      <c r="B25" s="347" t="s">
        <v>1462</v>
      </c>
      <c r="C25" s="24"/>
      <c r="D25" s="140" t="s">
        <v>1463</v>
      </c>
      <c r="E25" s="2942"/>
      <c r="F25" s="26"/>
      <c r="G25" s="1853"/>
      <c r="H25" s="1332" t="s">
        <v>1031</v>
      </c>
      <c r="I25" s="1347" t="s">
        <v>1464</v>
      </c>
      <c r="J25" s="355">
        <f ca="1">J5-J16</f>
        <v>-40</v>
      </c>
      <c r="K25" s="1348" t="s">
        <v>1465</v>
      </c>
      <c r="L25" s="1349"/>
      <c r="M25" s="1350"/>
    </row>
    <row r="26" spans="1:37">
      <c r="A26" s="1204" t="s">
        <v>1034</v>
      </c>
      <c r="B26" s="347" t="s">
        <v>1466</v>
      </c>
      <c r="C26" s="24">
        <f ca="1">ROUND((C19+C20)*F26,0)</f>
        <v>66</v>
      </c>
      <c r="D26" s="369" t="s">
        <v>1467</v>
      </c>
      <c r="E26" s="358" t="s">
        <v>1468</v>
      </c>
      <c r="F26" s="357">
        <f ca="1">INDIRECT("'数据-取费表'!q"&amp;$G$1)</f>
        <v>0.05</v>
      </c>
      <c r="G26" s="1853"/>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1E-3</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1559</v>
      </c>
      <c r="D29" s="1345"/>
      <c r="E29" s="1343"/>
      <c r="F29" s="1346"/>
      <c r="G29" s="1856"/>
      <c r="H29" s="380" t="s">
        <v>1033</v>
      </c>
      <c r="I29" s="381" t="s">
        <v>1480</v>
      </c>
      <c r="J29" s="382">
        <f ca="1">ROUND(J26/(1+F40)^F41,0)</f>
        <v>0</v>
      </c>
      <c r="K29" s="383" t="s">
        <v>1481</v>
      </c>
      <c r="L29" s="384"/>
      <c r="M29" s="385">
        <f ca="1">INDIRECT("'数据-取费表'!k"&amp;$G$1)</f>
        <v>2967.81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65</v>
      </c>
      <c r="D30" s="1340" t="s">
        <v>1426</v>
      </c>
      <c r="E30" s="2949"/>
      <c r="F30" s="1297"/>
      <c r="G30" s="1853"/>
      <c r="H30" s="745"/>
      <c r="I30" s="746"/>
      <c r="J30" s="747"/>
      <c r="K30" s="748"/>
      <c r="L30" s="749"/>
      <c r="M30" s="750"/>
    </row>
    <row r="31" spans="1:37" ht="18" customHeight="1">
      <c r="A31" s="1204" t="s">
        <v>1035</v>
      </c>
      <c r="B31" s="347" t="s">
        <v>1430</v>
      </c>
      <c r="C31" s="24">
        <f ca="1">ROUND(IF(项目基本情况!B11="自然人",C5*F31,C32+C33+C34),1)</f>
        <v>37.299999999999997</v>
      </c>
      <c r="D31" s="2947" t="s">
        <v>1431</v>
      </c>
      <c r="E31" s="2948"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IF(项目基本情况!B11="自然人","——",ROUND(C5*F32/(1+'数据-取费表'!C42),2))</f>
        <v>10.4</v>
      </c>
      <c r="D32" s="2948" t="s">
        <v>1435</v>
      </c>
      <c r="E32" s="347" t="s">
        <v>1423</v>
      </c>
      <c r="F32" s="377">
        <f>'数据-取费表'!B41</f>
        <v>5.6000000000000001E-2</v>
      </c>
      <c r="G32" s="1853"/>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23.4</v>
      </c>
      <c r="D33" s="1830" t="s">
        <v>3076</v>
      </c>
      <c r="E33" s="347" t="s">
        <v>1423</v>
      </c>
      <c r="F33" s="367">
        <f>IF(D33="按票据","——",IF(D33="按租金收入计税",'数据-取费表'!B51,'数据-取费表'!B50))</f>
        <v>0.12</v>
      </c>
      <c r="G33" s="1853"/>
      <c r="H33" s="1861"/>
      <c r="I33" s="1862"/>
      <c r="J33" s="1863"/>
      <c r="K33" s="1864"/>
      <c r="L33" s="1861"/>
      <c r="M33" s="1861"/>
    </row>
    <row r="34" spans="1:18" ht="18" customHeight="1">
      <c r="A34" s="1294" t="s">
        <v>1389</v>
      </c>
      <c r="B34" s="164" t="s">
        <v>1442</v>
      </c>
      <c r="C34" s="25">
        <f ca="1">IF(项目基本情况!B11="自然人","——",ROUND(F34*F35/10000,2))</f>
        <v>3.52</v>
      </c>
      <c r="D34" s="370" t="s">
        <v>1443</v>
      </c>
      <c r="E34" s="347" t="s">
        <v>1444</v>
      </c>
      <c r="F34" s="371">
        <f>'数据-取费表'!B52</f>
        <v>7</v>
      </c>
      <c r="G34" s="1853"/>
      <c r="H34" s="745"/>
      <c r="I34" s="1862"/>
      <c r="J34" s="1863"/>
      <c r="K34" s="1865"/>
      <c r="L34" s="1866"/>
      <c r="M34" s="1866"/>
    </row>
    <row r="35" spans="1:18" ht="18" customHeight="1">
      <c r="A35" s="1356"/>
      <c r="B35" s="1354"/>
      <c r="C35" s="29"/>
      <c r="D35" s="373"/>
      <c r="E35" s="347" t="s">
        <v>1448</v>
      </c>
      <c r="F35" s="348">
        <f ca="1">INDIRECT("'数据-取费表'!r"&amp;$G$1)</f>
        <v>5033.84</v>
      </c>
      <c r="G35" s="1853"/>
      <c r="H35" s="745"/>
      <c r="I35" s="1862"/>
      <c r="J35" s="1863"/>
      <c r="K35" s="1864"/>
      <c r="L35" s="1861"/>
      <c r="M35" s="1861"/>
    </row>
    <row r="36" spans="1:18" ht="18" customHeight="1">
      <c r="A36" s="1355" t="s">
        <v>1039</v>
      </c>
      <c r="B36" s="347" t="s">
        <v>1450</v>
      </c>
      <c r="C36" s="24">
        <f ca="1">ROUND(C29*F36,1)</f>
        <v>23.4</v>
      </c>
      <c r="D36" s="2948" t="s">
        <v>1483</v>
      </c>
      <c r="E36" s="347" t="s">
        <v>1423</v>
      </c>
      <c r="F36" s="374">
        <f ca="1">INDIRECT("'数据-取费表'!Ak"&amp;$G$1)</f>
        <v>1.4999999999999999E-2</v>
      </c>
      <c r="G36" s="1853"/>
      <c r="H36" s="1861"/>
      <c r="I36" s="1862"/>
      <c r="J36" s="1863"/>
      <c r="K36" s="751"/>
      <c r="L36" s="1861"/>
      <c r="M36" s="1861"/>
    </row>
    <row r="37" spans="1:18" ht="18" customHeight="1">
      <c r="A37" s="1204" t="s">
        <v>1075</v>
      </c>
      <c r="B37" s="347" t="s">
        <v>1454</v>
      </c>
      <c r="C37" s="24">
        <f ca="1">ROUND(C13*F37,1)</f>
        <v>2.2000000000000002</v>
      </c>
      <c r="D37" s="2948" t="s">
        <v>1455</v>
      </c>
      <c r="E37" s="347" t="s">
        <v>1456</v>
      </c>
      <c r="F37" s="376">
        <f ca="1">INDIRECT("'数据-取费表'!Al"&amp;$G$1)</f>
        <v>1.5E-3</v>
      </c>
      <c r="G37" s="1853"/>
      <c r="H37" s="1861"/>
      <c r="I37" s="1862"/>
      <c r="J37" s="1863"/>
      <c r="K37" s="751"/>
      <c r="L37" s="1861"/>
      <c r="M37" s="1861"/>
    </row>
    <row r="38" spans="1:18" ht="18" customHeight="1" thickBot="1">
      <c r="A38" s="1342" t="s">
        <v>1393</v>
      </c>
      <c r="B38" s="1343" t="s">
        <v>1440</v>
      </c>
      <c r="C38" s="1344">
        <f ca="1">ROUND(C5*F38,1)</f>
        <v>2</v>
      </c>
      <c r="D38" s="1345" t="s">
        <v>1460</v>
      </c>
      <c r="E38" s="1343" t="s">
        <v>1456</v>
      </c>
      <c r="F38" s="1339">
        <f ca="1">INDIRECT("'数据-取费表'!Am"&amp;$G$1)</f>
        <v>0.01</v>
      </c>
      <c r="G38" s="1853"/>
      <c r="H38" s="1861"/>
      <c r="I38" s="1862"/>
      <c r="J38" s="1863"/>
      <c r="K38" s="1867"/>
      <c r="L38" s="1861"/>
      <c r="M38" s="1861"/>
    </row>
    <row r="39" spans="1:18" ht="24.6" customHeight="1" thickTop="1">
      <c r="A39" s="1332" t="s">
        <v>1031</v>
      </c>
      <c r="B39" s="1347" t="s">
        <v>1484</v>
      </c>
      <c r="C39" s="355">
        <f ca="1">C5-C30</f>
        <v>130</v>
      </c>
      <c r="D39" s="1348" t="s">
        <v>1485</v>
      </c>
      <c r="E39" s="1349"/>
      <c r="F39" s="1350"/>
      <c r="G39" s="1853"/>
      <c r="H39" s="1861"/>
      <c r="I39" s="1862"/>
      <c r="J39" s="1863"/>
      <c r="K39" s="1867"/>
      <c r="L39" s="1861"/>
      <c r="M39" s="1861"/>
    </row>
    <row r="40" spans="1:18" ht="18" customHeight="1">
      <c r="A40" s="344" t="s">
        <v>1032</v>
      </c>
      <c r="B40" s="345" t="s">
        <v>1486</v>
      </c>
      <c r="C40" s="346">
        <f ca="1">ROUND(C39*(1-((1+F42)/(1+F40))^F41)/(F40-F42),0)</f>
        <v>2929</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31.14</v>
      </c>
      <c r="G41" s="1853"/>
      <c r="H41" s="732"/>
      <c r="I41" s="1862"/>
      <c r="J41" s="1863"/>
      <c r="K41" s="751"/>
      <c r="L41" s="732"/>
      <c r="M41" s="732"/>
    </row>
    <row r="42" spans="1:18" ht="18" customHeight="1">
      <c r="A42" s="353"/>
      <c r="B42" s="354"/>
      <c r="C42" s="355"/>
      <c r="D42" s="373"/>
      <c r="E42" s="347" t="s">
        <v>1478</v>
      </c>
      <c r="F42" s="357">
        <f ca="1">INDIRECT("'数据-取费表'!v"&amp;$G$1)</f>
        <v>0.03</v>
      </c>
      <c r="G42" s="1853"/>
      <c r="H42" s="732"/>
      <c r="I42" s="1862"/>
      <c r="J42" s="1863"/>
      <c r="K42" s="751"/>
      <c r="L42" s="732"/>
      <c r="M42" s="732"/>
    </row>
    <row r="43" spans="1:18" ht="18" customHeight="1" thickBot="1">
      <c r="A43" s="380" t="s">
        <v>1033</v>
      </c>
      <c r="B43" s="381" t="s">
        <v>1488</v>
      </c>
      <c r="C43" s="382">
        <f ca="1">ROUND(C40*10000/F43,0)</f>
        <v>9869</v>
      </c>
      <c r="D43" s="383" t="s">
        <v>1489</v>
      </c>
      <c r="E43" s="384" t="s">
        <v>1490</v>
      </c>
      <c r="F43" s="385">
        <f ca="1">INDIRECT("'数据-取费表'!k"&amp;$G$1)</f>
        <v>2967.81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-5429</v>
      </c>
      <c r="D46" s="1874" t="str">
        <f>C2</f>
        <v>万元</v>
      </c>
      <c r="E46" s="1868"/>
      <c r="F46" s="1868"/>
      <c r="I46" s="1875" t="s">
        <v>1522</v>
      </c>
      <c r="J46" s="1876"/>
      <c r="K46" s="1877"/>
      <c r="L46" s="1878">
        <f ca="1">IF(M47="住宅",0,IF(L48&gt;J51,L60,J60))</f>
        <v>48</v>
      </c>
      <c r="O46" s="1879" t="s">
        <v>1523</v>
      </c>
      <c r="P46" s="1880" t="s">
        <v>1524</v>
      </c>
      <c r="Q46" s="1881" t="s">
        <v>1525</v>
      </c>
      <c r="R46" s="1881" t="s">
        <v>1526</v>
      </c>
    </row>
    <row r="47" spans="1:18" s="1844" customFormat="1" ht="13.5" thickBot="1">
      <c r="A47" s="1168" t="s">
        <v>1396</v>
      </c>
      <c r="B47" s="1200" t="s">
        <v>1397</v>
      </c>
      <c r="C47" s="1370" t="s">
        <v>1398</v>
      </c>
      <c r="D47" s="1200" t="s">
        <v>1399</v>
      </c>
      <c r="E47" s="1282" t="s">
        <v>1400</v>
      </c>
      <c r="F47" s="1283"/>
      <c r="G47" s="792"/>
      <c r="I47" s="1882" t="s">
        <v>1527</v>
      </c>
      <c r="J47" s="1883" t="s">
        <v>3071</v>
      </c>
      <c r="K47" s="1884" t="s">
        <v>1528</v>
      </c>
      <c r="L47" s="1885">
        <f ca="1">INDIRECT("'数据-取费表'!d"&amp;$G$1)</f>
        <v>40</v>
      </c>
      <c r="M47" s="1840" t="str">
        <f>IF(ISNUMBER(FIND("住宅",C1)),"住宅","非住宅")</f>
        <v>非住宅</v>
      </c>
      <c r="O47" s="1886" t="s">
        <v>1040</v>
      </c>
      <c r="P47" s="1887" t="s">
        <v>1529</v>
      </c>
      <c r="Q47" s="1888">
        <f ca="1">C40+J29</f>
        <v>2929</v>
      </c>
      <c r="R47" s="1888" t="s">
        <v>1530</v>
      </c>
    </row>
    <row r="48" spans="1:18" s="1844" customFormat="1" ht="28.5" thickBot="1">
      <c r="A48" s="1363" t="s">
        <v>1135</v>
      </c>
      <c r="B48" s="345" t="s">
        <v>1401</v>
      </c>
      <c r="C48" s="2941">
        <f ca="1">C49+C53+C55</f>
        <v>0</v>
      </c>
      <c r="D48" s="1365"/>
      <c r="E48" s="1366"/>
      <c r="F48" s="1184"/>
      <c r="G48" s="792"/>
      <c r="H48" s="793"/>
      <c r="I48" s="1889" t="s">
        <v>1531</v>
      </c>
      <c r="J48" s="1890" t="s">
        <v>3072</v>
      </c>
      <c r="K48" s="1891" t="s">
        <v>1532</v>
      </c>
      <c r="L48" s="1892">
        <f ca="1">INDIRECT("'数据-取费表'!f"&amp;$G$1)</f>
        <v>31.14</v>
      </c>
      <c r="O48" s="1886" t="s">
        <v>1041</v>
      </c>
      <c r="P48" s="1887" t="s">
        <v>1533</v>
      </c>
      <c r="Q48" s="1888">
        <f ca="1">J60</f>
        <v>48</v>
      </c>
      <c r="R48" s="1888" t="s">
        <v>1534</v>
      </c>
    </row>
    <row r="49" spans="1:18" s="1844" customFormat="1" ht="13.5" thickBot="1">
      <c r="A49" s="1197" t="s">
        <v>1136</v>
      </c>
      <c r="B49" s="1831" t="s">
        <v>1491</v>
      </c>
      <c r="C49" s="1367">
        <f ca="1">ROUND(F49*F51*F50*(1-F52)/10000,0)</f>
        <v>0</v>
      </c>
      <c r="D49" s="1279" t="s">
        <v>3032</v>
      </c>
      <c r="E49" s="1832" t="s">
        <v>1492</v>
      </c>
      <c r="F49" s="1284"/>
      <c r="G49" s="1893"/>
      <c r="H49" s="793"/>
      <c r="I49" s="1889" t="s">
        <v>1535</v>
      </c>
      <c r="J49" s="1894">
        <v>2016</v>
      </c>
      <c r="K49" s="1891" t="s">
        <v>1536</v>
      </c>
      <c r="L49" s="1895"/>
      <c r="O49" s="1896" t="s">
        <v>1042</v>
      </c>
      <c r="P49" s="1887" t="s">
        <v>1537</v>
      </c>
      <c r="Q49" s="1888">
        <f ca="1">C29</f>
        <v>1559</v>
      </c>
      <c r="R49" s="1888" t="s">
        <v>1530</v>
      </c>
    </row>
    <row r="50" spans="1:18" s="1844" customFormat="1" ht="13.5" thickBot="1">
      <c r="A50" s="1198"/>
      <c r="B50" s="1201"/>
      <c r="C50" s="1371"/>
      <c r="D50" s="1175"/>
      <c r="E50" s="1280" t="s">
        <v>1406</v>
      </c>
      <c r="F50" s="1281">
        <f ca="1">F7</f>
        <v>2967.81</v>
      </c>
      <c r="H50" s="793"/>
      <c r="I50" s="1889" t="s">
        <v>1538</v>
      </c>
      <c r="J50" s="1897">
        <f>SUMPRODUCT((I63:I65=J47)*(J62:L62=J48)*(J63:L65))</f>
        <v>60</v>
      </c>
      <c r="K50" s="1891" t="s">
        <v>1539</v>
      </c>
      <c r="L50" s="1895"/>
      <c r="M50" s="1898"/>
      <c r="O50" s="1896" t="s">
        <v>1043</v>
      </c>
      <c r="P50" s="1887" t="s">
        <v>1540</v>
      </c>
      <c r="Q50" s="1899">
        <f ca="1">J58</f>
        <v>0.44800000000000001</v>
      </c>
      <c r="R50" s="1888"/>
    </row>
    <row r="51" spans="1:18" s="1844" customFormat="1" ht="13.5" thickBot="1">
      <c r="A51" s="1199"/>
      <c r="B51" s="1201"/>
      <c r="C51" s="1202"/>
      <c r="D51" s="1175"/>
      <c r="E51" s="1203" t="s">
        <v>1407</v>
      </c>
      <c r="F51" s="348">
        <f ca="1">F8</f>
        <v>365</v>
      </c>
      <c r="I51" s="1900" t="s">
        <v>1541</v>
      </c>
      <c r="J51" s="1901">
        <f>IF(J49="",J50,J49+J50-YEAR('数据-取费表'!B2))</f>
        <v>58</v>
      </c>
      <c r="K51" s="1902" t="s">
        <v>1542</v>
      </c>
      <c r="L51" s="1903">
        <f ca="1">ROUND(-PV(INDIRECT("'数据-取费表'!h"&amp;$G$1),L48,(C39-C13*C76),0),0)</f>
        <v>134</v>
      </c>
      <c r="M51" s="1904"/>
      <c r="O51" s="1896" t="s">
        <v>1044</v>
      </c>
      <c r="P51" s="1887" t="s">
        <v>1543</v>
      </c>
      <c r="Q51" s="1899">
        <f>J52</f>
        <v>9.0000000000000011E-2</v>
      </c>
      <c r="R51" s="1888"/>
    </row>
    <row r="52" spans="1:18" s="1844" customFormat="1" ht="13.5" thickBot="1">
      <c r="A52" s="1199"/>
      <c r="B52" s="1201"/>
      <c r="C52" s="1202"/>
      <c r="D52" s="1175"/>
      <c r="E52" s="1203" t="s">
        <v>1408</v>
      </c>
      <c r="F52" s="1278"/>
      <c r="I52" s="1905" t="s">
        <v>1544</v>
      </c>
      <c r="J52" s="1906">
        <f>'数据-取费表'!J7+0.005</f>
        <v>9.0000000000000011E-2</v>
      </c>
      <c r="K52" s="1905" t="s">
        <v>1545</v>
      </c>
      <c r="L52" s="1906"/>
      <c r="O52" s="1896" t="s">
        <v>1045</v>
      </c>
      <c r="P52" s="1887" t="s">
        <v>1546</v>
      </c>
      <c r="Q52" s="1888">
        <f ca="1">J53</f>
        <v>31.14</v>
      </c>
      <c r="R52" s="1888" t="s">
        <v>1547</v>
      </c>
    </row>
    <row r="53" spans="1:18" s="1844" customFormat="1" ht="24.75" thickBot="1">
      <c r="A53" s="1408" t="s">
        <v>1137</v>
      </c>
      <c r="B53" s="1833" t="s">
        <v>1409</v>
      </c>
      <c r="C53" s="361">
        <f ca="1">ROUND(IF(F53="押一",F49*F51*F50/12*F11,IF(F53="押二",F49*F51*F50/12*2*F11,IF(F53="押三",F49*F51*F50/12*3*F11,C54*F11)))/10000,0)</f>
        <v>0</v>
      </c>
      <c r="D53" s="1826" t="s">
        <v>3029</v>
      </c>
      <c r="E53" s="358" t="s">
        <v>1411</v>
      </c>
      <c r="F53" s="1369"/>
      <c r="I53" s="1907" t="s">
        <v>1548</v>
      </c>
      <c r="J53" s="1908">
        <f ca="1">IF(M47="住宅",J51,IF(D1="——",MIN(J51,L48),IF(D1="在建（套用方法）",MIN(J51,L48-'数据-取费表'!B24),IF(D1="土地（套用方法）",MIN(J51,L48-'数据-取费表'!B20)))))</f>
        <v>31.14</v>
      </c>
      <c r="K53" s="3220" t="s">
        <v>1549</v>
      </c>
      <c r="L53" s="3221"/>
      <c r="O53" s="1886" t="s">
        <v>1046</v>
      </c>
      <c r="P53" s="1887" t="s">
        <v>1550</v>
      </c>
      <c r="Q53" s="1888">
        <f ca="1">Q47+Q48</f>
        <v>2977</v>
      </c>
      <c r="R53" s="1888" t="s">
        <v>1047</v>
      </c>
    </row>
    <row r="54" spans="1:18" s="1844" customFormat="1" ht="13.5" thickBot="1">
      <c r="A54" s="1409"/>
      <c r="B54" s="1827" t="s">
        <v>1388</v>
      </c>
      <c r="C54" s="1181"/>
      <c r="D54" s="1826"/>
      <c r="E54" s="294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6" t="s">
        <v>1075</v>
      </c>
      <c r="B55" s="1829" t="s">
        <v>1414</v>
      </c>
      <c r="C55" s="1337"/>
      <c r="D55" s="1826"/>
      <c r="E55" s="2945"/>
      <c r="F55" s="1909"/>
      <c r="I55" s="1912" t="s">
        <v>1552</v>
      </c>
      <c r="J55" s="1913">
        <f ca="1">ROUND(IF(J47="钢混",J57/J50,1-(1-2%)*(J50-J57)/J50),3)</f>
        <v>0.44800000000000001</v>
      </c>
      <c r="K55" s="1914" t="s">
        <v>1553</v>
      </c>
      <c r="L55" s="1915" t="s">
        <v>1554</v>
      </c>
      <c r="O55" s="1879" t="s">
        <v>1523</v>
      </c>
      <c r="P55" s="1880" t="s">
        <v>1524</v>
      </c>
      <c r="Q55" s="1881" t="s">
        <v>1525</v>
      </c>
      <c r="R55" s="1881" t="s">
        <v>1526</v>
      </c>
    </row>
    <row r="56" spans="1:18" s="1844" customFormat="1" ht="25.5" thickTop="1" thickBot="1">
      <c r="A56" s="1179">
        <v>2</v>
      </c>
      <c r="B56" s="1180" t="s">
        <v>1415</v>
      </c>
      <c r="C56" s="276">
        <f ca="1">C13</f>
        <v>1434</v>
      </c>
      <c r="D56" s="1916"/>
      <c r="E56" s="1917"/>
      <c r="F56" s="1909"/>
      <c r="I56" s="1918" t="s">
        <v>1555</v>
      </c>
      <c r="J56" s="1919" t="s">
        <v>3073</v>
      </c>
      <c r="K56" s="1889" t="s">
        <v>1556</v>
      </c>
      <c r="L56" s="1892" t="str">
        <f ca="1">IF(L48&lt;J51,"——",L48-J53)</f>
        <v>——</v>
      </c>
      <c r="O56" s="1886" t="s">
        <v>1040</v>
      </c>
      <c r="P56" s="1887" t="s">
        <v>1529</v>
      </c>
      <c r="Q56" s="1888">
        <f ca="1">C40+J29</f>
        <v>2929</v>
      </c>
      <c r="R56" s="1888" t="s">
        <v>1530</v>
      </c>
    </row>
    <row r="57" spans="1:18" s="1844" customFormat="1" ht="24.75" thickBot="1">
      <c r="A57" s="1920"/>
      <c r="B57" s="1172" t="s">
        <v>1479</v>
      </c>
      <c r="C57" s="282">
        <f ca="1">C29</f>
        <v>1559</v>
      </c>
      <c r="D57" s="1921"/>
      <c r="E57" s="1922"/>
      <c r="F57" s="1923"/>
      <c r="I57" s="1924" t="s">
        <v>1557</v>
      </c>
      <c r="J57" s="1925">
        <f ca="1">IF(OR(M47="住宅",J51&lt;L48,J56="是"),"——",J51-L48)</f>
        <v>26.86</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80" t="s">
        <v>1425</v>
      </c>
      <c r="C58" s="361">
        <f ca="1">ROUND(C59+C64+C65+C66,0)</f>
        <v>160</v>
      </c>
      <c r="D58" s="1182" t="s">
        <v>1426</v>
      </c>
      <c r="E58" s="1183"/>
      <c r="F58" s="1184"/>
      <c r="I58" s="1924" t="s">
        <v>1561</v>
      </c>
      <c r="J58" s="1926">
        <f ca="1">IF(J55&lt;0.4,0.4,J55)</f>
        <v>0.44800000000000001</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ROUND(IF(项目基本情况!B11="自然人",C48*F59,C60+C61+C62),1)</f>
        <v>134.5</v>
      </c>
      <c r="D59" s="1185" t="s">
        <v>1431</v>
      </c>
      <c r="E59" s="1186" t="s">
        <v>1432</v>
      </c>
      <c r="F59" s="368" t="str">
        <f ca="1">IF(项目基本情况!B11="企业","",IF(INDIRECT("'数据-取费表'!c"&amp;$G$1)="住宅",5%,IF(F49*F50*F51/12/(1+'数据-取费表'!C42)&gt;20000,12%,7%)))</f>
        <v/>
      </c>
      <c r="I59" s="1924" t="s">
        <v>1564</v>
      </c>
      <c r="J59" s="1925">
        <f ca="1">IF(OR(M47="住宅",J51&lt;L48,J56="是"),"——",ROUND(C29*J58,0))</f>
        <v>698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7" t="s">
        <v>1566</v>
      </c>
      <c r="J60" s="1928">
        <f ca="1">IF(OR(M47="住宅",J51&lt;L48,J56="是"),"0",ROUND(J59/(1+J52)^J53,0))</f>
        <v>48</v>
      </c>
      <c r="K60" s="1929" t="s">
        <v>1567</v>
      </c>
      <c r="L60" s="1928">
        <f ca="1">IF(OR(M47="住宅",L48&lt;J51),0,ROUND(L57*(L58/L59-1),0))</f>
        <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IF(项目基本情况!B11="自然人","——",IF(D61="按租金收入计税",ROUND(C48*F61,2),IF(D61="按房产原值计税",ROUND(C57*F61*0.7,2),INDIRECT("'数据-取费表'!Aj"&amp;$G$1))))</f>
        <v>130.96</v>
      </c>
      <c r="D61" s="1830" t="s">
        <v>1439</v>
      </c>
      <c r="E61" s="1172" t="s">
        <v>1495</v>
      </c>
      <c r="F61" s="367">
        <f t="shared" si="0"/>
        <v>0.12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4" t="s">
        <v>1496</v>
      </c>
      <c r="B62" s="1171" t="s">
        <v>1497</v>
      </c>
      <c r="C62" s="25">
        <f ca="1">IF(项目基本情况!B11="自然人","——",ROUND(F62*F63/10000,2))</f>
        <v>3.52</v>
      </c>
      <c r="D62" s="1187" t="s">
        <v>1498</v>
      </c>
      <c r="E62" s="1172" t="s">
        <v>1499</v>
      </c>
      <c r="F62" s="371">
        <f t="shared" si="0"/>
        <v>7</v>
      </c>
      <c r="I62" s="1931" t="s">
        <v>1571</v>
      </c>
      <c r="J62" s="1932" t="s">
        <v>1572</v>
      </c>
      <c r="K62" s="1932" t="s">
        <v>1573</v>
      </c>
      <c r="L62" s="1932" t="s">
        <v>1574</v>
      </c>
      <c r="M62" s="1933" t="s">
        <v>1575</v>
      </c>
      <c r="O62" s="1886" t="s">
        <v>1046</v>
      </c>
      <c r="P62" s="1887" t="s">
        <v>1576</v>
      </c>
      <c r="Q62" s="1888">
        <f ca="1">Q56+Q57</f>
        <v>2929</v>
      </c>
      <c r="R62" s="1888" t="s">
        <v>1047</v>
      </c>
    </row>
    <row r="63" spans="1:18" s="1844" customFormat="1" ht="13.5" thickBot="1">
      <c r="A63" s="372"/>
      <c r="B63" s="1178"/>
      <c r="C63" s="29"/>
      <c r="D63" s="1188"/>
      <c r="E63" s="1172" t="s">
        <v>1500</v>
      </c>
      <c r="F63" s="348">
        <f t="shared" ca="1" si="0"/>
        <v>5033.84</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ROUND(C57*F64,1)</f>
        <v>23.4</v>
      </c>
      <c r="D64" s="1186" t="s">
        <v>1503</v>
      </c>
      <c r="E64" s="1172"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ROUND(C56*F65,1)</f>
        <v>2.2000000000000002</v>
      </c>
      <c r="D65" s="1186" t="s">
        <v>1455</v>
      </c>
      <c r="E65" s="1172" t="s">
        <v>1456</v>
      </c>
      <c r="F65" s="376">
        <f t="shared" ca="1" si="0"/>
        <v>1.5E-3</v>
      </c>
      <c r="I65" s="1931" t="s">
        <v>1580</v>
      </c>
      <c r="J65" s="1932">
        <v>40</v>
      </c>
      <c r="K65" s="1932">
        <v>30</v>
      </c>
      <c r="L65" s="1932">
        <v>50</v>
      </c>
      <c r="M65" s="1934">
        <v>0.02</v>
      </c>
      <c r="O65" s="1886" t="s">
        <v>1040</v>
      </c>
      <c r="P65" s="1887" t="s">
        <v>1581</v>
      </c>
      <c r="Q65" s="1888">
        <f ca="1">C40+J29</f>
        <v>2929</v>
      </c>
      <c r="R65" s="1888" t="s">
        <v>1530</v>
      </c>
    </row>
    <row r="66" spans="1:18" s="1844" customFormat="1" ht="16.5" thickBot="1">
      <c r="A66" s="1204" t="s">
        <v>1505</v>
      </c>
      <c r="B66" s="1172" t="s">
        <v>1440</v>
      </c>
      <c r="C66" s="24">
        <f ca="1">ROUND(C48*F66,1)</f>
        <v>0</v>
      </c>
      <c r="D66" s="1186" t="s">
        <v>1506</v>
      </c>
      <c r="E66" s="1172" t="s">
        <v>1423</v>
      </c>
      <c r="F66" s="357">
        <f t="shared" ca="1" si="0"/>
        <v>0.01</v>
      </c>
      <c r="O66" s="1886" t="s">
        <v>1041</v>
      </c>
      <c r="P66" s="1887" t="s">
        <v>1559</v>
      </c>
      <c r="Q66" s="1888">
        <f ca="1">L60</f>
        <v>0</v>
      </c>
      <c r="R66" s="1888" t="s">
        <v>1582</v>
      </c>
    </row>
    <row r="67" spans="1:18" s="1844" customFormat="1" ht="16.5" thickBot="1">
      <c r="A67" s="1179" t="s">
        <v>1031</v>
      </c>
      <c r="B67" s="1189" t="s">
        <v>1464</v>
      </c>
      <c r="C67" s="361">
        <f ca="1">C48-C58</f>
        <v>-160</v>
      </c>
      <c r="D67" s="1185" t="s">
        <v>1465</v>
      </c>
      <c r="E67" s="1190"/>
      <c r="F67" s="1191"/>
      <c r="O67" s="1896" t="s">
        <v>1042</v>
      </c>
      <c r="P67" s="1887" t="s">
        <v>1563</v>
      </c>
      <c r="Q67" s="1935">
        <f ca="1">L51</f>
        <v>134</v>
      </c>
      <c r="R67" s="1888" t="s">
        <v>1583</v>
      </c>
    </row>
    <row r="68" spans="1:18" s="1844" customFormat="1" ht="16.5" thickBot="1">
      <c r="A68" s="1169" t="s">
        <v>1032</v>
      </c>
      <c r="B68" s="1170" t="s">
        <v>1486</v>
      </c>
      <c r="C68" s="346">
        <f ca="1">ROUND(C67*(1-((1+F70)/(1+F68))^F69)/(F68-F70),0)</f>
        <v>-2500</v>
      </c>
      <c r="D68" s="1187" t="s">
        <v>1470</v>
      </c>
      <c r="E68" s="1172" t="s">
        <v>1471</v>
      </c>
      <c r="F68" s="357">
        <f ca="1">F40</f>
        <v>0.05</v>
      </c>
      <c r="O68" s="1896" t="s">
        <v>1043</v>
      </c>
      <c r="P68" s="1936" t="s">
        <v>1584</v>
      </c>
      <c r="Q68" s="1888">
        <f ca="1">ROUND(Q69-Q70*Q71,0)</f>
        <v>8</v>
      </c>
      <c r="R68" s="1888" t="s">
        <v>1051</v>
      </c>
    </row>
    <row r="69" spans="1:18" s="1844" customFormat="1" ht="13.5" thickBot="1">
      <c r="A69" s="1173"/>
      <c r="B69" s="1174"/>
      <c r="C69" s="351"/>
      <c r="D69" s="1192" t="s">
        <v>1474</v>
      </c>
      <c r="E69" s="1172" t="s">
        <v>1475</v>
      </c>
      <c r="F69" s="379">
        <f ca="1">F41</f>
        <v>31.14</v>
      </c>
      <c r="O69" s="1896" t="s">
        <v>1048</v>
      </c>
      <c r="P69" s="1936" t="s">
        <v>1585</v>
      </c>
      <c r="Q69" s="1888">
        <f ca="1">C39</f>
        <v>130</v>
      </c>
      <c r="R69" s="1888" t="s">
        <v>1530</v>
      </c>
    </row>
    <row r="70" spans="1:18" s="1844" customFormat="1" ht="13.5" thickBot="1">
      <c r="A70" s="1176"/>
      <c r="B70" s="1177"/>
      <c r="C70" s="355"/>
      <c r="D70" s="1188"/>
      <c r="E70" s="1172" t="s">
        <v>1478</v>
      </c>
      <c r="F70" s="1278"/>
      <c r="O70" s="1896" t="s">
        <v>1049</v>
      </c>
      <c r="P70" s="1936" t="s">
        <v>1586</v>
      </c>
      <c r="Q70" s="1888">
        <f ca="1">C13</f>
        <v>1434</v>
      </c>
      <c r="R70" s="1888" t="s">
        <v>1530</v>
      </c>
    </row>
    <row r="71" spans="1:18" s="1844" customFormat="1" ht="13.5" thickBot="1">
      <c r="A71" s="1193" t="s">
        <v>1033</v>
      </c>
      <c r="B71" s="1194" t="s">
        <v>1488</v>
      </c>
      <c r="C71" s="382">
        <f ca="1">ROUND(C68*10000/F71,0)</f>
        <v>-8424</v>
      </c>
      <c r="D71" s="1195" t="s">
        <v>1489</v>
      </c>
      <c r="E71" s="1196" t="s">
        <v>1490</v>
      </c>
      <c r="F71" s="385">
        <f ca="1">F43</f>
        <v>2967.81</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122</v>
      </c>
      <c r="D75" s="1844"/>
      <c r="E75" s="1844"/>
      <c r="F75" s="1844"/>
      <c r="K75" s="1870"/>
      <c r="L75" s="1844"/>
      <c r="O75" s="1886" t="s">
        <v>1046</v>
      </c>
      <c r="P75" s="1887" t="s">
        <v>1550</v>
      </c>
      <c r="Q75" s="1888">
        <f ca="1">Q65+Q66</f>
        <v>2929</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6.2000000000000055E-2</v>
      </c>
    </row>
    <row r="80" spans="1:18">
      <c r="B80" s="386" t="s">
        <v>1512</v>
      </c>
      <c r="C80" s="318">
        <f ca="1">ROUND(C75/C39,3)</f>
        <v>0.93799999999999994</v>
      </c>
    </row>
    <row r="81" spans="2:3">
      <c r="B81" s="314" t="s">
        <v>1513</v>
      </c>
      <c r="C81" s="282"/>
    </row>
    <row r="82" spans="2:3">
      <c r="B82" s="317" t="s">
        <v>1514</v>
      </c>
      <c r="C82" s="319">
        <f ca="1">1-C83</f>
        <v>0.51</v>
      </c>
    </row>
    <row r="83" spans="2:3">
      <c r="B83" s="317" t="s">
        <v>1515</v>
      </c>
      <c r="C83" s="318">
        <f ca="1">ROUND(C13/C40,3)</f>
        <v>0.49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13" sqref="G13"/>
    </sheetView>
  </sheetViews>
  <sheetFormatPr defaultRowHeight="13.5"/>
  <cols>
    <col min="1" max="1" width="10.5" customWidth="1"/>
    <col min="2" max="2" width="12.875" customWidth="1"/>
    <col min="3" max="3" width="8.75" customWidth="1"/>
  </cols>
  <sheetData>
    <row r="1" spans="1:9" ht="14.25">
      <c r="A1" s="3241" t="s">
        <v>1076</v>
      </c>
      <c r="B1" s="3242"/>
      <c r="C1" s="3243"/>
      <c r="D1" s="3244">
        <f>SUM(I10,I15,I20,I21,I23)</f>
        <v>0</v>
      </c>
      <c r="E1" s="3244"/>
      <c r="F1" s="3244"/>
      <c r="G1" s="3244"/>
      <c r="H1" s="3244"/>
      <c r="I1" s="3245"/>
    </row>
    <row r="2" spans="1:9">
      <c r="A2" s="3231" t="s">
        <v>1077</v>
      </c>
      <c r="B2" s="3232" t="s">
        <v>1078</v>
      </c>
      <c r="C2" s="3232"/>
      <c r="D2" s="1304" t="s">
        <v>1079</v>
      </c>
      <c r="E2" s="1304" t="s">
        <v>1080</v>
      </c>
      <c r="F2" s="1304" t="s">
        <v>1081</v>
      </c>
      <c r="G2" s="1304" t="s">
        <v>1082</v>
      </c>
      <c r="H2" s="1304" t="s">
        <v>1083</v>
      </c>
      <c r="I2" s="1305" t="s">
        <v>1084</v>
      </c>
    </row>
    <row r="3" spans="1:9">
      <c r="A3" s="3231"/>
      <c r="B3" s="3232" t="s">
        <v>1085</v>
      </c>
      <c r="C3" s="3232"/>
      <c r="D3" s="1306"/>
      <c r="E3" s="1304"/>
      <c r="F3" s="1307"/>
      <c r="G3" s="1307"/>
      <c r="H3" s="1308"/>
      <c r="I3" s="1309">
        <f>ROUND(D3*E3*F3*G3*H3/10000,0)</f>
        <v>0</v>
      </c>
    </row>
    <row r="4" spans="1:9">
      <c r="A4" s="3231"/>
      <c r="B4" s="3232" t="s">
        <v>1086</v>
      </c>
      <c r="C4" s="3232"/>
      <c r="D4" s="1306"/>
      <c r="E4" s="1304"/>
      <c r="F4" s="1307"/>
      <c r="G4" s="1307"/>
      <c r="H4" s="1308"/>
      <c r="I4" s="1309">
        <f t="shared" ref="I4:I9" si="0">ROUND(D4*E4*F4*G4*H4/10000,0)</f>
        <v>0</v>
      </c>
    </row>
    <row r="5" spans="1:9">
      <c r="A5" s="3231"/>
      <c r="B5" s="3232" t="s">
        <v>1087</v>
      </c>
      <c r="C5" s="3232"/>
      <c r="D5" s="1306"/>
      <c r="E5" s="1304"/>
      <c r="F5" s="1307"/>
      <c r="G5" s="1307"/>
      <c r="H5" s="1308"/>
      <c r="I5" s="1309">
        <f t="shared" si="0"/>
        <v>0</v>
      </c>
    </row>
    <row r="6" spans="1:9">
      <c r="A6" s="3231"/>
      <c r="B6" s="3232" t="s">
        <v>1088</v>
      </c>
      <c r="C6" s="3232"/>
      <c r="D6" s="1306"/>
      <c r="E6" s="1304"/>
      <c r="F6" s="1307"/>
      <c r="G6" s="1307"/>
      <c r="H6" s="1308"/>
      <c r="I6" s="1309">
        <f t="shared" si="0"/>
        <v>0</v>
      </c>
    </row>
    <row r="7" spans="1:9">
      <c r="A7" s="3231"/>
      <c r="B7" s="3232" t="s">
        <v>1089</v>
      </c>
      <c r="C7" s="3232"/>
      <c r="D7" s="1306"/>
      <c r="E7" s="1304"/>
      <c r="F7" s="1307"/>
      <c r="G7" s="1307"/>
      <c r="H7" s="1308"/>
      <c r="I7" s="1309">
        <f t="shared" si="0"/>
        <v>0</v>
      </c>
    </row>
    <row r="8" spans="1:9">
      <c r="A8" s="3231"/>
      <c r="B8" s="3232" t="s">
        <v>1090</v>
      </c>
      <c r="C8" s="3232"/>
      <c r="D8" s="1306"/>
      <c r="E8" s="1304"/>
      <c r="F8" s="1307"/>
      <c r="G8" s="1307"/>
      <c r="H8" s="1308"/>
      <c r="I8" s="1309">
        <f t="shared" si="0"/>
        <v>0</v>
      </c>
    </row>
    <row r="9" spans="1:9">
      <c r="A9" s="3231"/>
      <c r="B9" s="3232" t="s">
        <v>1091</v>
      </c>
      <c r="C9" s="3232"/>
      <c r="D9" s="1306"/>
      <c r="E9" s="1304"/>
      <c r="F9" s="1307"/>
      <c r="G9" s="1307"/>
      <c r="H9" s="1308"/>
      <c r="I9" s="1309">
        <f t="shared" si="0"/>
        <v>0</v>
      </c>
    </row>
    <row r="10" spans="1:9">
      <c r="A10" s="3231"/>
      <c r="B10" s="3233" t="s">
        <v>1092</v>
      </c>
      <c r="C10" s="3233"/>
      <c r="D10" s="1310"/>
      <c r="E10" s="1310" t="e">
        <f>ROUND(D1*10000/D10/H9,0)</f>
        <v>#DIV/0!</v>
      </c>
      <c r="F10" s="1311"/>
      <c r="G10" s="1311"/>
      <c r="H10" s="1312"/>
      <c r="I10" s="1313">
        <f>SUM(I3:I9)</f>
        <v>0</v>
      </c>
    </row>
    <row r="11" spans="1:9" ht="14.25">
      <c r="A11" s="3231" t="s">
        <v>1093</v>
      </c>
      <c r="B11" s="3232" t="s">
        <v>1094</v>
      </c>
      <c r="C11" s="3232"/>
      <c r="D11" s="1306" t="s">
        <v>1095</v>
      </c>
      <c r="E11" s="1306" t="s">
        <v>1096</v>
      </c>
      <c r="F11" s="1307" t="s">
        <v>1097</v>
      </c>
      <c r="G11" s="1307" t="s">
        <v>1083</v>
      </c>
      <c r="H11" s="1314" t="s">
        <v>1098</v>
      </c>
      <c r="I11" s="1305" t="s">
        <v>1084</v>
      </c>
    </row>
    <row r="12" spans="1:9">
      <c r="A12" s="3231"/>
      <c r="B12" s="3232" t="s">
        <v>1099</v>
      </c>
      <c r="C12" s="3232"/>
      <c r="D12" s="1306"/>
      <c r="E12" s="1306"/>
      <c r="F12" s="1307"/>
      <c r="G12" s="1308"/>
      <c r="H12" s="1315"/>
      <c r="I12" s="1305">
        <f>ROUND(D12*E12*F12*G12/10000,0)</f>
        <v>0</v>
      </c>
    </row>
    <row r="13" spans="1:9">
      <c r="A13" s="3231"/>
      <c r="B13" s="3232" t="s">
        <v>1100</v>
      </c>
      <c r="C13" s="3232"/>
      <c r="D13" s="1306"/>
      <c r="E13" s="1306"/>
      <c r="F13" s="1307"/>
      <c r="G13" s="1308"/>
      <c r="H13" s="1315"/>
      <c r="I13" s="1305">
        <f>ROUND(D13*E13*F13*G13/10000,0)</f>
        <v>0</v>
      </c>
    </row>
    <row r="14" spans="1:9">
      <c r="A14" s="3231"/>
      <c r="B14" s="3232" t="s">
        <v>1101</v>
      </c>
      <c r="C14" s="3232"/>
      <c r="D14" s="1306"/>
      <c r="E14" s="1306"/>
      <c r="F14" s="1307"/>
      <c r="G14" s="1308"/>
      <c r="H14" s="1315"/>
      <c r="I14" s="1305">
        <f>ROUND(D14*E14*F14*G14/10000,0)</f>
        <v>0</v>
      </c>
    </row>
    <row r="15" spans="1:9">
      <c r="A15" s="3231"/>
      <c r="B15" s="3233" t="s">
        <v>1092</v>
      </c>
      <c r="C15" s="3233"/>
      <c r="D15" s="1310"/>
      <c r="E15" s="1310">
        <f>SUM(E12:E14)</f>
        <v>0</v>
      </c>
      <c r="F15" s="1311"/>
      <c r="G15" s="1308"/>
      <c r="H15" s="1315"/>
      <c r="I15" s="1316">
        <f>SUM(I12:I14)</f>
        <v>0</v>
      </c>
    </row>
    <row r="16" spans="1:9" ht="24">
      <c r="A16" s="3231" t="s">
        <v>1102</v>
      </c>
      <c r="B16" s="3232" t="s">
        <v>1103</v>
      </c>
      <c r="C16" s="3232"/>
      <c r="D16" s="1306" t="s">
        <v>1079</v>
      </c>
      <c r="E16" s="1317" t="s">
        <v>1104</v>
      </c>
      <c r="F16" s="1307" t="s">
        <v>1105</v>
      </c>
      <c r="G16" s="1308" t="s">
        <v>1083</v>
      </c>
      <c r="H16" s="1314" t="s">
        <v>1098</v>
      </c>
      <c r="I16" s="1305" t="s">
        <v>1084</v>
      </c>
    </row>
    <row r="17" spans="1:9" ht="14.25">
      <c r="A17" s="3231"/>
      <c r="B17" s="3232" t="s">
        <v>1106</v>
      </c>
      <c r="C17" s="3232"/>
      <c r="D17" s="1306"/>
      <c r="E17" s="1306"/>
      <c r="F17" s="1307"/>
      <c r="G17" s="1308"/>
      <c r="H17" s="1318"/>
      <c r="I17" s="1319">
        <f>ROUND(D17*E17*F17*G17/10000,0)</f>
        <v>0</v>
      </c>
    </row>
    <row r="18" spans="1:9" ht="14.25">
      <c r="A18" s="3231"/>
      <c r="B18" s="3232" t="s">
        <v>1107</v>
      </c>
      <c r="C18" s="3232"/>
      <c r="D18" s="1306"/>
      <c r="E18" s="1306"/>
      <c r="F18" s="1307"/>
      <c r="G18" s="1308"/>
      <c r="H18" s="1318"/>
      <c r="I18" s="1319">
        <f>ROUND(D18*E18*F18*G18/10000,0)</f>
        <v>0</v>
      </c>
    </row>
    <row r="19" spans="1:9" ht="14.25">
      <c r="A19" s="3231"/>
      <c r="B19" s="3232" t="s">
        <v>1108</v>
      </c>
      <c r="C19" s="3232"/>
      <c r="D19" s="1306"/>
      <c r="E19" s="1306"/>
      <c r="F19" s="1307"/>
      <c r="G19" s="1308"/>
      <c r="H19" s="1318"/>
      <c r="I19" s="1319">
        <f>ROUND(D19*E19*F19*G19/10000,0)</f>
        <v>0</v>
      </c>
    </row>
    <row r="20" spans="1:9">
      <c r="A20" s="3231"/>
      <c r="B20" s="3233" t="s">
        <v>1092</v>
      </c>
      <c r="C20" s="3233"/>
      <c r="D20" s="1310">
        <f>SUM(D17:D19)</f>
        <v>0</v>
      </c>
      <c r="E20" s="1310"/>
      <c r="F20" s="1311"/>
      <c r="G20" s="1308"/>
      <c r="H20" s="1315"/>
      <c r="I20" s="1316">
        <f>SUM(I17:I19)</f>
        <v>0</v>
      </c>
    </row>
    <row r="21" spans="1:9">
      <c r="A21" s="3231" t="s">
        <v>1109</v>
      </c>
      <c r="B21" s="3234"/>
      <c r="C21" s="3234"/>
      <c r="D21" s="3234"/>
      <c r="E21" s="3234"/>
      <c r="F21" s="3234"/>
      <c r="G21" s="3234"/>
      <c r="H21" s="1767">
        <v>0.1</v>
      </c>
      <c r="I21" s="1313">
        <f>ROUND(I10*H21,0)</f>
        <v>0</v>
      </c>
    </row>
    <row r="22" spans="1:9" ht="14.25">
      <c r="A22" s="3235" t="s">
        <v>1110</v>
      </c>
      <c r="B22" s="3236"/>
      <c r="C22" s="3237"/>
      <c r="D22" s="1320" t="s">
        <v>1111</v>
      </c>
      <c r="E22" s="1320" t="s">
        <v>1112</v>
      </c>
      <c r="F22" s="1321" t="s">
        <v>1113</v>
      </c>
      <c r="G22" s="1321" t="s">
        <v>1114</v>
      </c>
      <c r="H22" s="1314" t="s">
        <v>1115</v>
      </c>
      <c r="I22" s="1305" t="s">
        <v>1116</v>
      </c>
    </row>
    <row r="23" spans="1:9" ht="14.25" thickBot="1">
      <c r="A23" s="3238"/>
      <c r="B23" s="3239"/>
      <c r="C23" s="3240"/>
      <c r="D23" s="1322"/>
      <c r="E23" s="1322"/>
      <c r="F23" s="1322"/>
      <c r="G23" s="1323"/>
      <c r="H23" s="1324"/>
      <c r="I23" s="1325">
        <f>ROUND(E23*D23*F23*(1-G23)/10000,0)</f>
        <v>0</v>
      </c>
    </row>
    <row r="26" spans="1:9">
      <c r="A26" s="1326" t="s">
        <v>1117</v>
      </c>
      <c r="B26" s="1326"/>
      <c r="C26" s="1326"/>
      <c r="D26" s="1326"/>
      <c r="E26" s="3228">
        <f>C27-C30-C31-C32</f>
        <v>0</v>
      </c>
      <c r="F26" s="3228"/>
      <c r="G26" s="3228"/>
      <c r="H26" s="1739" t="s">
        <v>1340</v>
      </c>
    </row>
    <row r="27" spans="1:9">
      <c r="A27" s="1327">
        <v>1</v>
      </c>
      <c r="B27" s="1328" t="s">
        <v>1118</v>
      </c>
      <c r="C27" s="1328">
        <f>C28+C29</f>
        <v>0</v>
      </c>
      <c r="D27" s="1328"/>
      <c r="E27" s="3229"/>
      <c r="F27" s="3229"/>
      <c r="G27" s="3229"/>
    </row>
    <row r="28" spans="1:9">
      <c r="A28" s="1329" t="s">
        <v>1119</v>
      </c>
      <c r="B28" s="1328" t="s">
        <v>1120</v>
      </c>
      <c r="C28" s="1328"/>
      <c r="D28" s="1328"/>
      <c r="E28" s="3229"/>
      <c r="F28" s="3229"/>
      <c r="G28" s="322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0"/>
      <c r="F32" s="3230"/>
      <c r="G32" s="3230"/>
    </row>
    <row r="33" spans="1:7" hidden="1">
      <c r="A33" s="3225" t="s">
        <v>1129</v>
      </c>
      <c r="B33" s="3226"/>
      <c r="C33" s="3226"/>
      <c r="D33" s="3227"/>
      <c r="E33" s="3228"/>
      <c r="F33" s="3228"/>
      <c r="G33" s="3228"/>
    </row>
    <row r="34" spans="1:7" hidden="1">
      <c r="A34" s="1331">
        <v>1</v>
      </c>
      <c r="B34" s="1328" t="s">
        <v>1130</v>
      </c>
      <c r="C34" s="1328"/>
      <c r="D34" s="1328"/>
      <c r="E34" s="3229"/>
      <c r="F34" s="3229"/>
      <c r="G34" s="3229"/>
    </row>
    <row r="35" spans="1:7" hidden="1">
      <c r="A35" s="1331">
        <v>2</v>
      </c>
      <c r="B35" s="1328" t="s">
        <v>1131</v>
      </c>
      <c r="C35" s="1328"/>
      <c r="D35" s="1328"/>
      <c r="E35" s="3229"/>
      <c r="F35" s="3229"/>
      <c r="G35" s="3229"/>
    </row>
    <row r="36" spans="1:7" hidden="1">
      <c r="A36" s="1331">
        <v>3</v>
      </c>
      <c r="B36" s="1328" t="s">
        <v>1132</v>
      </c>
      <c r="C36" s="1328"/>
      <c r="D36" s="1328"/>
      <c r="E36" s="3229"/>
      <c r="F36" s="3229"/>
      <c r="G36" s="3229"/>
    </row>
    <row r="37" spans="1:7" hidden="1">
      <c r="A37" s="1331">
        <v>4</v>
      </c>
      <c r="B37" s="1328" t="s">
        <v>1133</v>
      </c>
      <c r="C37" s="1328"/>
      <c r="D37" s="1328"/>
      <c r="E37" s="3229"/>
      <c r="F37" s="3229"/>
      <c r="G37" s="3229"/>
    </row>
    <row r="38" spans="1:7" hidden="1">
      <c r="A38" s="3225" t="s">
        <v>1134</v>
      </c>
      <c r="B38" s="3226"/>
      <c r="C38" s="3226"/>
      <c r="D38" s="3227"/>
      <c r="E38" s="3228"/>
      <c r="F38" s="3228"/>
      <c r="G38" s="32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4" t="s">
        <v>2527</v>
      </c>
      <c r="C1" s="1636" t="s">
        <v>2528</v>
      </c>
      <c r="D1" s="1623"/>
      <c r="E1" s="2585"/>
      <c r="F1" s="2586" t="s">
        <v>2529</v>
      </c>
      <c r="G1" s="1633" t="s">
        <v>2530</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8"/>
      <c r="D2" s="1368" t="e">
        <f ca="1">SUMIF(INDIRECT("'"&amp;F2&amp;"'"&amp;"!A:A"),"承租人权益价值",INDIRECT("'"&amp;F2&amp;"'"&amp;"!c:c"))</f>
        <v>#REF!</v>
      </c>
      <c r="E2" s="2589" t="s">
        <v>2531</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2532</v>
      </c>
      <c r="D3" s="399">
        <f>IF(D1="",'数据-汇总表'!E3,SUMIF('数据-汇总表'!$C19:$C33,D1,'数据-汇总表'!$E19:$E33))</f>
        <v>101555.9</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2533</v>
      </c>
      <c r="B4" s="402"/>
      <c r="C4" s="3179" t="s">
        <v>2534</v>
      </c>
      <c r="D4" s="3192"/>
      <c r="E4" s="3193" t="s">
        <v>2535</v>
      </c>
      <c r="F4" s="3194"/>
      <c r="G4" s="3179" t="s">
        <v>2536</v>
      </c>
      <c r="H4" s="3192"/>
      <c r="I4" s="3179" t="s">
        <v>2537</v>
      </c>
      <c r="J4" s="3192"/>
      <c r="K4" s="2598" t="s">
        <v>2538</v>
      </c>
      <c r="L4" s="1133"/>
      <c r="M4" s="1134"/>
      <c r="N4" s="1134"/>
      <c r="O4" s="1134"/>
      <c r="P4" s="3195" t="s">
        <v>2539</v>
      </c>
      <c r="Q4" s="3196"/>
      <c r="R4" s="3201" t="s">
        <v>2535</v>
      </c>
      <c r="S4" s="3202"/>
      <c r="T4" s="3201" t="s">
        <v>2536</v>
      </c>
      <c r="U4" s="3202"/>
      <c r="V4" s="3188" t="s">
        <v>2537</v>
      </c>
      <c r="W4" s="3188"/>
      <c r="X4" s="1815"/>
      <c r="Y4" s="3201" t="s">
        <v>2539</v>
      </c>
      <c r="Z4" s="3202"/>
      <c r="AA4" s="3189" t="s">
        <v>2535</v>
      </c>
      <c r="AB4" s="3189" t="s">
        <v>2536</v>
      </c>
      <c r="AC4" s="3189" t="s">
        <v>2537</v>
      </c>
    </row>
    <row r="5" spans="1:29" ht="15">
      <c r="A5" s="404"/>
      <c r="B5" s="405"/>
      <c r="C5" s="3209" t="s">
        <v>2540</v>
      </c>
      <c r="D5" s="3210"/>
      <c r="E5" s="3217" t="s">
        <v>2541</v>
      </c>
      <c r="F5" s="3218"/>
      <c r="G5" s="3209" t="s">
        <v>2542</v>
      </c>
      <c r="H5" s="3210"/>
      <c r="I5" s="3209" t="s">
        <v>2543</v>
      </c>
      <c r="J5" s="3210"/>
      <c r="K5" s="2599"/>
      <c r="L5" s="1133"/>
      <c r="M5" s="1134"/>
      <c r="N5" s="1134"/>
      <c r="O5" s="1134"/>
      <c r="P5" s="3197"/>
      <c r="Q5" s="3198"/>
      <c r="R5" s="3203"/>
      <c r="S5" s="3204"/>
      <c r="T5" s="3203"/>
      <c r="U5" s="3204"/>
      <c r="V5" s="3188"/>
      <c r="W5" s="3188"/>
      <c r="X5" s="1815"/>
      <c r="Y5" s="3203"/>
      <c r="Z5" s="3204"/>
      <c r="AA5" s="3190"/>
      <c r="AB5" s="3190"/>
      <c r="AC5" s="3190"/>
    </row>
    <row r="6" spans="1:29" ht="15.75" thickBot="1">
      <c r="A6" s="406"/>
      <c r="B6" s="407"/>
      <c r="C6" s="3214" t="s">
        <v>2544</v>
      </c>
      <c r="D6" s="3208"/>
      <c r="E6" s="3254" t="s">
        <v>2544</v>
      </c>
      <c r="F6" s="3216"/>
      <c r="G6" s="3214" t="s">
        <v>2544</v>
      </c>
      <c r="H6" s="3208"/>
      <c r="I6" s="3214" t="s">
        <v>2544</v>
      </c>
      <c r="J6" s="3208"/>
      <c r="K6" s="2599" t="s">
        <v>2545</v>
      </c>
      <c r="L6" s="1133"/>
      <c r="M6" s="1134"/>
      <c r="N6" s="1134"/>
      <c r="O6" s="1134"/>
      <c r="P6" s="3199"/>
      <c r="Q6" s="3200"/>
      <c r="R6" s="3203"/>
      <c r="S6" s="3204"/>
      <c r="T6" s="3205"/>
      <c r="U6" s="3206"/>
      <c r="V6" s="3188"/>
      <c r="W6" s="3188"/>
      <c r="X6" s="1815"/>
      <c r="Y6" s="3205"/>
      <c r="Z6" s="3206"/>
      <c r="AA6" s="3191"/>
      <c r="AB6" s="3191"/>
      <c r="AC6" s="3191"/>
    </row>
    <row r="7" spans="1:29" s="117" customFormat="1" ht="15.75" thickBot="1">
      <c r="A7" s="408" t="s">
        <v>2546</v>
      </c>
      <c r="B7" s="409"/>
      <c r="C7" s="410">
        <f>'数据-取费表'!B2</f>
        <v>43180</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11" t="s">
        <v>2547</v>
      </c>
      <c r="Q7" s="3213"/>
      <c r="R7" s="770" t="s">
        <v>23</v>
      </c>
      <c r="S7" s="771">
        <f t="shared" ref="S7:S15" si="0">F7</f>
        <v>0</v>
      </c>
      <c r="T7" s="770" t="s">
        <v>23</v>
      </c>
      <c r="U7" s="771">
        <f t="shared" ref="U7:U15" si="1">H7</f>
        <v>0</v>
      </c>
      <c r="V7" s="770" t="s">
        <v>23</v>
      </c>
      <c r="W7" s="771">
        <f t="shared" ref="W7:W15" si="2">J7</f>
        <v>0</v>
      </c>
      <c r="X7" s="772"/>
      <c r="Y7" s="3211" t="s">
        <v>2547</v>
      </c>
      <c r="Z7" s="3212"/>
      <c r="AA7" s="773" t="e">
        <f>D7/F7</f>
        <v>#DIV/0!</v>
      </c>
      <c r="AB7" s="773" t="e">
        <f>D7/H7</f>
        <v>#DIV/0!</v>
      </c>
      <c r="AC7" s="773" t="e">
        <f>D7/J7</f>
        <v>#DIV/0!</v>
      </c>
    </row>
    <row r="8" spans="1:29" s="117" customFormat="1" ht="15.75" thickBot="1">
      <c r="A8" s="408" t="s">
        <v>2548</v>
      </c>
      <c r="B8" s="409"/>
      <c r="C8" s="414" t="s">
        <v>2549</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11" t="s">
        <v>2550</v>
      </c>
      <c r="Q8" s="3212"/>
      <c r="R8" s="770" t="s">
        <v>23</v>
      </c>
      <c r="S8" s="771">
        <f t="shared" si="0"/>
        <v>0</v>
      </c>
      <c r="T8" s="770" t="s">
        <v>23</v>
      </c>
      <c r="U8" s="771">
        <f t="shared" si="1"/>
        <v>0</v>
      </c>
      <c r="V8" s="770" t="s">
        <v>23</v>
      </c>
      <c r="W8" s="771">
        <f t="shared" si="2"/>
        <v>0</v>
      </c>
      <c r="X8" s="772"/>
      <c r="Y8" s="3211" t="s">
        <v>2550</v>
      </c>
      <c r="Z8" s="3212"/>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81" t="s">
        <v>2553</v>
      </c>
      <c r="Q9" s="1797"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1"/>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1"/>
      <c r="Q11" s="1797"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1"/>
      <c r="Q12" s="1797">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1"/>
      <c r="Q13" s="1797">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1"/>
      <c r="Q14" s="1797">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2557</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2" t="s">
        <v>2558</v>
      </c>
      <c r="Q15" s="1812" t="str">
        <f t="shared" si="6"/>
        <v>居住社区成熟度</v>
      </c>
      <c r="R15" s="774" t="s">
        <v>21</v>
      </c>
      <c r="S15" s="775">
        <f t="shared" si="0"/>
        <v>100</v>
      </c>
      <c r="T15" s="774" t="s">
        <v>21</v>
      </c>
      <c r="U15" s="775">
        <f t="shared" si="1"/>
        <v>100</v>
      </c>
      <c r="V15" s="774" t="s">
        <v>21</v>
      </c>
      <c r="W15" s="775">
        <f t="shared" si="2"/>
        <v>100</v>
      </c>
      <c r="X15" s="1815"/>
      <c r="Y15" s="3184" t="s">
        <v>2558</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3"/>
      <c r="M16" s="1134"/>
      <c r="N16" s="1134"/>
      <c r="O16" s="1134"/>
      <c r="P16" s="3253"/>
      <c r="Q16" s="1812"/>
      <c r="R16" s="774"/>
      <c r="S16" s="775"/>
      <c r="T16" s="774"/>
      <c r="U16" s="775"/>
      <c r="V16" s="774"/>
      <c r="W16" s="775"/>
      <c r="X16" s="1815"/>
      <c r="Y16" s="3185"/>
      <c r="Z16" s="1816"/>
      <c r="AA16" s="1813">
        <v>1</v>
      </c>
      <c r="AB16" s="1813">
        <v>1</v>
      </c>
      <c r="AC16" s="1813">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3"/>
      <c r="Q17" s="1812" t="str">
        <f>B17</f>
        <v>交通便捷度</v>
      </c>
      <c r="R17" s="774" t="s">
        <v>21</v>
      </c>
      <c r="S17" s="775">
        <f>F17</f>
        <v>100</v>
      </c>
      <c r="T17" s="774" t="s">
        <v>21</v>
      </c>
      <c r="U17" s="775">
        <f>H17</f>
        <v>100</v>
      </c>
      <c r="V17" s="774" t="s">
        <v>21</v>
      </c>
      <c r="W17" s="775">
        <f>J17</f>
        <v>100</v>
      </c>
      <c r="X17" s="1815"/>
      <c r="Y17" s="3185"/>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3"/>
      <c r="M18" s="1134"/>
      <c r="N18" s="1134"/>
      <c r="O18" s="1134"/>
      <c r="P18" s="3253"/>
      <c r="Q18" s="1812"/>
      <c r="R18" s="774"/>
      <c r="S18" s="775"/>
      <c r="T18" s="774"/>
      <c r="U18" s="775"/>
      <c r="V18" s="774"/>
      <c r="W18" s="775"/>
      <c r="X18" s="1815"/>
      <c r="Y18" s="3185"/>
      <c r="Z18" s="1816"/>
      <c r="AA18" s="1813">
        <v>1</v>
      </c>
      <c r="AB18" s="1813">
        <v>1</v>
      </c>
      <c r="AC18" s="1813">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3"/>
      <c r="Q19" s="1812" t="str">
        <f>B19</f>
        <v>公共配套设施</v>
      </c>
      <c r="R19" s="774" t="s">
        <v>21</v>
      </c>
      <c r="S19" s="775">
        <f>F19</f>
        <v>100</v>
      </c>
      <c r="T19" s="774" t="s">
        <v>21</v>
      </c>
      <c r="U19" s="775">
        <f>H19</f>
        <v>100</v>
      </c>
      <c r="V19" s="774" t="s">
        <v>21</v>
      </c>
      <c r="W19" s="775">
        <f>J19</f>
        <v>100</v>
      </c>
      <c r="X19" s="1815"/>
      <c r="Y19" s="3185"/>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3"/>
      <c r="M20" s="1134"/>
      <c r="N20" s="1134"/>
      <c r="O20" s="1134"/>
      <c r="P20" s="3253"/>
      <c r="Q20" s="1812"/>
      <c r="R20" s="774"/>
      <c r="S20" s="775"/>
      <c r="T20" s="774"/>
      <c r="U20" s="775"/>
      <c r="V20" s="774"/>
      <c r="W20" s="775"/>
      <c r="X20" s="1815"/>
      <c r="Y20" s="3185"/>
      <c r="Z20" s="1816"/>
      <c r="AA20" s="1813">
        <v>1</v>
      </c>
      <c r="AB20" s="1813">
        <v>1</v>
      </c>
      <c r="AC20" s="1813">
        <v>1</v>
      </c>
    </row>
    <row r="21" spans="1:29" ht="28.5">
      <c r="A21" s="428"/>
      <c r="B21" s="1387"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3"/>
      <c r="Q21" s="1812" t="str">
        <f>B21</f>
        <v>基础设施水平</v>
      </c>
      <c r="R21" s="774" t="s">
        <v>17</v>
      </c>
      <c r="S21" s="775">
        <f>F21</f>
        <v>100</v>
      </c>
      <c r="T21" s="774" t="s">
        <v>17</v>
      </c>
      <c r="U21" s="775">
        <f>H21</f>
        <v>100</v>
      </c>
      <c r="V21" s="774" t="s">
        <v>17</v>
      </c>
      <c r="W21" s="775">
        <f>J21</f>
        <v>100</v>
      </c>
      <c r="X21" s="1815"/>
      <c r="Y21" s="3185"/>
      <c r="Z21" s="1816" t="str">
        <f>Q21</f>
        <v>基础设施水平</v>
      </c>
      <c r="AA21" s="1813">
        <f>D21/F21</f>
        <v>1</v>
      </c>
      <c r="AB21" s="1813">
        <f>D21/H21</f>
        <v>1</v>
      </c>
      <c r="AC21" s="1813">
        <f>D21/J21</f>
        <v>1</v>
      </c>
    </row>
    <row r="22" spans="1:29" ht="15">
      <c r="A22" s="428"/>
      <c r="B22" s="1387"/>
      <c r="C22" s="2610"/>
      <c r="D22" s="448"/>
      <c r="E22" s="447"/>
      <c r="F22" s="448"/>
      <c r="G22" s="2613"/>
      <c r="H22" s="448"/>
      <c r="I22" s="447"/>
      <c r="J22" s="448"/>
      <c r="K22" s="2614"/>
      <c r="L22" s="1143"/>
      <c r="M22" s="1134"/>
      <c r="N22" s="1134"/>
      <c r="O22" s="1134"/>
      <c r="P22" s="3253"/>
      <c r="Q22" s="1812"/>
      <c r="R22" s="774"/>
      <c r="S22" s="775"/>
      <c r="T22" s="774"/>
      <c r="U22" s="775"/>
      <c r="V22" s="774"/>
      <c r="W22" s="775"/>
      <c r="X22" s="1815"/>
      <c r="Y22" s="3185"/>
      <c r="Z22" s="1816"/>
      <c r="AA22" s="1813">
        <v>1</v>
      </c>
      <c r="AB22" s="1813">
        <v>1</v>
      </c>
      <c r="AC22" s="1813">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3"/>
      <c r="Q23" s="1812" t="str">
        <f>B23</f>
        <v>自然及人文环境</v>
      </c>
      <c r="R23" s="774" t="s">
        <v>21</v>
      </c>
      <c r="S23" s="775">
        <f>F23</f>
        <v>100</v>
      </c>
      <c r="T23" s="774" t="s">
        <v>21</v>
      </c>
      <c r="U23" s="775">
        <f>H23</f>
        <v>100</v>
      </c>
      <c r="V23" s="774" t="s">
        <v>21</v>
      </c>
      <c r="W23" s="775">
        <f>J23</f>
        <v>100</v>
      </c>
      <c r="X23" s="1815"/>
      <c r="Y23" s="3185"/>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3"/>
      <c r="M24" s="1134"/>
      <c r="N24" s="1134"/>
      <c r="O24" s="1134"/>
      <c r="P24" s="3253"/>
      <c r="Q24" s="1812"/>
      <c r="R24" s="774"/>
      <c r="S24" s="775"/>
      <c r="T24" s="774"/>
      <c r="U24" s="775"/>
      <c r="V24" s="774"/>
      <c r="W24" s="775"/>
      <c r="X24" s="1815"/>
      <c r="Y24" s="3185"/>
      <c r="Z24" s="1816"/>
      <c r="AA24" s="1813">
        <v>1</v>
      </c>
      <c r="AB24" s="1813">
        <v>1</v>
      </c>
      <c r="AC24" s="1813">
        <v>1</v>
      </c>
    </row>
    <row r="25" spans="1:29" ht="15">
      <c r="A25" s="428"/>
      <c r="B25" s="422" t="s">
        <v>2559</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3"/>
      <c r="Q25" s="1812" t="str">
        <f t="shared" ref="Q25:Q46" si="8">B25</f>
        <v>楼层-1</v>
      </c>
      <c r="R25" s="774" t="s">
        <v>21</v>
      </c>
      <c r="S25" s="775">
        <f t="shared" ref="S25:S46" si="9">F25</f>
        <v>100</v>
      </c>
      <c r="T25" s="774" t="s">
        <v>21</v>
      </c>
      <c r="U25" s="775">
        <f t="shared" ref="U25:U46" si="10">H25</f>
        <v>100</v>
      </c>
      <c r="V25" s="774" t="s">
        <v>21</v>
      </c>
      <c r="W25" s="775">
        <f t="shared" ref="W25:W46" si="11">J25</f>
        <v>100</v>
      </c>
      <c r="X25" s="1815"/>
      <c r="Y25" s="3185"/>
      <c r="Z25" s="1816" t="str">
        <f>Q25</f>
        <v>楼层-1</v>
      </c>
      <c r="AA25" s="1813">
        <f t="shared" ref="AA25:AA46" si="12">D25/F25</f>
        <v>1</v>
      </c>
      <c r="AB25" s="1813">
        <f t="shared" ref="AB25:AB46" si="13">D25/H25</f>
        <v>1</v>
      </c>
      <c r="AC25" s="1813">
        <f t="shared" ref="AC25:AC46" si="14">D25/J25</f>
        <v>1</v>
      </c>
    </row>
    <row r="26" spans="1:29" ht="15">
      <c r="A26" s="428"/>
      <c r="B26" s="422" t="s">
        <v>2560</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3"/>
      <c r="Q26" s="1812" t="str">
        <f t="shared" si="8"/>
        <v>朝向</v>
      </c>
      <c r="R26" s="774" t="s">
        <v>21</v>
      </c>
      <c r="S26" s="775">
        <f t="shared" si="9"/>
        <v>100</v>
      </c>
      <c r="T26" s="774" t="s">
        <v>21</v>
      </c>
      <c r="U26" s="775">
        <f t="shared" si="10"/>
        <v>100</v>
      </c>
      <c r="V26" s="774" t="s">
        <v>21</v>
      </c>
      <c r="W26" s="775">
        <f t="shared" si="11"/>
        <v>100</v>
      </c>
      <c r="X26" s="1815"/>
      <c r="Y26" s="3185"/>
      <c r="Z26" s="1816" t="str">
        <f>Q26</f>
        <v>朝向</v>
      </c>
      <c r="AA26" s="1813">
        <f t="shared" si="12"/>
        <v>1</v>
      </c>
      <c r="AB26" s="1813">
        <f t="shared" si="13"/>
        <v>1</v>
      </c>
      <c r="AC26" s="1813">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3"/>
      <c r="Q27" s="1797">
        <f t="shared" si="8"/>
        <v>111</v>
      </c>
      <c r="R27" s="770" t="s">
        <v>21</v>
      </c>
      <c r="S27" s="771">
        <f t="shared" si="9"/>
        <v>100</v>
      </c>
      <c r="T27" s="770" t="s">
        <v>21</v>
      </c>
      <c r="U27" s="771">
        <f t="shared" si="10"/>
        <v>100</v>
      </c>
      <c r="V27" s="770" t="s">
        <v>21</v>
      </c>
      <c r="W27" s="771">
        <f t="shared" si="11"/>
        <v>100</v>
      </c>
      <c r="X27" s="772"/>
      <c r="Y27" s="3185"/>
      <c r="Z27" s="55">
        <f>Q27</f>
        <v>111</v>
      </c>
      <c r="AA27" s="1813">
        <f t="shared" si="12"/>
        <v>1</v>
      </c>
      <c r="AB27" s="1813">
        <f t="shared" si="13"/>
        <v>1</v>
      </c>
      <c r="AC27" s="1813">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3"/>
      <c r="Q28" s="1812">
        <f t="shared" si="8"/>
        <v>111</v>
      </c>
      <c r="R28" s="774" t="s">
        <v>21</v>
      </c>
      <c r="S28" s="775">
        <f t="shared" si="9"/>
        <v>100</v>
      </c>
      <c r="T28" s="774" t="s">
        <v>21</v>
      </c>
      <c r="U28" s="775">
        <f t="shared" si="10"/>
        <v>100</v>
      </c>
      <c r="V28" s="774" t="s">
        <v>21</v>
      </c>
      <c r="W28" s="775">
        <f t="shared" si="11"/>
        <v>100</v>
      </c>
      <c r="X28" s="1815"/>
      <c r="Y28" s="3185"/>
      <c r="Z28" s="1816">
        <f t="shared" ref="Z28:Z46" si="15">Q28</f>
        <v>111</v>
      </c>
      <c r="AA28" s="1813">
        <f t="shared" si="12"/>
        <v>1</v>
      </c>
      <c r="AB28" s="1813">
        <f t="shared" si="13"/>
        <v>1</v>
      </c>
      <c r="AC28" s="1813">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3"/>
      <c r="Q29" s="1812">
        <f t="shared" si="8"/>
        <v>111</v>
      </c>
      <c r="R29" s="774" t="s">
        <v>21</v>
      </c>
      <c r="S29" s="775">
        <f t="shared" si="9"/>
        <v>100</v>
      </c>
      <c r="T29" s="774" t="s">
        <v>21</v>
      </c>
      <c r="U29" s="775">
        <f t="shared" si="10"/>
        <v>100</v>
      </c>
      <c r="V29" s="774" t="s">
        <v>21</v>
      </c>
      <c r="W29" s="775">
        <f t="shared" si="11"/>
        <v>100</v>
      </c>
      <c r="X29" s="1815"/>
      <c r="Y29" s="3185"/>
      <c r="Z29" s="1816">
        <f t="shared" si="15"/>
        <v>111</v>
      </c>
      <c r="AA29" s="1813">
        <f t="shared" si="12"/>
        <v>1</v>
      </c>
      <c r="AB29" s="1813">
        <f t="shared" si="13"/>
        <v>1</v>
      </c>
      <c r="AC29" s="1813">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3"/>
      <c r="Q30" s="1812">
        <f t="shared" si="8"/>
        <v>111</v>
      </c>
      <c r="R30" s="774" t="s">
        <v>21</v>
      </c>
      <c r="S30" s="775">
        <f t="shared" si="9"/>
        <v>100</v>
      </c>
      <c r="T30" s="774" t="s">
        <v>21</v>
      </c>
      <c r="U30" s="775">
        <f t="shared" si="10"/>
        <v>100</v>
      </c>
      <c r="V30" s="774" t="s">
        <v>21</v>
      </c>
      <c r="W30" s="775">
        <f t="shared" si="11"/>
        <v>100</v>
      </c>
      <c r="X30" s="1815"/>
      <c r="Y30" s="3185"/>
      <c r="Z30" s="1816">
        <f t="shared" si="15"/>
        <v>111</v>
      </c>
      <c r="AA30" s="1813">
        <f t="shared" si="12"/>
        <v>1</v>
      </c>
      <c r="AB30" s="1813">
        <f t="shared" si="13"/>
        <v>1</v>
      </c>
      <c r="AC30" s="1813">
        <f t="shared" si="14"/>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3"/>
      <c r="Q31" s="1812">
        <f t="shared" si="8"/>
        <v>111</v>
      </c>
      <c r="R31" s="774" t="s">
        <v>21</v>
      </c>
      <c r="S31" s="775">
        <f t="shared" si="9"/>
        <v>100</v>
      </c>
      <c r="T31" s="774" t="s">
        <v>21</v>
      </c>
      <c r="U31" s="775">
        <f t="shared" si="10"/>
        <v>100</v>
      </c>
      <c r="V31" s="774" t="s">
        <v>21</v>
      </c>
      <c r="W31" s="775">
        <f t="shared" si="11"/>
        <v>100</v>
      </c>
      <c r="X31" s="1815"/>
      <c r="Y31" s="3185"/>
      <c r="Z31" s="1816">
        <f t="shared" si="15"/>
        <v>111</v>
      </c>
      <c r="AA31" s="1813">
        <f t="shared" si="12"/>
        <v>1</v>
      </c>
      <c r="AB31" s="1813">
        <f t="shared" si="13"/>
        <v>1</v>
      </c>
      <c r="AC31" s="1813">
        <f t="shared" si="14"/>
        <v>1</v>
      </c>
    </row>
    <row r="32" spans="1:29" ht="15">
      <c r="A32" s="440" t="s">
        <v>2561</v>
      </c>
      <c r="B32" s="71" t="s">
        <v>2562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48" t="s">
        <v>2563</v>
      </c>
      <c r="Q32" s="1812" t="str">
        <f t="shared" si="8"/>
        <v>建筑类型</v>
      </c>
      <c r="R32" s="774" t="s">
        <v>21</v>
      </c>
      <c r="S32" s="775">
        <f t="shared" si="9"/>
        <v>100</v>
      </c>
      <c r="T32" s="774" t="s">
        <v>21</v>
      </c>
      <c r="U32" s="775">
        <f t="shared" si="10"/>
        <v>100</v>
      </c>
      <c r="V32" s="774" t="s">
        <v>21</v>
      </c>
      <c r="W32" s="775">
        <f t="shared" si="11"/>
        <v>100</v>
      </c>
      <c r="X32" s="1815"/>
      <c r="Y32" s="3187" t="s">
        <v>2563</v>
      </c>
      <c r="Z32" s="1816" t="str">
        <f t="shared" si="15"/>
        <v>建筑类型</v>
      </c>
      <c r="AA32" s="1813">
        <f t="shared" si="12"/>
        <v>1</v>
      </c>
      <c r="AB32" s="1813">
        <f t="shared" si="13"/>
        <v>1</v>
      </c>
      <c r="AC32" s="1813">
        <f t="shared" si="14"/>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49"/>
      <c r="Q33" s="776" t="str">
        <f t="shared" si="8"/>
        <v>项目建筑规模</v>
      </c>
      <c r="R33" s="777" t="s">
        <v>21</v>
      </c>
      <c r="S33" s="778" t="e">
        <f t="shared" si="9"/>
        <v>#N/A</v>
      </c>
      <c r="T33" s="777" t="s">
        <v>21</v>
      </c>
      <c r="U33" s="778" t="e">
        <f t="shared" si="10"/>
        <v>#N/A</v>
      </c>
      <c r="V33" s="777" t="s">
        <v>21</v>
      </c>
      <c r="W33" s="778" t="e">
        <f t="shared" si="11"/>
        <v>#N/A</v>
      </c>
      <c r="X33" s="779"/>
      <c r="Y33" s="3187"/>
      <c r="Z33" s="780" t="str">
        <f t="shared" si="15"/>
        <v>项目建筑规模</v>
      </c>
      <c r="AA33" s="1813" t="e">
        <f t="shared" si="12"/>
        <v>#N/A</v>
      </c>
      <c r="AB33" s="1813" t="e">
        <f t="shared" si="13"/>
        <v>#N/A</v>
      </c>
      <c r="AC33" s="1813" t="e">
        <f t="shared" si="14"/>
        <v>#N/A</v>
      </c>
    </row>
    <row r="34" spans="1:29" ht="15">
      <c r="A34" s="472"/>
      <c r="B34" s="422" t="s">
        <v>2565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49"/>
      <c r="Q34" s="1812" t="str">
        <f t="shared" si="8"/>
        <v>建筑结构</v>
      </c>
      <c r="R34" s="774" t="s">
        <v>21</v>
      </c>
      <c r="S34" s="775">
        <f t="shared" si="9"/>
        <v>100</v>
      </c>
      <c r="T34" s="774" t="s">
        <v>21</v>
      </c>
      <c r="U34" s="775">
        <f t="shared" si="10"/>
        <v>100</v>
      </c>
      <c r="V34" s="774" t="s">
        <v>21</v>
      </c>
      <c r="W34" s="775">
        <f t="shared" si="11"/>
        <v>100</v>
      </c>
      <c r="X34" s="1815"/>
      <c r="Y34" s="3187"/>
      <c r="Z34" s="1816" t="str">
        <f t="shared" si="15"/>
        <v>建筑结构</v>
      </c>
      <c r="AA34" s="1813">
        <f t="shared" si="12"/>
        <v>1</v>
      </c>
      <c r="AB34" s="1813">
        <f t="shared" si="13"/>
        <v>1</v>
      </c>
      <c r="AC34" s="1813">
        <f t="shared" si="14"/>
        <v>1</v>
      </c>
    </row>
    <row r="35" spans="1:29" ht="15">
      <c r="A35" s="472"/>
      <c r="B35" s="422" t="s">
        <v>2566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49"/>
      <c r="Q35" s="1812" t="str">
        <f t="shared" si="8"/>
        <v>建筑品质</v>
      </c>
      <c r="R35" s="774" t="s">
        <v>21</v>
      </c>
      <c r="S35" s="775">
        <f t="shared" si="9"/>
        <v>100</v>
      </c>
      <c r="T35" s="774" t="s">
        <v>21</v>
      </c>
      <c r="U35" s="775">
        <f t="shared" si="10"/>
        <v>100</v>
      </c>
      <c r="V35" s="774" t="s">
        <v>21</v>
      </c>
      <c r="W35" s="775">
        <f t="shared" si="11"/>
        <v>100</v>
      </c>
      <c r="X35" s="1815"/>
      <c r="Y35" s="3187"/>
      <c r="Z35" s="1816" t="str">
        <f t="shared" si="15"/>
        <v>建筑品质</v>
      </c>
      <c r="AA35" s="1813">
        <f t="shared" si="12"/>
        <v>1</v>
      </c>
      <c r="AB35" s="1813">
        <f t="shared" si="13"/>
        <v>1</v>
      </c>
      <c r="AC35" s="1813">
        <f t="shared" si="14"/>
        <v>1</v>
      </c>
    </row>
    <row r="36" spans="1:29" ht="15">
      <c r="A36" s="472"/>
      <c r="B36" s="422" t="s">
        <v>2567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49"/>
      <c r="Q36" s="1812" t="str">
        <f t="shared" si="8"/>
        <v>公共部分装修</v>
      </c>
      <c r="R36" s="774" t="s">
        <v>21</v>
      </c>
      <c r="S36" s="775">
        <f t="shared" si="9"/>
        <v>100</v>
      </c>
      <c r="T36" s="774" t="s">
        <v>21</v>
      </c>
      <c r="U36" s="775">
        <f t="shared" si="10"/>
        <v>100</v>
      </c>
      <c r="V36" s="774" t="s">
        <v>21</v>
      </c>
      <c r="W36" s="775">
        <f t="shared" si="11"/>
        <v>100</v>
      </c>
      <c r="X36" s="1815"/>
      <c r="Y36" s="3187"/>
      <c r="Z36" s="1816" t="str">
        <f t="shared" si="15"/>
        <v>公共部分装修</v>
      </c>
      <c r="AA36" s="1813">
        <f t="shared" si="12"/>
        <v>1</v>
      </c>
      <c r="AB36" s="1813">
        <f t="shared" si="13"/>
        <v>1</v>
      </c>
      <c r="AC36" s="1813">
        <f t="shared" si="14"/>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9"/>
      <c r="Q37" s="1797" t="str">
        <f t="shared" si="8"/>
        <v>成新度</v>
      </c>
      <c r="R37" s="770" t="s">
        <v>21</v>
      </c>
      <c r="S37" s="771" t="e">
        <f t="shared" si="9"/>
        <v>#N/A</v>
      </c>
      <c r="T37" s="770" t="s">
        <v>21</v>
      </c>
      <c r="U37" s="771" t="e">
        <f t="shared" si="10"/>
        <v>#N/A</v>
      </c>
      <c r="V37" s="770" t="s">
        <v>21</v>
      </c>
      <c r="W37" s="771" t="e">
        <f t="shared" si="11"/>
        <v>#N/A</v>
      </c>
      <c r="X37" s="772"/>
      <c r="Y37" s="3187"/>
      <c r="Z37" s="55" t="str">
        <f t="shared" si="15"/>
        <v>成新度</v>
      </c>
      <c r="AA37" s="773" t="e">
        <f t="shared" si="12"/>
        <v>#N/A</v>
      </c>
      <c r="AB37" s="773" t="e">
        <f t="shared" si="13"/>
        <v>#N/A</v>
      </c>
      <c r="AC37" s="773" t="e">
        <f t="shared" si="14"/>
        <v>#N/A</v>
      </c>
    </row>
    <row r="38" spans="1:29" ht="15">
      <c r="A38" s="472"/>
      <c r="B38" s="422" t="s">
        <v>2569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49" t="s">
        <v>2563</v>
      </c>
      <c r="Q38" s="1812" t="str">
        <f t="shared" si="8"/>
        <v>物业管理</v>
      </c>
      <c r="R38" s="774" t="s">
        <v>21</v>
      </c>
      <c r="S38" s="775">
        <f t="shared" si="9"/>
        <v>100</v>
      </c>
      <c r="T38" s="774" t="s">
        <v>21</v>
      </c>
      <c r="U38" s="775">
        <f t="shared" si="10"/>
        <v>100</v>
      </c>
      <c r="V38" s="774" t="s">
        <v>21</v>
      </c>
      <c r="W38" s="775">
        <f t="shared" si="11"/>
        <v>100</v>
      </c>
      <c r="X38" s="1815"/>
      <c r="Y38" s="3187" t="s">
        <v>2563</v>
      </c>
      <c r="Z38" s="1816" t="str">
        <f t="shared" si="15"/>
        <v>物业管理</v>
      </c>
      <c r="AA38" s="1813">
        <f t="shared" si="12"/>
        <v>1</v>
      </c>
      <c r="AB38" s="1813">
        <f t="shared" si="13"/>
        <v>1</v>
      </c>
      <c r="AC38" s="1813">
        <f t="shared" si="14"/>
        <v>1</v>
      </c>
    </row>
    <row r="39" spans="1:29" ht="15">
      <c r="A39" s="472"/>
      <c r="B39" s="422" t="s">
        <v>2570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49"/>
      <c r="Q39" s="1812" t="str">
        <f t="shared" si="8"/>
        <v>市政基础设施</v>
      </c>
      <c r="R39" s="774" t="s">
        <v>21</v>
      </c>
      <c r="S39" s="775">
        <f t="shared" si="9"/>
        <v>100</v>
      </c>
      <c r="T39" s="774" t="s">
        <v>21</v>
      </c>
      <c r="U39" s="775">
        <f t="shared" si="10"/>
        <v>100</v>
      </c>
      <c r="V39" s="774" t="s">
        <v>21</v>
      </c>
      <c r="W39" s="775">
        <f t="shared" si="11"/>
        <v>100</v>
      </c>
      <c r="X39" s="1815"/>
      <c r="Y39" s="3187"/>
      <c r="Z39" s="1816" t="str">
        <f t="shared" si="15"/>
        <v>市政基础设施</v>
      </c>
      <c r="AA39" s="1813">
        <f t="shared" si="12"/>
        <v>1</v>
      </c>
      <c r="AB39" s="1813">
        <f t="shared" si="13"/>
        <v>1</v>
      </c>
      <c r="AC39" s="1813">
        <f t="shared" si="14"/>
        <v>1</v>
      </c>
    </row>
    <row r="40" spans="1:29" ht="15">
      <c r="A40" s="472"/>
      <c r="B40" s="422" t="s">
        <v>2571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49"/>
      <c r="Q40" s="1812" t="str">
        <f t="shared" si="8"/>
        <v>房型</v>
      </c>
      <c r="R40" s="774" t="s">
        <v>21</v>
      </c>
      <c r="S40" s="775">
        <f t="shared" si="9"/>
        <v>100</v>
      </c>
      <c r="T40" s="774" t="s">
        <v>21</v>
      </c>
      <c r="U40" s="775">
        <f t="shared" si="10"/>
        <v>100</v>
      </c>
      <c r="V40" s="774" t="s">
        <v>21</v>
      </c>
      <c r="W40" s="775">
        <f t="shared" si="11"/>
        <v>100</v>
      </c>
      <c r="X40" s="1815"/>
      <c r="Y40" s="3187"/>
      <c r="Z40" s="1816" t="str">
        <f t="shared" si="15"/>
        <v>房型</v>
      </c>
      <c r="AA40" s="1813">
        <f t="shared" si="12"/>
        <v>1</v>
      </c>
      <c r="AB40" s="1813">
        <f t="shared" si="13"/>
        <v>1</v>
      </c>
      <c r="AC40" s="1813">
        <f t="shared" si="14"/>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49"/>
      <c r="Q41" s="776" t="str">
        <f t="shared" si="8"/>
        <v>单套/主力户型建筑面积</v>
      </c>
      <c r="R41" s="777" t="s">
        <v>21</v>
      </c>
      <c r="S41" s="778">
        <f t="shared" si="9"/>
        <v>100</v>
      </c>
      <c r="T41" s="777" t="s">
        <v>21</v>
      </c>
      <c r="U41" s="778">
        <f t="shared" si="10"/>
        <v>100</v>
      </c>
      <c r="V41" s="777" t="s">
        <v>21</v>
      </c>
      <c r="W41" s="778">
        <f t="shared" si="11"/>
        <v>100</v>
      </c>
      <c r="X41" s="779"/>
      <c r="Y41" s="3187"/>
      <c r="Z41" s="780" t="str">
        <f t="shared" si="15"/>
        <v>单套/主力户型建筑面积</v>
      </c>
      <c r="AA41" s="1813">
        <f t="shared" si="12"/>
        <v>1</v>
      </c>
      <c r="AB41" s="1813">
        <f t="shared" si="13"/>
        <v>1</v>
      </c>
      <c r="AC41" s="1813">
        <f t="shared" si="14"/>
        <v>1</v>
      </c>
    </row>
    <row r="42" spans="1:29" ht="15">
      <c r="A42" s="472"/>
      <c r="B42" s="422" t="s">
        <v>2573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49"/>
      <c r="Q42" s="1812" t="str">
        <f t="shared" si="8"/>
        <v>内部装修</v>
      </c>
      <c r="R42" s="774" t="s">
        <v>21</v>
      </c>
      <c r="S42" s="775">
        <f t="shared" si="9"/>
        <v>100</v>
      </c>
      <c r="T42" s="774" t="s">
        <v>21</v>
      </c>
      <c r="U42" s="775">
        <f t="shared" si="10"/>
        <v>100</v>
      </c>
      <c r="V42" s="774" t="s">
        <v>21</v>
      </c>
      <c r="W42" s="775">
        <f t="shared" si="11"/>
        <v>100</v>
      </c>
      <c r="X42" s="1815"/>
      <c r="Y42" s="3187"/>
      <c r="Z42" s="1816" t="str">
        <f t="shared" si="15"/>
        <v>内部装修</v>
      </c>
      <c r="AA42" s="1813">
        <f t="shared" si="12"/>
        <v>1</v>
      </c>
      <c r="AB42" s="1813">
        <f t="shared" si="13"/>
        <v>1</v>
      </c>
      <c r="AC42" s="1813">
        <f t="shared" si="14"/>
        <v>1</v>
      </c>
    </row>
    <row r="43" spans="1:29" ht="15">
      <c r="A43" s="472"/>
      <c r="B43" s="422" t="s">
        <v>2574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49"/>
      <c r="Q43" s="1812" t="str">
        <f t="shared" si="8"/>
        <v>内部装修维护情况</v>
      </c>
      <c r="R43" s="774" t="s">
        <v>21</v>
      </c>
      <c r="S43" s="775">
        <f t="shared" si="9"/>
        <v>100</v>
      </c>
      <c r="T43" s="774" t="s">
        <v>21</v>
      </c>
      <c r="U43" s="775">
        <f t="shared" si="10"/>
        <v>100</v>
      </c>
      <c r="V43" s="774" t="s">
        <v>21</v>
      </c>
      <c r="W43" s="775">
        <f t="shared" si="11"/>
        <v>100</v>
      </c>
      <c r="X43" s="1815"/>
      <c r="Y43" s="3187"/>
      <c r="Z43" s="1816" t="str">
        <f t="shared" si="15"/>
        <v>内部装修维护情况</v>
      </c>
      <c r="AA43" s="1813">
        <f t="shared" si="12"/>
        <v>1</v>
      </c>
      <c r="AB43" s="1813">
        <f t="shared" si="13"/>
        <v>1</v>
      </c>
      <c r="AC43" s="1813">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49"/>
      <c r="Q44" s="1797">
        <f t="shared" si="8"/>
        <v>111</v>
      </c>
      <c r="R44" s="770" t="s">
        <v>21</v>
      </c>
      <c r="S44" s="771">
        <f t="shared" si="9"/>
        <v>100</v>
      </c>
      <c r="T44" s="770" t="s">
        <v>21</v>
      </c>
      <c r="U44" s="771">
        <f t="shared" si="10"/>
        <v>100</v>
      </c>
      <c r="V44" s="770" t="s">
        <v>21</v>
      </c>
      <c r="W44" s="771">
        <f t="shared" si="11"/>
        <v>100</v>
      </c>
      <c r="X44" s="772"/>
      <c r="Y44" s="3187"/>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49"/>
      <c r="Q45" s="1812">
        <f t="shared" si="8"/>
        <v>111</v>
      </c>
      <c r="R45" s="774" t="s">
        <v>21</v>
      </c>
      <c r="S45" s="775">
        <f t="shared" si="9"/>
        <v>100</v>
      </c>
      <c r="T45" s="774" t="s">
        <v>21</v>
      </c>
      <c r="U45" s="775">
        <f t="shared" si="10"/>
        <v>100</v>
      </c>
      <c r="V45" s="774" t="s">
        <v>21</v>
      </c>
      <c r="W45" s="775">
        <f t="shared" si="11"/>
        <v>100</v>
      </c>
      <c r="X45" s="1815"/>
      <c r="Y45" s="3187"/>
      <c r="Z45" s="1816">
        <f t="shared" si="15"/>
        <v>111</v>
      </c>
      <c r="AA45" s="1813">
        <f t="shared" si="12"/>
        <v>1</v>
      </c>
      <c r="AB45" s="1813">
        <f t="shared" si="13"/>
        <v>1</v>
      </c>
      <c r="AC45" s="1813">
        <f t="shared" si="14"/>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0"/>
      <c r="Q46" s="1812">
        <f t="shared" si="8"/>
        <v>111</v>
      </c>
      <c r="R46" s="774" t="s">
        <v>20</v>
      </c>
      <c r="S46" s="775">
        <f t="shared" si="9"/>
        <v>100</v>
      </c>
      <c r="T46" s="774" t="s">
        <v>20</v>
      </c>
      <c r="U46" s="775">
        <f t="shared" si="10"/>
        <v>100</v>
      </c>
      <c r="V46" s="774" t="s">
        <v>20</v>
      </c>
      <c r="W46" s="775">
        <f t="shared" si="11"/>
        <v>100</v>
      </c>
      <c r="X46" s="1815"/>
      <c r="Y46" s="3251"/>
      <c r="Z46" s="1816">
        <f t="shared" si="15"/>
        <v>111</v>
      </c>
      <c r="AA46" s="1813">
        <f t="shared" si="12"/>
        <v>1</v>
      </c>
      <c r="AB46" s="1813">
        <f t="shared" si="13"/>
        <v>1</v>
      </c>
      <c r="AC46" s="1813">
        <f t="shared" si="14"/>
        <v>1</v>
      </c>
    </row>
    <row r="47" spans="1:29" ht="15">
      <c r="A47" s="479" t="s">
        <v>2575</v>
      </c>
      <c r="B47" s="480"/>
      <c r="C47" s="1410" t="s">
        <v>19</v>
      </c>
      <c r="D47" s="1411"/>
      <c r="E47" s="1412"/>
      <c r="F47" s="1413"/>
      <c r="G47" s="1414"/>
      <c r="H47" s="1415"/>
      <c r="I47" s="1412"/>
      <c r="J47" s="1415"/>
      <c r="K47" s="2623"/>
      <c r="L47" s="1146"/>
      <c r="M47" s="1147"/>
      <c r="N47" s="1134"/>
      <c r="O47" s="1147"/>
      <c r="P47" s="3182" t="str">
        <f>A47</f>
        <v>成交单价（元/平方米）</v>
      </c>
      <c r="Q47" s="3182"/>
      <c r="R47" s="3247">
        <f>E47</f>
        <v>0</v>
      </c>
      <c r="S47" s="3247"/>
      <c r="T47" s="3247">
        <f>G47</f>
        <v>0</v>
      </c>
      <c r="U47" s="3247"/>
      <c r="V47" s="3247">
        <f>I47</f>
        <v>0</v>
      </c>
      <c r="W47" s="3247"/>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4"/>
      <c r="L48" s="1146"/>
      <c r="M48" s="1147"/>
      <c r="N48" s="1147"/>
      <c r="O48" s="1147"/>
      <c r="P48" s="3182" t="str">
        <f>A48</f>
        <v>比较价值（元/平方米）</v>
      </c>
      <c r="Q48" s="3182"/>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5"/>
      <c r="L49" s="1146"/>
      <c r="M49" s="1147"/>
      <c r="N49" s="1147"/>
      <c r="O49" s="1147"/>
      <c r="P49" s="3176" t="str">
        <f>A49</f>
        <v>估价对象XX用房的比较价值（楼面单价，元/平方米）</v>
      </c>
      <c r="Q49" s="3177"/>
      <c r="R49" s="3246" t="e">
        <f>IF(F1="售价",ROUND(AVERAGE(R48:V48),0),ROUND(AVERAGE(R48:V48),1))</f>
        <v>#DIV/0!</v>
      </c>
      <c r="S49" s="3246"/>
      <c r="T49" s="3246"/>
      <c r="U49" s="3246"/>
      <c r="V49" s="3246"/>
      <c r="W49" s="32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8"/>
      <c r="Q57" s="504"/>
    </row>
    <row r="58" spans="1:29" s="508" customFormat="1" ht="15">
      <c r="A58" s="505" t="s">
        <v>2582</v>
      </c>
      <c r="B58" s="506"/>
      <c r="C58" s="1578" t="str">
        <f>YEAR(C7)&amp;"-"&amp;MONTH(C7)</f>
        <v>2018-3</v>
      </c>
      <c r="D58" s="1577">
        <f>EDATE(C58,-1)</f>
        <v>43132</v>
      </c>
      <c r="E58" s="1577">
        <f>EDATE(D58,-1)</f>
        <v>43101</v>
      </c>
      <c r="F58" s="1577">
        <f t="shared" ref="F58:O58" si="16">EDATE(E58,-1)</f>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 t="shared" si="16"/>
        <v>42795</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2583</v>
      </c>
      <c r="B60" s="516"/>
      <c r="C60" s="517"/>
      <c r="D60" s="518"/>
      <c r="E60" s="518"/>
      <c r="F60" s="518"/>
      <c r="G60" s="518"/>
      <c r="H60" s="518"/>
      <c r="I60" s="518"/>
      <c r="J60" s="518"/>
      <c r="K60" s="518"/>
      <c r="L60" s="518"/>
      <c r="M60" s="519"/>
      <c r="N60" s="518"/>
      <c r="O60" s="519"/>
      <c r="P60" s="2630"/>
      <c r="Q60" s="504"/>
    </row>
    <row r="61" spans="1:29" s="117" customFormat="1" ht="15">
      <c r="A61" s="521" t="s">
        <v>2584</v>
      </c>
      <c r="B61" s="510"/>
      <c r="C61" s="522" t="s">
        <v>2585</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2"/>
      <c r="Q66" s="504"/>
    </row>
    <row r="67" spans="1:17" ht="15.75" thickTop="1">
      <c r="A67" s="534"/>
      <c r="B67" s="546" t="s">
        <v>2556</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2096</v>
      </c>
      <c r="C82" s="539" t="s">
        <v>2602</v>
      </c>
      <c r="D82" s="539" t="s">
        <v>2603</v>
      </c>
      <c r="E82" s="539" t="s">
        <v>2604</v>
      </c>
      <c r="F82" s="539" t="s">
        <v>2605</v>
      </c>
      <c r="G82" s="539" t="s">
        <v>2606</v>
      </c>
      <c r="H82" s="539"/>
      <c r="I82" s="539"/>
      <c r="J82" s="539"/>
      <c r="K82" s="539"/>
      <c r="L82" s="539"/>
      <c r="M82" s="1385"/>
      <c r="N82" s="1156"/>
      <c r="O82" s="1156"/>
      <c r="P82" s="2632"/>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2608</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
        <v>2609</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2561</v>
      </c>
      <c r="B100" s="528" t="s">
        <v>2610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2"/>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2"/>
      <c r="Q106" s="504"/>
    </row>
    <row r="107" spans="1:17" ht="15" thickTop="1">
      <c r="A107" s="599"/>
      <c r="B107" s="538" t="s">
        <v>2613</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2"/>
      <c r="Q108" s="504"/>
    </row>
    <row r="109" spans="1:17" ht="15" thickTop="1">
      <c r="A109" s="599"/>
      <c r="B109" s="538" t="s">
        <v>2614</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2615</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2"/>
      <c r="Q115" s="504"/>
    </row>
    <row r="116" spans="1:17" ht="15" thickTop="1">
      <c r="A116" s="599"/>
      <c r="B116" s="538" t="s">
        <v>2616</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2617</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2"/>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6" t="s">
        <v>2623</v>
      </c>
      <c r="D138" s="146" t="s">
        <v>2624</v>
      </c>
      <c r="E138" s="2647" t="s">
        <v>2625</v>
      </c>
      <c r="F138" s="2648" t="s">
        <v>2626</v>
      </c>
      <c r="G138" s="146" t="s">
        <v>2624</v>
      </c>
      <c r="H138" s="147" t="s">
        <v>2625</v>
      </c>
      <c r="I138" s="2649"/>
      <c r="J138" s="146" t="s">
        <v>2627</v>
      </c>
      <c r="K138" s="147" t="s">
        <v>2628</v>
      </c>
    </row>
    <row r="139" spans="1:17" ht="15">
      <c r="B139" s="1087">
        <v>6</v>
      </c>
      <c r="C139" s="1088">
        <v>96</v>
      </c>
      <c r="D139" s="2650" t="s">
        <v>2629</v>
      </c>
      <c r="E139" s="1089">
        <v>100</v>
      </c>
      <c r="F139" s="1090">
        <v>102.5</v>
      </c>
      <c r="G139" s="2650" t="s">
        <v>2629</v>
      </c>
      <c r="H139" s="1091">
        <v>105</v>
      </c>
      <c r="I139" s="2651" t="s">
        <v>2630</v>
      </c>
      <c r="J139" s="1088">
        <v>20</v>
      </c>
      <c r="K139" s="1092">
        <f>C145/(J139-2)</f>
        <v>4.0555555555555553E-3</v>
      </c>
    </row>
    <row r="140" spans="1:17" ht="15">
      <c r="B140" s="1093">
        <v>5</v>
      </c>
      <c r="C140" s="1094">
        <v>100</v>
      </c>
      <c r="D140" s="1094"/>
      <c r="E140" s="1095"/>
      <c r="F140" s="1096">
        <v>102</v>
      </c>
      <c r="G140" s="1094"/>
      <c r="H140" s="1097"/>
      <c r="I140" s="2652" t="s">
        <v>2631</v>
      </c>
      <c r="J140" s="315">
        <f>ROUNDUP((J139-1)/2,0)</f>
        <v>10</v>
      </c>
      <c r="K140" s="1098">
        <v>100</v>
      </c>
    </row>
    <row r="141" spans="1:17" ht="15">
      <c r="B141" s="1093">
        <v>4</v>
      </c>
      <c r="C141" s="1094">
        <v>102</v>
      </c>
      <c r="D141" s="1094"/>
      <c r="E141" s="1095"/>
      <c r="F141" s="1096">
        <v>101.5</v>
      </c>
      <c r="G141" s="1094"/>
      <c r="H141" s="1097"/>
      <c r="I141" s="2652" t="s">
        <v>2632</v>
      </c>
      <c r="J141" s="315">
        <v>1</v>
      </c>
      <c r="K141" s="1099">
        <f>ROUND(100+(J141-J140)*K139*100,1)</f>
        <v>96.4</v>
      </c>
    </row>
    <row r="142" spans="1:17" ht="15">
      <c r="B142" s="1093">
        <v>3</v>
      </c>
      <c r="C142" s="1094">
        <v>103</v>
      </c>
      <c r="D142" s="1094"/>
      <c r="E142" s="1095"/>
      <c r="F142" s="1096">
        <v>101</v>
      </c>
      <c r="G142" s="1094"/>
      <c r="H142" s="1097"/>
      <c r="I142" s="2652" t="s">
        <v>2633</v>
      </c>
      <c r="J142" s="315">
        <f>J139</f>
        <v>20</v>
      </c>
      <c r="K142" s="1100">
        <v>95</v>
      </c>
    </row>
    <row r="143" spans="1:17" ht="15">
      <c r="B143" s="1093">
        <v>2</v>
      </c>
      <c r="C143" s="1094">
        <v>100</v>
      </c>
      <c r="D143" s="1094"/>
      <c r="E143" s="1095"/>
      <c r="F143" s="1096">
        <v>100.5</v>
      </c>
      <c r="G143" s="1094"/>
      <c r="H143" s="1097"/>
      <c r="I143" s="2652" t="s">
        <v>2634</v>
      </c>
      <c r="J143" s="1094">
        <v>15</v>
      </c>
      <c r="K143" s="1099">
        <f>ROUND(100+(J143-J140)*K139*100,1)</f>
        <v>102</v>
      </c>
    </row>
    <row r="144" spans="1:17" ht="15">
      <c r="B144" s="1093">
        <v>1</v>
      </c>
      <c r="C144" s="1094">
        <v>98</v>
      </c>
      <c r="D144" s="2653" t="s">
        <v>2635</v>
      </c>
      <c r="E144" s="1095">
        <v>102</v>
      </c>
      <c r="F144" s="1101">
        <v>100</v>
      </c>
      <c r="G144" s="2653" t="s">
        <v>2635</v>
      </c>
      <c r="H144" s="1097">
        <v>105</v>
      </c>
      <c r="I144" s="2652" t="s">
        <v>2634</v>
      </c>
      <c r="J144" s="1094">
        <v>18</v>
      </c>
      <c r="K144" s="1099">
        <f>ROUND(100+(J144-J140)*K139*100,1)</f>
        <v>103.2</v>
      </c>
    </row>
    <row r="145" spans="2:11" ht="15.75" thickBot="1">
      <c r="B145" s="2654" t="s">
        <v>2636</v>
      </c>
      <c r="C145" s="1102">
        <f>ROUND(MAX(C139:C144)/MIN(C139:C144)-1,3)</f>
        <v>7.2999999999999995E-2</v>
      </c>
      <c r="D145" s="1103"/>
      <c r="E145" s="1103"/>
      <c r="F145" s="2655" t="s">
        <v>2637</v>
      </c>
      <c r="G145" s="2656"/>
      <c r="H145" s="2657"/>
      <c r="I145" s="2658" t="s">
        <v>2634</v>
      </c>
      <c r="J145" s="1104">
        <v>8</v>
      </c>
      <c r="K145" s="1105">
        <f>ROUND(100+(J145-J140)*K139*100,1)</f>
        <v>99.2</v>
      </c>
    </row>
    <row r="147" spans="2:11">
      <c r="B147" s="2639" t="s">
        <v>2638</v>
      </c>
    </row>
    <row r="148" spans="2:11">
      <c r="B148" s="2639"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奥特莱斯置业广东有限公司：</v>
      </c>
    </row>
    <row r="4" spans="1:1" ht="36">
      <c r="A4" s="1950" t="str">
        <f>"受贵公司委托，我公司对"&amp;项目基本情况!S1&amp;"进行了预评估。"</f>
        <v>受贵公司委托，我公司对广东省佛山市三水区芦苞镇芦苞大道33号房地产抵押价值进行了预评估。</v>
      </c>
    </row>
    <row r="5" spans="1:1" ht="18.75">
      <c r="A5" s="1951" t="s">
        <v>1613</v>
      </c>
    </row>
    <row r="6" spans="1:1" ht="18.75">
      <c r="A6" s="1952" t="s">
        <v>1614</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佛山市三水区芦苞镇芦苞大道33号房地产，为奥特莱斯置业广东有限公司所有。根据《国有土地使用证》[佛三国用（2009）20094100161号]，估价对象（分摊）出让国有建设用地使用权面积为172253.55平方米。根据《房屋所有权证》[粤房地权证佛字第0410116450号等36本]，估价对象建筑面积为101555.9平方米。</v>
      </c>
    </row>
    <row r="8" spans="1:1" ht="57.75">
      <c r="A8" s="1953" t="s">
        <v>1615</v>
      </c>
    </row>
    <row r="9" spans="1:1" ht="18.75">
      <c r="A9" s="1952" t="s">
        <v>1616</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佛山市三水区芦苞镇芦苞大道33号房地产,属奥特莱斯置业广东有限公司开发建设的居住项目，该项目尚在开发建设中。根据《国有土地使用证》[佛三国用（2009）20094100161号]，估价对象（分摊）出让国有建设用地使用权面积为172253.55平方米。根据《房屋所有权证》[粤房地权证佛字第0410116450号等36本]，估价对象规划建筑面积为101555.9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2018年3月21日（评估专业人员实地查勘之日）</v>
      </c>
    </row>
    <row r="16" spans="1:1" ht="18.75">
      <c r="A16" s="1955" t="s">
        <v>1620</v>
      </c>
    </row>
    <row r="17" spans="1:1" ht="75">
      <c r="A17" s="1950" t="s">
        <v>1621</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21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1610</v>
      </c>
    </row>
    <row r="24" spans="1:1" ht="18">
      <c r="A24" s="1957" t="str">
        <f>"本次评估采用的主估价方法为"&amp;结果表!K4&amp;"和"&amp;结果表!L4&amp;"。"</f>
        <v>本次评估采用的主估价方法为成本法和收益法。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4" t="s">
        <v>2640</v>
      </c>
      <c r="C1" s="1636" t="s">
        <v>2528</v>
      </c>
      <c r="D1" s="1623"/>
      <c r="E1" s="2659"/>
      <c r="F1" s="2586"/>
      <c r="G1" s="1633" t="s">
        <v>2641</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2325</v>
      </c>
      <c r="B2" s="1421" t="e">
        <f ca="1">IF(C2="——",ROUND(C49*D3/10000,0),ROUND(C49*D3/10000,0)-D2)</f>
        <v>#DIV/0!</v>
      </c>
      <c r="C2" s="2588"/>
      <c r="D2" s="1368" t="e">
        <f ca="1">SUMIF(INDIRECT("'"&amp;F2&amp;"'"&amp;"!A:A"),"承租人权益价值",INDIRECT("'"&amp;F2&amp;"'"&amp;"!c:c"))</f>
        <v>#REF!</v>
      </c>
      <c r="E2" s="2589" t="s">
        <v>2326</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2327</v>
      </c>
      <c r="B3" s="609" t="e">
        <f ca="1">IF(C2="——",C49,ROUND(B2*10000/D3,0))</f>
        <v>#DIV/0!</v>
      </c>
      <c r="C3" s="400" t="s">
        <v>2642</v>
      </c>
      <c r="D3" s="399">
        <f>IF(D1="",'数据-汇总表'!E3,SUMIF('数据-汇总表'!$C19:$C33,D1,'数据-汇总表'!$E19:$E33))</f>
        <v>101555.9</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2643</v>
      </c>
      <c r="B4" s="402"/>
      <c r="C4" s="3179" t="s">
        <v>2644</v>
      </c>
      <c r="D4" s="3192"/>
      <c r="E4" s="3193" t="s">
        <v>2645</v>
      </c>
      <c r="F4" s="3194"/>
      <c r="G4" s="3179" t="s">
        <v>2646</v>
      </c>
      <c r="H4" s="3192"/>
      <c r="I4" s="3179" t="s">
        <v>2647</v>
      </c>
      <c r="J4" s="3192"/>
      <c r="K4" s="610" t="s">
        <v>2648</v>
      </c>
      <c r="L4" s="1133"/>
      <c r="M4" s="1134"/>
      <c r="N4" s="1134"/>
      <c r="O4" s="1134"/>
      <c r="P4" s="3195" t="s">
        <v>2649</v>
      </c>
      <c r="Q4" s="3196"/>
      <c r="R4" s="3201" t="s">
        <v>2645</v>
      </c>
      <c r="S4" s="3202"/>
      <c r="T4" s="3201" t="s">
        <v>2646</v>
      </c>
      <c r="U4" s="3202"/>
      <c r="V4" s="3188" t="s">
        <v>2647</v>
      </c>
      <c r="W4" s="3188"/>
      <c r="X4" s="1815"/>
      <c r="Y4" s="3201" t="s">
        <v>2649</v>
      </c>
      <c r="Z4" s="3202"/>
      <c r="AA4" s="3189" t="s">
        <v>2645</v>
      </c>
      <c r="AB4" s="3188" t="s">
        <v>2646</v>
      </c>
      <c r="AC4" s="3189" t="s">
        <v>2647</v>
      </c>
    </row>
    <row r="5" spans="1:29" ht="15">
      <c r="A5" s="404"/>
      <c r="B5" s="405"/>
      <c r="C5" s="3209" t="s">
        <v>2540</v>
      </c>
      <c r="D5" s="3210"/>
      <c r="E5" s="3217" t="s">
        <v>2541</v>
      </c>
      <c r="F5" s="3218"/>
      <c r="G5" s="3209" t="s">
        <v>2542</v>
      </c>
      <c r="H5" s="3210"/>
      <c r="I5" s="3209" t="s">
        <v>2543</v>
      </c>
      <c r="J5" s="3210"/>
      <c r="K5" s="610"/>
      <c r="L5" s="1133"/>
      <c r="M5" s="1134"/>
      <c r="N5" s="1134"/>
      <c r="O5" s="1134"/>
      <c r="P5" s="3197"/>
      <c r="Q5" s="3198"/>
      <c r="R5" s="3203"/>
      <c r="S5" s="3204"/>
      <c r="T5" s="3203"/>
      <c r="U5" s="3204"/>
      <c r="V5" s="3188"/>
      <c r="W5" s="3188"/>
      <c r="X5" s="1815"/>
      <c r="Y5" s="3203"/>
      <c r="Z5" s="3204"/>
      <c r="AA5" s="3190"/>
      <c r="AB5" s="3188"/>
      <c r="AC5" s="3190"/>
    </row>
    <row r="6" spans="1:29" ht="15.75" thickBot="1">
      <c r="A6" s="406"/>
      <c r="B6" s="407"/>
      <c r="C6" s="3214" t="s">
        <v>2544</v>
      </c>
      <c r="D6" s="3208"/>
      <c r="E6" s="3254" t="s">
        <v>2544</v>
      </c>
      <c r="F6" s="3216"/>
      <c r="G6" s="3214" t="s">
        <v>2544</v>
      </c>
      <c r="H6" s="3208"/>
      <c r="I6" s="3214" t="s">
        <v>2544</v>
      </c>
      <c r="J6" s="3208"/>
      <c r="K6" s="610" t="s">
        <v>2545</v>
      </c>
      <c r="L6" s="1133"/>
      <c r="M6" s="1134"/>
      <c r="N6" s="1134"/>
      <c r="O6" s="1134"/>
      <c r="P6" s="3199"/>
      <c r="Q6" s="3200"/>
      <c r="R6" s="3203"/>
      <c r="S6" s="3204"/>
      <c r="T6" s="3205"/>
      <c r="U6" s="3206"/>
      <c r="V6" s="3188"/>
      <c r="W6" s="3188"/>
      <c r="X6" s="1815"/>
      <c r="Y6" s="3205"/>
      <c r="Z6" s="3206"/>
      <c r="AA6" s="3191"/>
      <c r="AB6" s="3188"/>
      <c r="AC6" s="3191"/>
    </row>
    <row r="7" spans="1:29" s="117" customFormat="1" ht="15.75" thickBot="1">
      <c r="A7" s="408" t="s">
        <v>2546</v>
      </c>
      <c r="B7" s="409"/>
      <c r="C7" s="410">
        <f>'数据-取费表'!B2</f>
        <v>43180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1" t="s">
        <v>2547</v>
      </c>
      <c r="Q7" s="3213"/>
      <c r="R7" s="770" t="s">
        <v>17</v>
      </c>
      <c r="S7" s="771">
        <f t="shared" ref="S7:S15" si="0">F7</f>
        <v>0</v>
      </c>
      <c r="T7" s="770" t="s">
        <v>17</v>
      </c>
      <c r="U7" s="771">
        <f t="shared" ref="U7:U15" si="1">H7</f>
        <v>0</v>
      </c>
      <c r="V7" s="770" t="s">
        <v>17</v>
      </c>
      <c r="W7" s="771">
        <f t="shared" ref="W7:W15" si="2">J7</f>
        <v>0</v>
      </c>
      <c r="X7" s="772"/>
      <c r="Y7" s="3211" t="s">
        <v>2547</v>
      </c>
      <c r="Z7" s="3212"/>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1" t="s">
        <v>2550</v>
      </c>
      <c r="Q8" s="3212"/>
      <c r="R8" s="770" t="s">
        <v>17</v>
      </c>
      <c r="S8" s="771">
        <f t="shared" si="0"/>
        <v>0</v>
      </c>
      <c r="T8" s="770" t="s">
        <v>17</v>
      </c>
      <c r="U8" s="771">
        <f t="shared" si="1"/>
        <v>0</v>
      </c>
      <c r="V8" s="770" t="s">
        <v>17</v>
      </c>
      <c r="W8" s="771">
        <f t="shared" si="2"/>
        <v>0</v>
      </c>
      <c r="X8" s="772"/>
      <c r="Y8" s="3211" t="s">
        <v>2550</v>
      </c>
      <c r="Z8" s="3212"/>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1" t="s">
        <v>2553</v>
      </c>
      <c r="Q9" s="1797"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1"/>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1"/>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1"/>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1"/>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1"/>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2557</v>
      </c>
      <c r="B15" s="69" t="s">
        <v>2651</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2" t="s">
        <v>2558</v>
      </c>
      <c r="Q15" s="1812" t="str">
        <f t="shared" si="6"/>
        <v>商业繁华度</v>
      </c>
      <c r="R15" s="774" t="s">
        <v>17</v>
      </c>
      <c r="S15" s="775">
        <f t="shared" si="0"/>
        <v>100</v>
      </c>
      <c r="T15" s="774" t="s">
        <v>17</v>
      </c>
      <c r="U15" s="775">
        <f t="shared" si="1"/>
        <v>100</v>
      </c>
      <c r="V15" s="774" t="s">
        <v>17</v>
      </c>
      <c r="W15" s="775">
        <f t="shared" si="2"/>
        <v>100</v>
      </c>
      <c r="X15" s="1815"/>
      <c r="Y15" s="3184" t="s">
        <v>2558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53"/>
      <c r="Q16" s="1812"/>
      <c r="R16" s="774"/>
      <c r="S16" s="775"/>
      <c r="T16" s="774"/>
      <c r="U16" s="775"/>
      <c r="V16" s="774"/>
      <c r="W16" s="775"/>
      <c r="X16" s="1815"/>
      <c r="Y16" s="3185"/>
      <c r="Z16" s="1816"/>
      <c r="AA16" s="1813">
        <v>1</v>
      </c>
      <c r="AB16" s="1813">
        <v>1</v>
      </c>
      <c r="AC16" s="1813">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3"/>
      <c r="Q17" s="1812" t="str">
        <f>B17</f>
        <v>交通便捷度</v>
      </c>
      <c r="R17" s="774" t="s">
        <v>17</v>
      </c>
      <c r="S17" s="775">
        <f>F17</f>
        <v>100</v>
      </c>
      <c r="T17" s="774" t="s">
        <v>17</v>
      </c>
      <c r="U17" s="775">
        <f>H17</f>
        <v>100</v>
      </c>
      <c r="V17" s="774" t="s">
        <v>17</v>
      </c>
      <c r="W17" s="775">
        <f>J17</f>
        <v>100</v>
      </c>
      <c r="X17" s="1815"/>
      <c r="Y17" s="3185"/>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53"/>
      <c r="Q18" s="1812"/>
      <c r="R18" s="774"/>
      <c r="S18" s="775"/>
      <c r="T18" s="774"/>
      <c r="U18" s="775"/>
      <c r="V18" s="774"/>
      <c r="W18" s="775"/>
      <c r="X18" s="1815"/>
      <c r="Y18" s="3185"/>
      <c r="Z18" s="1816"/>
      <c r="AA18" s="1813">
        <v>1</v>
      </c>
      <c r="AB18" s="1813">
        <v>1</v>
      </c>
      <c r="AC18" s="1813">
        <v>1</v>
      </c>
    </row>
    <row r="19" spans="1:29" ht="42.75">
      <c r="A19" s="428"/>
      <c r="B19" s="451" t="s">
        <v>2652</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3"/>
      <c r="Q19" s="1812" t="str">
        <f>B19</f>
        <v>公共配套设施</v>
      </c>
      <c r="R19" s="774" t="s">
        <v>17</v>
      </c>
      <c r="S19" s="775">
        <f>F19</f>
        <v>100</v>
      </c>
      <c r="T19" s="774" t="s">
        <v>17</v>
      </c>
      <c r="U19" s="775">
        <f>H19</f>
        <v>100</v>
      </c>
      <c r="V19" s="774" t="s">
        <v>17</v>
      </c>
      <c r="W19" s="775">
        <f>J19</f>
        <v>100</v>
      </c>
      <c r="X19" s="1815"/>
      <c r="Y19" s="3185"/>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53"/>
      <c r="Q20" s="1812"/>
      <c r="R20" s="774"/>
      <c r="S20" s="775"/>
      <c r="T20" s="774"/>
      <c r="U20" s="775"/>
      <c r="V20" s="774"/>
      <c r="W20" s="775"/>
      <c r="X20" s="1815"/>
      <c r="Y20" s="3185"/>
      <c r="Z20" s="1816"/>
      <c r="AA20" s="1813">
        <v>1</v>
      </c>
      <c r="AB20" s="1813">
        <v>1</v>
      </c>
      <c r="AC20" s="1813">
        <v>1</v>
      </c>
    </row>
    <row r="21" spans="1:29" ht="28.5">
      <c r="A21" s="428"/>
      <c r="B21" s="1387" t="s">
        <v>2653</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3"/>
      <c r="Q21" s="1812" t="str">
        <f>B21</f>
        <v>基础设施水平</v>
      </c>
      <c r="R21" s="774" t="s">
        <v>17</v>
      </c>
      <c r="S21" s="775">
        <f>F21</f>
        <v>100</v>
      </c>
      <c r="T21" s="774" t="s">
        <v>17</v>
      </c>
      <c r="U21" s="775">
        <f>H21</f>
        <v>100</v>
      </c>
      <c r="V21" s="774" t="s">
        <v>17</v>
      </c>
      <c r="W21" s="775">
        <f>J21</f>
        <v>100</v>
      </c>
      <c r="X21" s="1815"/>
      <c r="Y21" s="3185"/>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34"/>
      <c r="P22" s="3253"/>
      <c r="Q22" s="1812"/>
      <c r="R22" s="774"/>
      <c r="S22" s="775"/>
      <c r="T22" s="774"/>
      <c r="U22" s="775"/>
      <c r="V22" s="774"/>
      <c r="W22" s="775"/>
      <c r="X22" s="1815"/>
      <c r="Y22" s="3185"/>
      <c r="Z22" s="1816"/>
      <c r="AA22" s="1813">
        <v>1</v>
      </c>
      <c r="AB22" s="1813">
        <v>1</v>
      </c>
      <c r="AC22" s="1813">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3"/>
      <c r="Q23" s="1812" t="str">
        <f>B23</f>
        <v>自然及人文环境</v>
      </c>
      <c r="R23" s="774" t="s">
        <v>17</v>
      </c>
      <c r="S23" s="775">
        <f>F23</f>
        <v>100</v>
      </c>
      <c r="T23" s="774" t="s">
        <v>17</v>
      </c>
      <c r="U23" s="775">
        <f>H23</f>
        <v>100</v>
      </c>
      <c r="V23" s="774" t="s">
        <v>17</v>
      </c>
      <c r="W23" s="775">
        <f>J23</f>
        <v>100</v>
      </c>
      <c r="X23" s="1815"/>
      <c r="Y23" s="3185"/>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53"/>
      <c r="Q24" s="1812"/>
      <c r="R24" s="774"/>
      <c r="S24" s="775"/>
      <c r="T24" s="774"/>
      <c r="U24" s="775"/>
      <c r="V24" s="774"/>
      <c r="W24" s="775"/>
      <c r="X24" s="1815"/>
      <c r="Y24" s="3185"/>
      <c r="Z24" s="1816"/>
      <c r="AA24" s="1813">
        <v>1</v>
      </c>
      <c r="AB24" s="1813">
        <v>1</v>
      </c>
      <c r="AC24" s="1813">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3"/>
      <c r="Q25" s="1812" t="str">
        <f t="shared" ref="Q25:Q46" si="8">B25</f>
        <v>临街状况</v>
      </c>
      <c r="R25" s="774" t="s">
        <v>17</v>
      </c>
      <c r="S25" s="775">
        <f>F25</f>
        <v>100</v>
      </c>
      <c r="T25" s="774" t="s">
        <v>17</v>
      </c>
      <c r="U25" s="775">
        <f>H25</f>
        <v>100</v>
      </c>
      <c r="V25" s="774" t="s">
        <v>17</v>
      </c>
      <c r="W25" s="775">
        <f>J25</f>
        <v>100</v>
      </c>
      <c r="X25" s="1815"/>
      <c r="Y25" s="3185"/>
      <c r="Z25" s="1816" t="str">
        <f>Q25</f>
        <v>临街状况</v>
      </c>
      <c r="AA25" s="1813">
        <f t="shared" si="3"/>
        <v>1</v>
      </c>
      <c r="AB25" s="1813">
        <f t="shared" si="4"/>
        <v>1</v>
      </c>
      <c r="AC25" s="1813">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3"/>
      <c r="Q26" s="1812" t="str">
        <f t="shared" si="8"/>
        <v>平面位置/可视性</v>
      </c>
      <c r="R26" s="774" t="s">
        <v>17</v>
      </c>
      <c r="S26" s="775">
        <f>F26</f>
        <v>100</v>
      </c>
      <c r="T26" s="774" t="s">
        <v>17</v>
      </c>
      <c r="U26" s="775">
        <f>H26</f>
        <v>100</v>
      </c>
      <c r="V26" s="774" t="s">
        <v>17</v>
      </c>
      <c r="W26" s="775">
        <f>J26</f>
        <v>100</v>
      </c>
      <c r="X26" s="1815"/>
      <c r="Y26" s="3185"/>
      <c r="Z26" s="1816" t="str">
        <f>Q26</f>
        <v>平面位置/可视性</v>
      </c>
      <c r="AA26" s="1813">
        <f t="shared" si="3"/>
        <v>1</v>
      </c>
      <c r="AB26" s="1813">
        <f t="shared" si="4"/>
        <v>1</v>
      </c>
      <c r="AC26" s="1813">
        <f t="shared" si="5"/>
        <v>1</v>
      </c>
    </row>
    <row r="27" spans="1:29" s="117" customFormat="1" ht="15">
      <c r="A27" s="431"/>
      <c r="B27" s="451" t="s">
        <v>2656</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53"/>
      <c r="Q27" s="1797" t="str">
        <f t="shared" si="8"/>
        <v>人流量</v>
      </c>
      <c r="R27" s="770" t="s">
        <v>17</v>
      </c>
      <c r="S27" s="771">
        <f>F27</f>
        <v>100</v>
      </c>
      <c r="T27" s="770" t="s">
        <v>17</v>
      </c>
      <c r="U27" s="771">
        <f>H27</f>
        <v>100</v>
      </c>
      <c r="V27" s="770" t="s">
        <v>17</v>
      </c>
      <c r="W27" s="771">
        <f>J27</f>
        <v>100</v>
      </c>
      <c r="X27" s="772"/>
      <c r="Y27" s="3185"/>
      <c r="Z27" s="55" t="str">
        <f>Q27</f>
        <v>人流量</v>
      </c>
      <c r="AA27" s="1813">
        <f>D27/F27</f>
        <v>1</v>
      </c>
      <c r="AB27" s="1813">
        <f>D27/H27</f>
        <v>1</v>
      </c>
      <c r="AC27" s="1813">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3"/>
      <c r="Q28" s="1812" t="str">
        <f t="shared" si="8"/>
        <v>楼层</v>
      </c>
      <c r="R28" s="774" t="s">
        <v>17</v>
      </c>
      <c r="S28" s="775">
        <f t="shared" ref="S28:S46" si="9">F28</f>
        <v>100</v>
      </c>
      <c r="T28" s="774" t="s">
        <v>17</v>
      </c>
      <c r="U28" s="775">
        <f t="shared" ref="U28:U46" si="10">H28</f>
        <v>100</v>
      </c>
      <c r="V28" s="774" t="s">
        <v>17</v>
      </c>
      <c r="W28" s="775">
        <f t="shared" ref="W28:W46" si="11">J28</f>
        <v>100</v>
      </c>
      <c r="X28" s="1815"/>
      <c r="Y28" s="3185"/>
      <c r="Z28" s="1816" t="str">
        <f t="shared" ref="Z28:Z46" si="12">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3"/>
      <c r="Q29" s="1812">
        <f t="shared" si="8"/>
        <v>111</v>
      </c>
      <c r="R29" s="774" t="s">
        <v>17</v>
      </c>
      <c r="S29" s="775">
        <f t="shared" si="9"/>
        <v>100</v>
      </c>
      <c r="T29" s="774" t="s">
        <v>17</v>
      </c>
      <c r="U29" s="775">
        <f t="shared" si="10"/>
        <v>100</v>
      </c>
      <c r="V29" s="774" t="s">
        <v>17</v>
      </c>
      <c r="W29" s="775">
        <f t="shared" si="11"/>
        <v>100</v>
      </c>
      <c r="X29" s="1815"/>
      <c r="Y29" s="3185"/>
      <c r="Z29" s="1816">
        <f t="shared" si="12"/>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3"/>
      <c r="Q30" s="1812">
        <f t="shared" si="8"/>
        <v>111</v>
      </c>
      <c r="R30" s="774" t="s">
        <v>17</v>
      </c>
      <c r="S30" s="775">
        <f t="shared" si="9"/>
        <v>100</v>
      </c>
      <c r="T30" s="774" t="s">
        <v>17</v>
      </c>
      <c r="U30" s="775">
        <f t="shared" si="10"/>
        <v>100</v>
      </c>
      <c r="V30" s="774" t="s">
        <v>17</v>
      </c>
      <c r="W30" s="775">
        <f t="shared" si="11"/>
        <v>100</v>
      </c>
      <c r="X30" s="1815"/>
      <c r="Y30" s="3185"/>
      <c r="Z30" s="1816">
        <f t="shared" si="12"/>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3"/>
      <c r="Q31" s="1812">
        <f t="shared" si="8"/>
        <v>111</v>
      </c>
      <c r="R31" s="774" t="s">
        <v>17</v>
      </c>
      <c r="S31" s="775">
        <f t="shared" si="9"/>
        <v>100</v>
      </c>
      <c r="T31" s="774" t="s">
        <v>17</v>
      </c>
      <c r="U31" s="775">
        <f t="shared" si="10"/>
        <v>100</v>
      </c>
      <c r="V31" s="774" t="s">
        <v>17</v>
      </c>
      <c r="W31" s="775">
        <f t="shared" si="11"/>
        <v>100</v>
      </c>
      <c r="X31" s="1815"/>
      <c r="Y31" s="3185"/>
      <c r="Z31" s="1816">
        <f t="shared" si="12"/>
        <v>111</v>
      </c>
      <c r="AA31" s="1813">
        <f t="shared" si="3"/>
        <v>1</v>
      </c>
      <c r="AB31" s="1813">
        <f t="shared" si="4"/>
        <v>1</v>
      </c>
      <c r="AC31" s="1813">
        <f t="shared" si="5"/>
        <v>1</v>
      </c>
    </row>
    <row r="32" spans="1:29" ht="15">
      <c r="A32" s="440" t="s">
        <v>2561</v>
      </c>
      <c r="B32" s="71" t="s">
        <v>2658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8" t="s">
        <v>2563</v>
      </c>
      <c r="Q32" s="1812" t="str">
        <f t="shared" si="8"/>
        <v>商业类型</v>
      </c>
      <c r="R32" s="774" t="s">
        <v>17</v>
      </c>
      <c r="S32" s="775">
        <f t="shared" si="9"/>
        <v>100</v>
      </c>
      <c r="T32" s="774" t="s">
        <v>17</v>
      </c>
      <c r="U32" s="775">
        <f t="shared" si="10"/>
        <v>100</v>
      </c>
      <c r="V32" s="774" t="s">
        <v>17</v>
      </c>
      <c r="W32" s="775">
        <f t="shared" si="11"/>
        <v>100</v>
      </c>
      <c r="X32" s="1815"/>
      <c r="Y32" s="3187" t="s">
        <v>2563</v>
      </c>
      <c r="Z32" s="1816" t="str">
        <f t="shared" si="12"/>
        <v>商业类型</v>
      </c>
      <c r="AA32" s="1813">
        <f t="shared" si="3"/>
        <v>1</v>
      </c>
      <c r="AB32" s="1813">
        <f t="shared" si="4"/>
        <v>1</v>
      </c>
      <c r="AC32" s="1813">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9"/>
      <c r="Q33" s="776" t="str">
        <f t="shared" si="8"/>
        <v>项目建筑规模</v>
      </c>
      <c r="R33" s="777" t="s">
        <v>17</v>
      </c>
      <c r="S33" s="778" t="e">
        <f t="shared" si="9"/>
        <v>#N/A</v>
      </c>
      <c r="T33" s="777" t="s">
        <v>17</v>
      </c>
      <c r="U33" s="778" t="e">
        <f t="shared" si="10"/>
        <v>#N/A</v>
      </c>
      <c r="V33" s="777" t="s">
        <v>17</v>
      </c>
      <c r="W33" s="778" t="e">
        <f t="shared" si="11"/>
        <v>#N/A</v>
      </c>
      <c r="X33" s="779"/>
      <c r="Y33" s="3187"/>
      <c r="Z33" s="780" t="str">
        <f t="shared" si="12"/>
        <v>项目建筑规模</v>
      </c>
      <c r="AA33" s="1813" t="e">
        <f t="shared" si="3"/>
        <v>#N/A</v>
      </c>
      <c r="AB33" s="1813" t="e">
        <f t="shared" si="4"/>
        <v>#N/A</v>
      </c>
      <c r="AC33" s="1813" t="e">
        <f t="shared" si="5"/>
        <v>#N/A</v>
      </c>
    </row>
    <row r="34" spans="1:29" ht="15">
      <c r="A34" s="472"/>
      <c r="B34" s="422" t="s">
        <v>2565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49"/>
      <c r="Q34" s="1812" t="str">
        <f t="shared" si="8"/>
        <v>建筑结构</v>
      </c>
      <c r="R34" s="774" t="s">
        <v>17</v>
      </c>
      <c r="S34" s="775">
        <f t="shared" si="9"/>
        <v>100</v>
      </c>
      <c r="T34" s="774" t="s">
        <v>17</v>
      </c>
      <c r="U34" s="775">
        <f t="shared" si="10"/>
        <v>100</v>
      </c>
      <c r="V34" s="774" t="s">
        <v>17</v>
      </c>
      <c r="W34" s="775">
        <f t="shared" si="11"/>
        <v>100</v>
      </c>
      <c r="X34" s="1815"/>
      <c r="Y34" s="3187"/>
      <c r="Z34" s="1816" t="str">
        <f t="shared" si="12"/>
        <v>建筑结构</v>
      </c>
      <c r="AA34" s="1813">
        <f t="shared" si="3"/>
        <v>1</v>
      </c>
      <c r="AB34" s="1813">
        <f t="shared" si="4"/>
        <v>1</v>
      </c>
      <c r="AC34" s="1813">
        <f t="shared" si="5"/>
        <v>1</v>
      </c>
    </row>
    <row r="35" spans="1:29" ht="15">
      <c r="A35" s="472"/>
      <c r="B35" s="422" t="s">
        <v>2659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49"/>
      <c r="Q35" s="1812" t="str">
        <f t="shared" si="8"/>
        <v>公共部分装修</v>
      </c>
      <c r="R35" s="774" t="s">
        <v>17</v>
      </c>
      <c r="S35" s="775">
        <f t="shared" si="9"/>
        <v>100</v>
      </c>
      <c r="T35" s="774" t="s">
        <v>17</v>
      </c>
      <c r="U35" s="775">
        <f t="shared" si="10"/>
        <v>100</v>
      </c>
      <c r="V35" s="774" t="s">
        <v>17</v>
      </c>
      <c r="W35" s="775">
        <f t="shared" si="11"/>
        <v>100</v>
      </c>
      <c r="X35" s="1815"/>
      <c r="Y35" s="3187"/>
      <c r="Z35" s="1816" t="str">
        <f t="shared" si="12"/>
        <v>公共部分装修</v>
      </c>
      <c r="AA35" s="1813">
        <f t="shared" si="3"/>
        <v>1</v>
      </c>
      <c r="AB35" s="1813">
        <f t="shared" si="4"/>
        <v>1</v>
      </c>
      <c r="AC35" s="1813">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9"/>
      <c r="Q36" s="1812" t="str">
        <f t="shared" si="8"/>
        <v>成新度</v>
      </c>
      <c r="R36" s="774" t="s">
        <v>17</v>
      </c>
      <c r="S36" s="775" t="e">
        <f t="shared" si="9"/>
        <v>#N/A</v>
      </c>
      <c r="T36" s="774" t="s">
        <v>17</v>
      </c>
      <c r="U36" s="775" t="e">
        <f t="shared" si="10"/>
        <v>#N/A</v>
      </c>
      <c r="V36" s="774" t="s">
        <v>17</v>
      </c>
      <c r="W36" s="775" t="e">
        <f t="shared" si="11"/>
        <v>#N/A</v>
      </c>
      <c r="X36" s="1815"/>
      <c r="Y36" s="3187"/>
      <c r="Z36" s="1816" t="str">
        <f t="shared" si="12"/>
        <v>成新度</v>
      </c>
      <c r="AA36" s="1813" t="e">
        <f t="shared" si="3"/>
        <v>#N/A</v>
      </c>
      <c r="AB36" s="1813" t="e">
        <f t="shared" si="4"/>
        <v>#N/A</v>
      </c>
      <c r="AC36" s="1813" t="e">
        <f t="shared" si="5"/>
        <v>#N/A</v>
      </c>
    </row>
    <row r="37" spans="1:29" s="117" customFormat="1" ht="15">
      <c r="A37" s="473"/>
      <c r="B37" s="422" t="s">
        <v>2661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49"/>
      <c r="Q37" s="1797" t="str">
        <f t="shared" si="8"/>
        <v>市政基础设施</v>
      </c>
      <c r="R37" s="770" t="s">
        <v>17</v>
      </c>
      <c r="S37" s="771">
        <f t="shared" si="9"/>
        <v>100</v>
      </c>
      <c r="T37" s="770" t="s">
        <v>17</v>
      </c>
      <c r="U37" s="771">
        <f t="shared" si="10"/>
        <v>100</v>
      </c>
      <c r="V37" s="770" t="s">
        <v>17</v>
      </c>
      <c r="W37" s="771">
        <f t="shared" si="11"/>
        <v>100</v>
      </c>
      <c r="X37" s="772"/>
      <c r="Y37" s="3187"/>
      <c r="Z37" s="55" t="str">
        <f t="shared" si="12"/>
        <v>市政基础设施</v>
      </c>
      <c r="AA37" s="773">
        <f t="shared" si="3"/>
        <v>1</v>
      </c>
      <c r="AB37" s="773">
        <f t="shared" si="4"/>
        <v>1</v>
      </c>
      <c r="AC37" s="773">
        <f t="shared" si="5"/>
        <v>1</v>
      </c>
    </row>
    <row r="38" spans="1:29" ht="15">
      <c r="A38" s="472"/>
      <c r="B38" s="422" t="s">
        <v>2662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49" t="s">
        <v>2563</v>
      </c>
      <c r="Q38" s="1812" t="str">
        <f t="shared" si="8"/>
        <v>业态</v>
      </c>
      <c r="R38" s="774" t="s">
        <v>17</v>
      </c>
      <c r="S38" s="775">
        <f t="shared" si="9"/>
        <v>100</v>
      </c>
      <c r="T38" s="774" t="s">
        <v>17</v>
      </c>
      <c r="U38" s="775">
        <f t="shared" si="10"/>
        <v>100</v>
      </c>
      <c r="V38" s="774" t="s">
        <v>17</v>
      </c>
      <c r="W38" s="775">
        <f t="shared" si="11"/>
        <v>100</v>
      </c>
      <c r="X38" s="1815"/>
      <c r="Y38" s="3187" t="s">
        <v>2563</v>
      </c>
      <c r="Z38" s="1816" t="str">
        <f t="shared" si="12"/>
        <v>业态</v>
      </c>
      <c r="AA38" s="1813">
        <f t="shared" si="3"/>
        <v>1</v>
      </c>
      <c r="AB38" s="1813">
        <f t="shared" si="4"/>
        <v>1</v>
      </c>
      <c r="AC38" s="1813">
        <f t="shared" si="5"/>
        <v>1</v>
      </c>
    </row>
    <row r="39" spans="1:29" ht="15">
      <c r="A39" s="472"/>
      <c r="B39" s="422" t="s">
        <v>2663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49"/>
      <c r="Q39" s="1812" t="str">
        <f t="shared" si="8"/>
        <v>层高</v>
      </c>
      <c r="R39" s="774" t="s">
        <v>17</v>
      </c>
      <c r="S39" s="775">
        <f t="shared" si="9"/>
        <v>100</v>
      </c>
      <c r="T39" s="774" t="s">
        <v>17</v>
      </c>
      <c r="U39" s="775">
        <f t="shared" si="10"/>
        <v>100</v>
      </c>
      <c r="V39" s="774" t="s">
        <v>17</v>
      </c>
      <c r="W39" s="775">
        <f t="shared" si="11"/>
        <v>100</v>
      </c>
      <c r="X39" s="1815"/>
      <c r="Y39" s="3187"/>
      <c r="Z39" s="1816" t="str">
        <f t="shared" si="12"/>
        <v>层高</v>
      </c>
      <c r="AA39" s="1813">
        <f t="shared" si="3"/>
        <v>1</v>
      </c>
      <c r="AB39" s="1813">
        <f t="shared" si="4"/>
        <v>1</v>
      </c>
      <c r="AC39" s="1813">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9"/>
      <c r="Q40" s="1812" t="str">
        <f t="shared" si="8"/>
        <v>单套建筑面积</v>
      </c>
      <c r="R40" s="774" t="s">
        <v>17</v>
      </c>
      <c r="S40" s="775">
        <f t="shared" si="9"/>
        <v>100</v>
      </c>
      <c r="T40" s="774" t="s">
        <v>17</v>
      </c>
      <c r="U40" s="775">
        <f t="shared" si="10"/>
        <v>100</v>
      </c>
      <c r="V40" s="774" t="s">
        <v>17</v>
      </c>
      <c r="W40" s="775">
        <f t="shared" si="11"/>
        <v>100</v>
      </c>
      <c r="X40" s="1815"/>
      <c r="Y40" s="3187"/>
      <c r="Z40" s="1816" t="str">
        <f t="shared" si="12"/>
        <v>单套建筑面积</v>
      </c>
      <c r="AA40" s="1813">
        <f t="shared" si="3"/>
        <v>1</v>
      </c>
      <c r="AB40" s="1813">
        <f t="shared" si="4"/>
        <v>1</v>
      </c>
      <c r="AC40" s="1813">
        <f t="shared" si="5"/>
        <v>1</v>
      </c>
    </row>
    <row r="41" spans="1:29" s="471" customFormat="1" ht="15">
      <c r="A41" s="468"/>
      <c r="B41" s="1814"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9"/>
      <c r="Q41" s="776" t="str">
        <f t="shared" si="8"/>
        <v>进深比</v>
      </c>
      <c r="R41" s="777" t="s">
        <v>17</v>
      </c>
      <c r="S41" s="778">
        <f t="shared" si="9"/>
        <v>100</v>
      </c>
      <c r="T41" s="777" t="s">
        <v>17</v>
      </c>
      <c r="U41" s="778">
        <f t="shared" si="10"/>
        <v>100</v>
      </c>
      <c r="V41" s="777" t="s">
        <v>17</v>
      </c>
      <c r="W41" s="778">
        <f t="shared" si="11"/>
        <v>100</v>
      </c>
      <c r="X41" s="779"/>
      <c r="Y41" s="3187"/>
      <c r="Z41" s="780" t="str">
        <f t="shared" si="12"/>
        <v>进深比</v>
      </c>
      <c r="AA41" s="1813">
        <f t="shared" si="3"/>
        <v>1</v>
      </c>
      <c r="AB41" s="1813">
        <f t="shared" si="4"/>
        <v>1</v>
      </c>
      <c r="AC41" s="1813">
        <f t="shared" si="5"/>
        <v>1</v>
      </c>
    </row>
    <row r="42" spans="1:29" ht="15">
      <c r="A42" s="472"/>
      <c r="B42" s="422" t="s">
        <v>2666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49"/>
      <c r="Q42" s="1812" t="str">
        <f t="shared" si="8"/>
        <v>内部装修</v>
      </c>
      <c r="R42" s="774" t="s">
        <v>17</v>
      </c>
      <c r="S42" s="775">
        <f t="shared" si="9"/>
        <v>100</v>
      </c>
      <c r="T42" s="774" t="s">
        <v>17</v>
      </c>
      <c r="U42" s="775">
        <f t="shared" si="10"/>
        <v>100</v>
      </c>
      <c r="V42" s="774" t="s">
        <v>17</v>
      </c>
      <c r="W42" s="775">
        <f t="shared" si="11"/>
        <v>100</v>
      </c>
      <c r="X42" s="1815"/>
      <c r="Y42" s="3187"/>
      <c r="Z42" s="1816" t="str">
        <f t="shared" si="12"/>
        <v>内部装修</v>
      </c>
      <c r="AA42" s="1813">
        <f t="shared" si="3"/>
        <v>1</v>
      </c>
      <c r="AB42" s="1813">
        <f t="shared" si="4"/>
        <v>1</v>
      </c>
      <c r="AC42" s="1813">
        <f t="shared" si="5"/>
        <v>1</v>
      </c>
    </row>
    <row r="43" spans="1:29" ht="15">
      <c r="A43" s="472"/>
      <c r="B43" s="422" t="s">
        <v>2574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49"/>
      <c r="Q43" s="1812" t="str">
        <f t="shared" si="8"/>
        <v>内部装修维护情况</v>
      </c>
      <c r="R43" s="774" t="s">
        <v>17</v>
      </c>
      <c r="S43" s="775">
        <f t="shared" si="9"/>
        <v>100</v>
      </c>
      <c r="T43" s="774" t="s">
        <v>17</v>
      </c>
      <c r="U43" s="775">
        <f t="shared" si="10"/>
        <v>100</v>
      </c>
      <c r="V43" s="774" t="s">
        <v>17</v>
      </c>
      <c r="W43" s="775">
        <f t="shared" si="11"/>
        <v>100</v>
      </c>
      <c r="X43" s="1815"/>
      <c r="Y43" s="3187"/>
      <c r="Z43" s="1816" t="str">
        <f t="shared" si="12"/>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9"/>
      <c r="Q44" s="1797">
        <f t="shared" si="8"/>
        <v>111</v>
      </c>
      <c r="R44" s="770" t="s">
        <v>17</v>
      </c>
      <c r="S44" s="771">
        <f t="shared" si="9"/>
        <v>100</v>
      </c>
      <c r="T44" s="770" t="s">
        <v>17</v>
      </c>
      <c r="U44" s="771">
        <f t="shared" si="10"/>
        <v>100</v>
      </c>
      <c r="V44" s="770" t="s">
        <v>17</v>
      </c>
      <c r="W44" s="771">
        <f t="shared" si="11"/>
        <v>100</v>
      </c>
      <c r="X44" s="772"/>
      <c r="Y44" s="3187"/>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9"/>
      <c r="Q45" s="1812">
        <f t="shared" si="8"/>
        <v>111</v>
      </c>
      <c r="R45" s="774" t="s">
        <v>17</v>
      </c>
      <c r="S45" s="775">
        <f t="shared" si="9"/>
        <v>100</v>
      </c>
      <c r="T45" s="774" t="s">
        <v>17</v>
      </c>
      <c r="U45" s="775">
        <f t="shared" si="10"/>
        <v>100</v>
      </c>
      <c r="V45" s="774" t="s">
        <v>17</v>
      </c>
      <c r="W45" s="775">
        <f t="shared" si="11"/>
        <v>100</v>
      </c>
      <c r="X45" s="1815"/>
      <c r="Y45" s="3187"/>
      <c r="Z45" s="1816">
        <f t="shared" si="12"/>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0"/>
      <c r="Q46" s="1812">
        <f t="shared" si="8"/>
        <v>111</v>
      </c>
      <c r="R46" s="774" t="s">
        <v>17</v>
      </c>
      <c r="S46" s="775">
        <f t="shared" si="9"/>
        <v>100</v>
      </c>
      <c r="T46" s="774" t="s">
        <v>17</v>
      </c>
      <c r="U46" s="775">
        <f t="shared" si="10"/>
        <v>100</v>
      </c>
      <c r="V46" s="774" t="s">
        <v>17</v>
      </c>
      <c r="W46" s="775">
        <f t="shared" si="11"/>
        <v>100</v>
      </c>
      <c r="X46" s="1815"/>
      <c r="Y46" s="3251"/>
      <c r="Z46" s="1816">
        <f t="shared" si="12"/>
        <v>111</v>
      </c>
      <c r="AA46" s="1813">
        <f t="shared" si="3"/>
        <v>1</v>
      </c>
      <c r="AB46" s="1813">
        <f t="shared" si="4"/>
        <v>1</v>
      </c>
      <c r="AC46" s="1813">
        <f t="shared" si="5"/>
        <v>1</v>
      </c>
    </row>
    <row r="47" spans="1:29" ht="15">
      <c r="A47" s="479" t="s">
        <v>2575</v>
      </c>
      <c r="B47" s="480"/>
      <c r="C47" s="1410" t="s">
        <v>1</v>
      </c>
      <c r="D47" s="1411"/>
      <c r="E47" s="1412"/>
      <c r="F47" s="1413"/>
      <c r="G47" s="1414"/>
      <c r="H47" s="1415"/>
      <c r="I47" s="1412"/>
      <c r="J47" s="1415"/>
      <c r="K47" s="783"/>
      <c r="L47" s="1146"/>
      <c r="M47" s="1147"/>
      <c r="N47" s="1134"/>
      <c r="O47" s="1147"/>
      <c r="P47" s="3182" t="str">
        <f>A47</f>
        <v>成交单价（元/平方米）</v>
      </c>
      <c r="Q47" s="3182"/>
      <c r="R47" s="3188">
        <f>E47</f>
        <v>0</v>
      </c>
      <c r="S47" s="3188"/>
      <c r="T47" s="3188">
        <f>G47</f>
        <v>0</v>
      </c>
      <c r="U47" s="3188"/>
      <c r="V47" s="3188">
        <f>I47</f>
        <v>0</v>
      </c>
      <c r="W47" s="3188"/>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182" t="str">
        <f>A48</f>
        <v>比较价值（元/平方米）</v>
      </c>
      <c r="Q48" s="3182"/>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176" t="str">
        <f>A49</f>
        <v>估价对象XX用房的比较价值（楼面单价，元/平方米）</v>
      </c>
      <c r="Q49" s="3177"/>
      <c r="R49" s="3246" t="e">
        <f>IF(F1="售价",ROUND(AVERAGE(R48:V48),0),ROUND(AVERAGE(R48:V48),1))</f>
        <v>#DIV/0!</v>
      </c>
      <c r="S49" s="3246"/>
      <c r="T49" s="3246"/>
      <c r="U49" s="3246"/>
      <c r="V49" s="3246"/>
      <c r="W49" s="32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2546</v>
      </c>
      <c r="B58" s="506"/>
      <c r="C58" s="1576" t="str">
        <f>YEAR(C7)&amp;"-"&amp;MONTH(C7)</f>
        <v>2018-3</v>
      </c>
      <c r="D58" s="1577">
        <f>EDATE(C58,-1)</f>
        <v>43132</v>
      </c>
      <c r="E58" s="1577">
        <f t="shared" ref="E58:N58" si="13">EDATE(D58,-1)</f>
        <v>43101</v>
      </c>
      <c r="F58" s="1577">
        <f t="shared" si="13"/>
        <v>43070</v>
      </c>
      <c r="G58" s="1577">
        <f t="shared" si="13"/>
        <v>43040</v>
      </c>
      <c r="H58" s="1577">
        <f t="shared" si="13"/>
        <v>43009</v>
      </c>
      <c r="I58" s="1577">
        <f t="shared" si="13"/>
        <v>42979</v>
      </c>
      <c r="J58" s="1577">
        <f t="shared" si="13"/>
        <v>42948</v>
      </c>
      <c r="K58" s="1577">
        <f t="shared" si="13"/>
        <v>42917</v>
      </c>
      <c r="L58" s="1577">
        <f t="shared" si="13"/>
        <v>42887</v>
      </c>
      <c r="M58" s="1577">
        <f t="shared" si="13"/>
        <v>42856</v>
      </c>
      <c r="N58" s="1577">
        <f t="shared" si="13"/>
        <v>42826</v>
      </c>
      <c r="O58" s="1577">
        <f>EDATE(N58,-1)</f>
        <v>42795</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2583</v>
      </c>
      <c r="B60" s="516"/>
      <c r="C60" s="517"/>
      <c r="D60" s="518"/>
      <c r="E60" s="518"/>
      <c r="F60" s="518"/>
      <c r="G60" s="518"/>
      <c r="H60" s="518"/>
      <c r="I60" s="518"/>
      <c r="J60" s="518"/>
      <c r="K60" s="518"/>
      <c r="L60" s="518"/>
      <c r="M60" s="519"/>
      <c r="N60" s="518"/>
      <c r="O60" s="519"/>
      <c r="P60" s="2630"/>
      <c r="Q60" s="504"/>
    </row>
    <row r="61" spans="1:29" s="117" customFormat="1" ht="15">
      <c r="A61" s="521" t="s">
        <v>2548</v>
      </c>
      <c r="B61" s="510"/>
      <c r="C61" s="522" t="s">
        <v>2650</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2556</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2"/>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2678</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2561</v>
      </c>
      <c r="B100" s="528" t="s">
        <v>2679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2"/>
      <c r="Q101" s="504"/>
    </row>
    <row r="102" spans="1:17" ht="15.75" thickTop="1">
      <c r="A102" s="534"/>
      <c r="B102" s="538" t="s">
        <v>2611</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2"/>
      <c r="Q106" s="504"/>
    </row>
    <row r="107" spans="1:17" ht="15" thickTop="1">
      <c r="A107" s="599"/>
      <c r="B107" s="538" t="s">
        <v>2614</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2"/>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3"/>
      <c r="Q113" s="559"/>
    </row>
    <row r="114" spans="1:17" ht="15" thickTop="1">
      <c r="A114" s="599"/>
      <c r="B114" s="538" t="s">
        <v>2680</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2"/>
      <c r="Q115" s="504"/>
    </row>
    <row r="116" spans="1:17" ht="15" thickTop="1">
      <c r="A116" s="599"/>
      <c r="B116" s="538" t="s">
        <v>2681</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2682</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1" t="s">
        <v>2684</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IF(C2="——",ROUND(C50*D3/10000,0),ROUND(C50*D3/10000,0)-D2)</f>
        <v>#DIV/0!</v>
      </c>
      <c r="C2" s="2588"/>
      <c r="D2" s="1368"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101555.9</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79" t="s">
        <v>2644</v>
      </c>
      <c r="D4" s="3192"/>
      <c r="E4" s="3193" t="s">
        <v>2645</v>
      </c>
      <c r="F4" s="3194"/>
      <c r="G4" s="3179" t="s">
        <v>2646</v>
      </c>
      <c r="H4" s="3192"/>
      <c r="I4" s="3179" t="s">
        <v>2647</v>
      </c>
      <c r="J4" s="3192"/>
      <c r="K4" s="610" t="s">
        <v>2648</v>
      </c>
      <c r="L4" s="1133"/>
      <c r="M4" s="1134"/>
      <c r="N4" s="1134"/>
      <c r="O4" s="1134"/>
      <c r="P4" s="3261" t="s">
        <v>2649</v>
      </c>
      <c r="Q4" s="3262"/>
      <c r="R4" s="3265" t="s">
        <v>2645</v>
      </c>
      <c r="S4" s="3266"/>
      <c r="T4" s="3265" t="s">
        <v>2646</v>
      </c>
      <c r="U4" s="3266"/>
      <c r="V4" s="3267" t="s">
        <v>2647</v>
      </c>
      <c r="W4" s="3267"/>
      <c r="X4" s="2672"/>
      <c r="Y4" s="3265" t="s">
        <v>2649</v>
      </c>
      <c r="Z4" s="3266"/>
      <c r="AA4" s="3269" t="s">
        <v>2645</v>
      </c>
      <c r="AB4" s="3269" t="s">
        <v>2646</v>
      </c>
      <c r="AC4" s="3258" t="s">
        <v>2647</v>
      </c>
    </row>
    <row r="5" spans="1:29" ht="15">
      <c r="A5" s="404"/>
      <c r="B5" s="405"/>
      <c r="C5" s="3209" t="s">
        <v>2540</v>
      </c>
      <c r="D5" s="3210"/>
      <c r="E5" s="3217" t="s">
        <v>2541</v>
      </c>
      <c r="F5" s="3218"/>
      <c r="G5" s="3209" t="s">
        <v>2542</v>
      </c>
      <c r="H5" s="3210"/>
      <c r="I5" s="3209" t="s">
        <v>2543</v>
      </c>
      <c r="J5" s="3210"/>
      <c r="K5" s="610"/>
      <c r="L5" s="1133"/>
      <c r="M5" s="1134"/>
      <c r="N5" s="1134"/>
      <c r="O5" s="1134"/>
      <c r="P5" s="3263"/>
      <c r="Q5" s="3198"/>
      <c r="R5" s="3203"/>
      <c r="S5" s="3204"/>
      <c r="T5" s="3203"/>
      <c r="U5" s="3204"/>
      <c r="V5" s="3188"/>
      <c r="W5" s="3188"/>
      <c r="X5" s="1815"/>
      <c r="Y5" s="3203"/>
      <c r="Z5" s="3204"/>
      <c r="AA5" s="3190"/>
      <c r="AB5" s="3190"/>
      <c r="AC5" s="3259"/>
    </row>
    <row r="6" spans="1:29" ht="15.75" thickBot="1">
      <c r="A6" s="406"/>
      <c r="B6" s="407"/>
      <c r="C6" s="3214" t="s">
        <v>2544</v>
      </c>
      <c r="D6" s="3208"/>
      <c r="E6" s="3254" t="s">
        <v>2544</v>
      </c>
      <c r="F6" s="3216"/>
      <c r="G6" s="3214" t="s">
        <v>2544</v>
      </c>
      <c r="H6" s="3208"/>
      <c r="I6" s="3214" t="s">
        <v>2544</v>
      </c>
      <c r="J6" s="3208"/>
      <c r="K6" s="610" t="s">
        <v>2545</v>
      </c>
      <c r="L6" s="1133"/>
      <c r="M6" s="1134"/>
      <c r="N6" s="1134"/>
      <c r="O6" s="1134"/>
      <c r="P6" s="3264"/>
      <c r="Q6" s="3200"/>
      <c r="R6" s="3203"/>
      <c r="S6" s="3204"/>
      <c r="T6" s="3205"/>
      <c r="U6" s="3206"/>
      <c r="V6" s="3188"/>
      <c r="W6" s="3188"/>
      <c r="X6" s="1815"/>
      <c r="Y6" s="3205"/>
      <c r="Z6" s="3206"/>
      <c r="AA6" s="3191"/>
      <c r="AB6" s="3191"/>
      <c r="AC6" s="3260"/>
    </row>
    <row r="7" spans="1:29" s="117" customFormat="1" ht="15.75" thickBot="1">
      <c r="A7" s="408" t="s">
        <v>2546</v>
      </c>
      <c r="B7" s="409"/>
      <c r="C7" s="410">
        <f>'数据-取费表'!B2</f>
        <v>43180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8" t="s">
        <v>2547</v>
      </c>
      <c r="Q7" s="3213"/>
      <c r="R7" s="770" t="s">
        <v>17</v>
      </c>
      <c r="S7" s="771">
        <f t="shared" ref="S7:S15" si="0">F7</f>
        <v>0</v>
      </c>
      <c r="T7" s="770" t="s">
        <v>17</v>
      </c>
      <c r="U7" s="771">
        <f t="shared" ref="U7:U15" si="1">H7</f>
        <v>0</v>
      </c>
      <c r="V7" s="770" t="s">
        <v>17</v>
      </c>
      <c r="W7" s="771">
        <f t="shared" ref="W7:W15" si="2">J7</f>
        <v>0</v>
      </c>
      <c r="X7" s="772"/>
      <c r="Y7" s="3211" t="s">
        <v>2547</v>
      </c>
      <c r="Z7" s="3212"/>
      <c r="AA7" s="773" t="e">
        <f>D7/F7</f>
        <v>#DIV/0!</v>
      </c>
      <c r="AB7" s="773" t="e">
        <f>D7/H7</f>
        <v>#DIV/0!</v>
      </c>
      <c r="AC7" s="2673"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8" t="s">
        <v>2550</v>
      </c>
      <c r="Q8" s="3212"/>
      <c r="R8" s="770" t="s">
        <v>17</v>
      </c>
      <c r="S8" s="771">
        <f t="shared" si="0"/>
        <v>0</v>
      </c>
      <c r="T8" s="770" t="s">
        <v>17</v>
      </c>
      <c r="U8" s="771">
        <f t="shared" si="1"/>
        <v>0</v>
      </c>
      <c r="V8" s="770" t="s">
        <v>17</v>
      </c>
      <c r="W8" s="771">
        <f t="shared" si="2"/>
        <v>0</v>
      </c>
      <c r="X8" s="772"/>
      <c r="Y8" s="3211" t="s">
        <v>2550</v>
      </c>
      <c r="Z8" s="3212"/>
      <c r="AA8" s="773" t="e">
        <f t="shared" ref="AA8:AA47" si="3">D8/F8</f>
        <v>#DIV/0!</v>
      </c>
      <c r="AB8" s="773" t="e">
        <f t="shared" ref="AB8:AB47" si="4">D8/H8</f>
        <v>#DIV/0!</v>
      </c>
      <c r="AC8" s="2673"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1" t="s">
        <v>2553</v>
      </c>
      <c r="Q9" s="1797"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2673">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1"/>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3">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1"/>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81"/>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81"/>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81"/>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3">
        <f t="shared" si="5"/>
        <v>1</v>
      </c>
    </row>
    <row r="15" spans="1:29" ht="71.25">
      <c r="A15" s="440" t="s">
        <v>2557</v>
      </c>
      <c r="B15" s="629" t="s">
        <v>2685</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2" t="s">
        <v>2558</v>
      </c>
      <c r="Q15" s="1812" t="str">
        <f t="shared" si="6"/>
        <v>办公集聚程度</v>
      </c>
      <c r="R15" s="774" t="s">
        <v>17</v>
      </c>
      <c r="S15" s="775">
        <f t="shared" si="0"/>
        <v>100</v>
      </c>
      <c r="T15" s="774" t="s">
        <v>17</v>
      </c>
      <c r="U15" s="775">
        <f t="shared" si="1"/>
        <v>100</v>
      </c>
      <c r="V15" s="774" t="s">
        <v>17</v>
      </c>
      <c r="W15" s="775">
        <f t="shared" si="2"/>
        <v>100</v>
      </c>
      <c r="X15" s="1815"/>
      <c r="Y15" s="3184" t="s">
        <v>2558</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53"/>
      <c r="Q16" s="1812"/>
      <c r="R16" s="774"/>
      <c r="S16" s="775"/>
      <c r="T16" s="774"/>
      <c r="U16" s="775"/>
      <c r="V16" s="774"/>
      <c r="W16" s="775"/>
      <c r="X16" s="1815"/>
      <c r="Y16" s="3185"/>
      <c r="Z16" s="1816"/>
      <c r="AA16" s="1813">
        <v>1</v>
      </c>
      <c r="AB16" s="1813">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3"/>
      <c r="Q17" s="1812" t="str">
        <f>B17</f>
        <v>交通便捷度</v>
      </c>
      <c r="R17" s="774" t="s">
        <v>17</v>
      </c>
      <c r="S17" s="775">
        <f>F17</f>
        <v>100</v>
      </c>
      <c r="T17" s="774" t="s">
        <v>17</v>
      </c>
      <c r="U17" s="775">
        <f>H17</f>
        <v>100</v>
      </c>
      <c r="V17" s="774" t="s">
        <v>17</v>
      </c>
      <c r="W17" s="775">
        <f>J17</f>
        <v>100</v>
      </c>
      <c r="X17" s="1815"/>
      <c r="Y17" s="3185"/>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53"/>
      <c r="Q18" s="1812"/>
      <c r="R18" s="774"/>
      <c r="S18" s="775"/>
      <c r="T18" s="774"/>
      <c r="U18" s="775"/>
      <c r="V18" s="774"/>
      <c r="W18" s="775"/>
      <c r="X18" s="1815"/>
      <c r="Y18" s="3185"/>
      <c r="Z18" s="1816"/>
      <c r="AA18" s="1813">
        <v>1</v>
      </c>
      <c r="AB18" s="1813">
        <v>1</v>
      </c>
      <c r="AC18" s="2676">
        <v>1</v>
      </c>
    </row>
    <row r="19" spans="1:29" ht="42.75">
      <c r="A19" s="428"/>
      <c r="B19" s="631" t="s">
        <v>2686</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3"/>
      <c r="Q19" s="1812" t="str">
        <f>B19</f>
        <v>公共配套设施</v>
      </c>
      <c r="R19" s="774" t="s">
        <v>17</v>
      </c>
      <c r="S19" s="775">
        <f>F19</f>
        <v>100</v>
      </c>
      <c r="T19" s="774" t="s">
        <v>17</v>
      </c>
      <c r="U19" s="775">
        <f>H19</f>
        <v>100</v>
      </c>
      <c r="V19" s="774" t="s">
        <v>17</v>
      </c>
      <c r="W19" s="775">
        <f>J19</f>
        <v>100</v>
      </c>
      <c r="X19" s="1815"/>
      <c r="Y19" s="3185"/>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53"/>
      <c r="Q20" s="1812"/>
      <c r="R20" s="774"/>
      <c r="S20" s="775"/>
      <c r="T20" s="774"/>
      <c r="U20" s="775"/>
      <c r="V20" s="774"/>
      <c r="W20" s="775"/>
      <c r="X20" s="1815"/>
      <c r="Y20" s="3185"/>
      <c r="Z20" s="1816"/>
      <c r="AA20" s="1813">
        <v>1</v>
      </c>
      <c r="AB20" s="1813">
        <v>1</v>
      </c>
      <c r="AC20" s="2676">
        <v>1</v>
      </c>
    </row>
    <row r="21" spans="1:29" ht="28.5">
      <c r="A21" s="428"/>
      <c r="B21" s="633" t="s">
        <v>2687</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3"/>
      <c r="Q21" s="1812" t="str">
        <f>B21</f>
        <v>基础设施水平</v>
      </c>
      <c r="R21" s="774" t="s">
        <v>17</v>
      </c>
      <c r="S21" s="775">
        <f>F21</f>
        <v>100</v>
      </c>
      <c r="T21" s="774" t="s">
        <v>17</v>
      </c>
      <c r="U21" s="775">
        <f>H21</f>
        <v>100</v>
      </c>
      <c r="V21" s="774" t="s">
        <v>17</v>
      </c>
      <c r="W21" s="775">
        <f>J21</f>
        <v>100</v>
      </c>
      <c r="X21" s="1815"/>
      <c r="Y21" s="3185"/>
      <c r="Z21" s="1816" t="str">
        <f>Q21</f>
        <v>基础设施水平</v>
      </c>
      <c r="AA21" s="1813">
        <f>D21/F21</f>
        <v>1</v>
      </c>
      <c r="AB21" s="1813">
        <f>D21/H21</f>
        <v>1</v>
      </c>
      <c r="AC21" s="2676">
        <f>D21/J21</f>
        <v>1</v>
      </c>
    </row>
    <row r="22" spans="1:29" ht="15">
      <c r="A22" s="428"/>
      <c r="B22" s="633"/>
      <c r="C22" s="2678"/>
      <c r="D22" s="448"/>
      <c r="E22" s="447"/>
      <c r="F22" s="448"/>
      <c r="G22" s="2613"/>
      <c r="H22" s="448"/>
      <c r="I22" s="2613"/>
      <c r="J22" s="448"/>
      <c r="K22" s="1386"/>
      <c r="L22" s="1143"/>
      <c r="M22" s="1134"/>
      <c r="N22" s="1134"/>
      <c r="O22" s="1134"/>
      <c r="P22" s="3253"/>
      <c r="Q22" s="1812"/>
      <c r="R22" s="774"/>
      <c r="S22" s="775"/>
      <c r="T22" s="774"/>
      <c r="U22" s="775"/>
      <c r="V22" s="774"/>
      <c r="W22" s="775"/>
      <c r="X22" s="1815"/>
      <c r="Y22" s="3185"/>
      <c r="Z22" s="1816"/>
      <c r="AA22" s="1813">
        <v>1</v>
      </c>
      <c r="AB22" s="1813">
        <v>1</v>
      </c>
      <c r="AC22" s="2676">
        <v>1</v>
      </c>
    </row>
    <row r="23" spans="1:29" ht="42.75">
      <c r="A23" s="428"/>
      <c r="B23" s="631" t="s">
        <v>2688</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3"/>
      <c r="Q23" s="1812" t="str">
        <f>B23</f>
        <v>环境质量</v>
      </c>
      <c r="R23" s="774" t="s">
        <v>17</v>
      </c>
      <c r="S23" s="775">
        <f>F23</f>
        <v>100</v>
      </c>
      <c r="T23" s="774" t="s">
        <v>17</v>
      </c>
      <c r="U23" s="775">
        <f>H23</f>
        <v>100</v>
      </c>
      <c r="V23" s="774" t="s">
        <v>17</v>
      </c>
      <c r="W23" s="775">
        <f>J23</f>
        <v>100</v>
      </c>
      <c r="X23" s="1815"/>
      <c r="Y23" s="3185"/>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53"/>
      <c r="Q24" s="1812"/>
      <c r="R24" s="774"/>
      <c r="S24" s="775"/>
      <c r="T24" s="774"/>
      <c r="U24" s="775"/>
      <c r="V24" s="774"/>
      <c r="W24" s="775"/>
      <c r="X24" s="1815"/>
      <c r="Y24" s="3185"/>
      <c r="Z24" s="1816"/>
      <c r="AA24" s="1813">
        <v>1</v>
      </c>
      <c r="AB24" s="1813">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53"/>
      <c r="Q25" s="1812" t="str">
        <f>B25</f>
        <v>毗邻道路的类型与等级</v>
      </c>
      <c r="R25" s="774" t="s">
        <v>17</v>
      </c>
      <c r="S25" s="775">
        <f>F25</f>
        <v>100</v>
      </c>
      <c r="T25" s="774" t="s">
        <v>17</v>
      </c>
      <c r="U25" s="775">
        <f>H25</f>
        <v>100</v>
      </c>
      <c r="V25" s="774" t="s">
        <v>17</v>
      </c>
      <c r="W25" s="775">
        <f>J25</f>
        <v>100</v>
      </c>
      <c r="X25" s="1815"/>
      <c r="Y25" s="3185"/>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53"/>
      <c r="Q26" s="1812"/>
      <c r="R26" s="774"/>
      <c r="S26" s="775"/>
      <c r="T26" s="774"/>
      <c r="U26" s="775"/>
      <c r="V26" s="774"/>
      <c r="W26" s="775"/>
      <c r="X26" s="1815"/>
      <c r="Y26" s="3185"/>
      <c r="Z26" s="1816"/>
      <c r="AA26" s="1813">
        <v>1</v>
      </c>
      <c r="AB26" s="1813">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3"/>
      <c r="Q27" s="1812" t="str">
        <f t="shared" ref="Q27:Q47" si="8">B27</f>
        <v>楼层</v>
      </c>
      <c r="R27" s="774" t="s">
        <v>17</v>
      </c>
      <c r="S27" s="775">
        <f>F27</f>
        <v>100</v>
      </c>
      <c r="T27" s="774" t="s">
        <v>17</v>
      </c>
      <c r="U27" s="775">
        <f>H27</f>
        <v>100</v>
      </c>
      <c r="V27" s="774" t="s">
        <v>17</v>
      </c>
      <c r="W27" s="775">
        <f>J27</f>
        <v>100</v>
      </c>
      <c r="X27" s="1815"/>
      <c r="Y27" s="3185"/>
      <c r="Z27" s="1816" t="str">
        <f>Q27</f>
        <v>楼层</v>
      </c>
      <c r="AA27" s="1813">
        <f t="shared" si="3"/>
        <v>1</v>
      </c>
      <c r="AB27" s="1813">
        <f t="shared" si="4"/>
        <v>1</v>
      </c>
      <c r="AC27" s="2676">
        <f t="shared" si="5"/>
        <v>1</v>
      </c>
    </row>
    <row r="28" spans="1:29" s="117"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3"/>
      <c r="Q28" s="1797" t="str">
        <f t="shared" si="8"/>
        <v>朝向</v>
      </c>
      <c r="R28" s="770" t="s">
        <v>17</v>
      </c>
      <c r="S28" s="771">
        <f>F28</f>
        <v>100</v>
      </c>
      <c r="T28" s="770" t="s">
        <v>17</v>
      </c>
      <c r="U28" s="771">
        <f>H28</f>
        <v>100</v>
      </c>
      <c r="V28" s="770" t="s">
        <v>17</v>
      </c>
      <c r="W28" s="771">
        <f>J28</f>
        <v>100</v>
      </c>
      <c r="X28" s="772"/>
      <c r="Y28" s="3185"/>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3"/>
      <c r="Q29" s="1812">
        <f t="shared" si="8"/>
        <v>111</v>
      </c>
      <c r="R29" s="774" t="s">
        <v>17</v>
      </c>
      <c r="S29" s="775">
        <f t="shared" ref="S29:S47" si="9">F29</f>
        <v>100</v>
      </c>
      <c r="T29" s="774" t="s">
        <v>17</v>
      </c>
      <c r="U29" s="775">
        <f t="shared" ref="U29:U47" si="10">H29</f>
        <v>100</v>
      </c>
      <c r="V29" s="774" t="s">
        <v>17</v>
      </c>
      <c r="W29" s="775">
        <f t="shared" ref="W29:W47" si="11">J29</f>
        <v>100</v>
      </c>
      <c r="X29" s="1815"/>
      <c r="Y29" s="3185"/>
      <c r="Z29" s="1816">
        <f t="shared" ref="Z29:Z47" si="12">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3"/>
      <c r="Q30" s="1812">
        <f t="shared" si="8"/>
        <v>111</v>
      </c>
      <c r="R30" s="774" t="s">
        <v>17</v>
      </c>
      <c r="S30" s="775">
        <f t="shared" si="9"/>
        <v>100</v>
      </c>
      <c r="T30" s="774" t="s">
        <v>17</v>
      </c>
      <c r="U30" s="775">
        <f t="shared" si="10"/>
        <v>100</v>
      </c>
      <c r="V30" s="774" t="s">
        <v>17</v>
      </c>
      <c r="W30" s="775">
        <f t="shared" si="11"/>
        <v>100</v>
      </c>
      <c r="X30" s="1815"/>
      <c r="Y30" s="3185"/>
      <c r="Z30" s="1816">
        <f t="shared" si="12"/>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3"/>
      <c r="Q31" s="1812">
        <f t="shared" si="8"/>
        <v>111</v>
      </c>
      <c r="R31" s="774" t="s">
        <v>17</v>
      </c>
      <c r="S31" s="775">
        <f t="shared" si="9"/>
        <v>100</v>
      </c>
      <c r="T31" s="774" t="s">
        <v>17</v>
      </c>
      <c r="U31" s="775">
        <f t="shared" si="10"/>
        <v>100</v>
      </c>
      <c r="V31" s="774" t="s">
        <v>17</v>
      </c>
      <c r="W31" s="775">
        <f t="shared" si="11"/>
        <v>100</v>
      </c>
      <c r="X31" s="1815"/>
      <c r="Y31" s="3185"/>
      <c r="Z31" s="1816">
        <f t="shared" si="12"/>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3"/>
      <c r="Q32" s="1812">
        <f t="shared" si="8"/>
        <v>111</v>
      </c>
      <c r="R32" s="774" t="s">
        <v>17</v>
      </c>
      <c r="S32" s="775">
        <f t="shared" si="9"/>
        <v>100</v>
      </c>
      <c r="T32" s="774" t="s">
        <v>17</v>
      </c>
      <c r="U32" s="775">
        <f t="shared" si="10"/>
        <v>100</v>
      </c>
      <c r="V32" s="774" t="s">
        <v>17</v>
      </c>
      <c r="W32" s="775">
        <f t="shared" si="11"/>
        <v>100</v>
      </c>
      <c r="X32" s="1815"/>
      <c r="Y32" s="3185"/>
      <c r="Z32" s="1816">
        <f t="shared" si="12"/>
        <v>111</v>
      </c>
      <c r="AA32" s="1813">
        <f t="shared" si="3"/>
        <v>1</v>
      </c>
      <c r="AB32" s="1813">
        <f t="shared" si="4"/>
        <v>1</v>
      </c>
      <c r="AC32" s="2676">
        <f t="shared" si="5"/>
        <v>1</v>
      </c>
    </row>
    <row r="33" spans="1:29" ht="15">
      <c r="A33" s="440" t="s">
        <v>2561</v>
      </c>
      <c r="B33" s="71" t="s">
        <v>2691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48" t="s">
        <v>2563</v>
      </c>
      <c r="Q33" s="1812" t="str">
        <f t="shared" si="8"/>
        <v>建筑类型</v>
      </c>
      <c r="R33" s="774" t="s">
        <v>17</v>
      </c>
      <c r="S33" s="775">
        <f t="shared" si="9"/>
        <v>100</v>
      </c>
      <c r="T33" s="774" t="s">
        <v>17</v>
      </c>
      <c r="U33" s="775">
        <f t="shared" si="10"/>
        <v>100</v>
      </c>
      <c r="V33" s="774" t="s">
        <v>17</v>
      </c>
      <c r="W33" s="775">
        <f t="shared" si="11"/>
        <v>100</v>
      </c>
      <c r="X33" s="1815"/>
      <c r="Y33" s="3187" t="s">
        <v>2563</v>
      </c>
      <c r="Z33" s="1816" t="str">
        <f t="shared" si="12"/>
        <v>建筑类型</v>
      </c>
      <c r="AA33" s="1813">
        <f t="shared" si="3"/>
        <v>1</v>
      </c>
      <c r="AB33" s="1813">
        <f t="shared" si="4"/>
        <v>1</v>
      </c>
      <c r="AC33" s="2676">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9"/>
      <c r="Q34" s="776" t="str">
        <f t="shared" si="8"/>
        <v>项目建筑规模</v>
      </c>
      <c r="R34" s="777" t="s">
        <v>17</v>
      </c>
      <c r="S34" s="778" t="e">
        <f t="shared" si="9"/>
        <v>#N/A</v>
      </c>
      <c r="T34" s="777" t="s">
        <v>17</v>
      </c>
      <c r="U34" s="778" t="e">
        <f t="shared" si="10"/>
        <v>#N/A</v>
      </c>
      <c r="V34" s="777" t="s">
        <v>17</v>
      </c>
      <c r="W34" s="778" t="e">
        <f t="shared" si="11"/>
        <v>#N/A</v>
      </c>
      <c r="X34" s="779"/>
      <c r="Y34" s="3187"/>
      <c r="Z34" s="780" t="str">
        <f t="shared" si="12"/>
        <v>项目建筑规模</v>
      </c>
      <c r="AA34" s="1813" t="e">
        <f t="shared" si="3"/>
        <v>#N/A</v>
      </c>
      <c r="AB34" s="1813" t="e">
        <f t="shared" si="4"/>
        <v>#N/A</v>
      </c>
      <c r="AC34" s="2676"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9"/>
      <c r="Q35" s="1812" t="str">
        <f t="shared" si="8"/>
        <v>建筑结构</v>
      </c>
      <c r="R35" s="774" t="s">
        <v>17</v>
      </c>
      <c r="S35" s="775">
        <f t="shared" si="9"/>
        <v>100</v>
      </c>
      <c r="T35" s="774" t="s">
        <v>17</v>
      </c>
      <c r="U35" s="775">
        <f t="shared" si="10"/>
        <v>100</v>
      </c>
      <c r="V35" s="774" t="s">
        <v>17</v>
      </c>
      <c r="W35" s="775">
        <f t="shared" si="11"/>
        <v>100</v>
      </c>
      <c r="X35" s="1815"/>
      <c r="Y35" s="3187"/>
      <c r="Z35" s="1816" t="str">
        <f t="shared" si="12"/>
        <v>建筑结构</v>
      </c>
      <c r="AA35" s="1813">
        <f t="shared" si="3"/>
        <v>1</v>
      </c>
      <c r="AB35" s="1813">
        <f t="shared" si="4"/>
        <v>1</v>
      </c>
      <c r="AC35" s="2676">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9"/>
      <c r="Q36" s="1812" t="str">
        <f t="shared" si="8"/>
        <v>公共部分装修</v>
      </c>
      <c r="R36" s="774" t="s">
        <v>17</v>
      </c>
      <c r="S36" s="775">
        <f t="shared" si="9"/>
        <v>100</v>
      </c>
      <c r="T36" s="774" t="s">
        <v>17</v>
      </c>
      <c r="U36" s="775">
        <f t="shared" si="10"/>
        <v>100</v>
      </c>
      <c r="V36" s="774" t="s">
        <v>17</v>
      </c>
      <c r="W36" s="775">
        <f t="shared" si="11"/>
        <v>100</v>
      </c>
      <c r="X36" s="1815"/>
      <c r="Y36" s="3187"/>
      <c r="Z36" s="1816" t="str">
        <f t="shared" si="12"/>
        <v>公共部分装修</v>
      </c>
      <c r="AA36" s="1813">
        <f t="shared" si="3"/>
        <v>1</v>
      </c>
      <c r="AB36" s="1813">
        <f t="shared" si="4"/>
        <v>1</v>
      </c>
      <c r="AC36" s="2676">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9"/>
      <c r="Q37" s="1812" t="str">
        <f t="shared" si="8"/>
        <v>成新度</v>
      </c>
      <c r="R37" s="774" t="s">
        <v>17</v>
      </c>
      <c r="S37" s="775" t="e">
        <f t="shared" si="9"/>
        <v>#N/A</v>
      </c>
      <c r="T37" s="774" t="s">
        <v>17</v>
      </c>
      <c r="U37" s="775" t="e">
        <f t="shared" si="10"/>
        <v>#N/A</v>
      </c>
      <c r="V37" s="774" t="s">
        <v>17</v>
      </c>
      <c r="W37" s="775" t="e">
        <f t="shared" si="11"/>
        <v>#N/A</v>
      </c>
      <c r="X37" s="1815"/>
      <c r="Y37" s="3187"/>
      <c r="Z37" s="1816" t="str">
        <f t="shared" si="12"/>
        <v>成新度</v>
      </c>
      <c r="AA37" s="1813" t="e">
        <f t="shared" si="3"/>
        <v>#N/A</v>
      </c>
      <c r="AB37" s="1813" t="e">
        <f t="shared" si="4"/>
        <v>#N/A</v>
      </c>
      <c r="AC37" s="2676"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9"/>
      <c r="Q38" s="1797" t="str">
        <f t="shared" si="8"/>
        <v>写字楼等级</v>
      </c>
      <c r="R38" s="770" t="s">
        <v>17</v>
      </c>
      <c r="S38" s="771">
        <f t="shared" si="9"/>
        <v>100</v>
      </c>
      <c r="T38" s="770" t="s">
        <v>17</v>
      </c>
      <c r="U38" s="771">
        <f t="shared" si="10"/>
        <v>100</v>
      </c>
      <c r="V38" s="770" t="s">
        <v>17</v>
      </c>
      <c r="W38" s="771">
        <f t="shared" si="11"/>
        <v>100</v>
      </c>
      <c r="X38" s="772"/>
      <c r="Y38" s="3187"/>
      <c r="Z38" s="55" t="str">
        <f t="shared" si="12"/>
        <v>写字楼等级</v>
      </c>
      <c r="AA38" s="773">
        <f t="shared" si="3"/>
        <v>1</v>
      </c>
      <c r="AB38" s="773">
        <f t="shared" si="4"/>
        <v>1</v>
      </c>
      <c r="AC38" s="2673">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9" t="s">
        <v>2563</v>
      </c>
      <c r="Q39" s="1812" t="str">
        <f t="shared" si="8"/>
        <v>物业管理</v>
      </c>
      <c r="R39" s="774" t="s">
        <v>17</v>
      </c>
      <c r="S39" s="775">
        <f t="shared" si="9"/>
        <v>100</v>
      </c>
      <c r="T39" s="774" t="s">
        <v>17</v>
      </c>
      <c r="U39" s="775">
        <f t="shared" si="10"/>
        <v>100</v>
      </c>
      <c r="V39" s="774" t="s">
        <v>17</v>
      </c>
      <c r="W39" s="775">
        <f t="shared" si="11"/>
        <v>100</v>
      </c>
      <c r="X39" s="1815"/>
      <c r="Y39" s="3187" t="s">
        <v>2563</v>
      </c>
      <c r="Z39" s="1816" t="str">
        <f t="shared" si="12"/>
        <v>物业管理</v>
      </c>
      <c r="AA39" s="1813">
        <f t="shared" si="3"/>
        <v>1</v>
      </c>
      <c r="AB39" s="1813">
        <f t="shared" si="4"/>
        <v>1</v>
      </c>
      <c r="AC39" s="2676">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9"/>
      <c r="Q40" s="1812" t="str">
        <f t="shared" si="8"/>
        <v>市政基础设施</v>
      </c>
      <c r="R40" s="774" t="s">
        <v>17</v>
      </c>
      <c r="S40" s="775">
        <f t="shared" si="9"/>
        <v>100</v>
      </c>
      <c r="T40" s="774" t="s">
        <v>17</v>
      </c>
      <c r="U40" s="775">
        <f t="shared" si="10"/>
        <v>100</v>
      </c>
      <c r="V40" s="774" t="s">
        <v>17</v>
      </c>
      <c r="W40" s="775">
        <f t="shared" si="11"/>
        <v>100</v>
      </c>
      <c r="X40" s="1815"/>
      <c r="Y40" s="3187"/>
      <c r="Z40" s="1816" t="str">
        <f t="shared" si="12"/>
        <v>市政基础设施</v>
      </c>
      <c r="AA40" s="1813">
        <f t="shared" si="3"/>
        <v>1</v>
      </c>
      <c r="AB40" s="1813">
        <f t="shared" si="4"/>
        <v>1</v>
      </c>
      <c r="AC40" s="2676">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9"/>
      <c r="Q41" s="1812" t="str">
        <f t="shared" si="8"/>
        <v>层高</v>
      </c>
      <c r="R41" s="774" t="s">
        <v>17</v>
      </c>
      <c r="S41" s="775">
        <f t="shared" si="9"/>
        <v>100</v>
      </c>
      <c r="T41" s="774" t="s">
        <v>17</v>
      </c>
      <c r="U41" s="775">
        <f t="shared" si="10"/>
        <v>100</v>
      </c>
      <c r="V41" s="774" t="s">
        <v>17</v>
      </c>
      <c r="W41" s="775">
        <f t="shared" si="11"/>
        <v>100</v>
      </c>
      <c r="X41" s="1815"/>
      <c r="Y41" s="3187"/>
      <c r="Z41" s="1816" t="str">
        <f t="shared" si="12"/>
        <v>层高</v>
      </c>
      <c r="AA41" s="1813">
        <f t="shared" si="3"/>
        <v>1</v>
      </c>
      <c r="AB41" s="1813">
        <f t="shared" si="4"/>
        <v>1</v>
      </c>
      <c r="AC41" s="2676">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9"/>
      <c r="Q42" s="776" t="str">
        <f t="shared" si="8"/>
        <v>单套建筑面积</v>
      </c>
      <c r="R42" s="777" t="s">
        <v>17</v>
      </c>
      <c r="S42" s="778">
        <f t="shared" si="9"/>
        <v>100</v>
      </c>
      <c r="T42" s="777" t="s">
        <v>17</v>
      </c>
      <c r="U42" s="778">
        <f t="shared" si="10"/>
        <v>100</v>
      </c>
      <c r="V42" s="777" t="s">
        <v>17</v>
      </c>
      <c r="W42" s="778">
        <f t="shared" si="11"/>
        <v>100</v>
      </c>
      <c r="X42" s="779"/>
      <c r="Y42" s="3187"/>
      <c r="Z42" s="780" t="str">
        <f t="shared" si="12"/>
        <v>单套建筑面积</v>
      </c>
      <c r="AA42" s="1813">
        <f t="shared" si="3"/>
        <v>1</v>
      </c>
      <c r="AB42" s="1813">
        <f t="shared" si="4"/>
        <v>1</v>
      </c>
      <c r="AC42" s="2676">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9"/>
      <c r="Q43" s="1812" t="str">
        <f t="shared" si="8"/>
        <v>内部装修</v>
      </c>
      <c r="R43" s="774" t="s">
        <v>17</v>
      </c>
      <c r="S43" s="775">
        <f t="shared" si="9"/>
        <v>100</v>
      </c>
      <c r="T43" s="774" t="s">
        <v>17</v>
      </c>
      <c r="U43" s="775">
        <f t="shared" si="10"/>
        <v>100</v>
      </c>
      <c r="V43" s="774" t="s">
        <v>17</v>
      </c>
      <c r="W43" s="775">
        <f t="shared" si="11"/>
        <v>100</v>
      </c>
      <c r="X43" s="1815"/>
      <c r="Y43" s="3187"/>
      <c r="Z43" s="1816" t="str">
        <f t="shared" si="12"/>
        <v>内部装修</v>
      </c>
      <c r="AA43" s="1813">
        <f t="shared" si="3"/>
        <v>1</v>
      </c>
      <c r="AB43" s="1813">
        <f t="shared" si="4"/>
        <v>1</v>
      </c>
      <c r="AC43" s="2676">
        <f t="shared" si="5"/>
        <v>1</v>
      </c>
    </row>
    <row r="44" spans="1:29" ht="15">
      <c r="A44" s="472"/>
      <c r="B44" s="422" t="s">
        <v>2574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49"/>
      <c r="Q44" s="1812" t="str">
        <f t="shared" si="8"/>
        <v>内部装修维护情况</v>
      </c>
      <c r="R44" s="774" t="s">
        <v>17</v>
      </c>
      <c r="S44" s="775">
        <f t="shared" si="9"/>
        <v>100</v>
      </c>
      <c r="T44" s="774" t="s">
        <v>17</v>
      </c>
      <c r="U44" s="775">
        <f t="shared" si="10"/>
        <v>100</v>
      </c>
      <c r="V44" s="774" t="s">
        <v>17</v>
      </c>
      <c r="W44" s="775">
        <f t="shared" si="11"/>
        <v>100</v>
      </c>
      <c r="X44" s="1815"/>
      <c r="Y44" s="3187"/>
      <c r="Z44" s="1816" t="str">
        <f t="shared" si="12"/>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9"/>
      <c r="Q45" s="1797">
        <f t="shared" si="8"/>
        <v>111</v>
      </c>
      <c r="R45" s="770" t="s">
        <v>17</v>
      </c>
      <c r="S45" s="771">
        <f t="shared" si="9"/>
        <v>100</v>
      </c>
      <c r="T45" s="770" t="s">
        <v>17</v>
      </c>
      <c r="U45" s="771">
        <f t="shared" si="10"/>
        <v>100</v>
      </c>
      <c r="V45" s="770" t="s">
        <v>17</v>
      </c>
      <c r="W45" s="771">
        <f t="shared" si="11"/>
        <v>100</v>
      </c>
      <c r="X45" s="772"/>
      <c r="Y45" s="3187"/>
      <c r="Z45" s="55">
        <f t="shared" si="12"/>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9"/>
      <c r="Q46" s="1812">
        <f t="shared" si="8"/>
        <v>111</v>
      </c>
      <c r="R46" s="774" t="s">
        <v>17</v>
      </c>
      <c r="S46" s="775">
        <f t="shared" si="9"/>
        <v>100</v>
      </c>
      <c r="T46" s="774" t="s">
        <v>17</v>
      </c>
      <c r="U46" s="775">
        <f t="shared" si="10"/>
        <v>100</v>
      </c>
      <c r="V46" s="774" t="s">
        <v>17</v>
      </c>
      <c r="W46" s="775">
        <f t="shared" si="11"/>
        <v>100</v>
      </c>
      <c r="X46" s="1815"/>
      <c r="Y46" s="3187"/>
      <c r="Z46" s="1816">
        <f t="shared" si="12"/>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0"/>
      <c r="Q47" s="1812">
        <f t="shared" si="8"/>
        <v>111</v>
      </c>
      <c r="R47" s="774" t="s">
        <v>17</v>
      </c>
      <c r="S47" s="775">
        <f t="shared" si="9"/>
        <v>100</v>
      </c>
      <c r="T47" s="774" t="s">
        <v>17</v>
      </c>
      <c r="U47" s="775">
        <f t="shared" si="10"/>
        <v>100</v>
      </c>
      <c r="V47" s="774" t="s">
        <v>17</v>
      </c>
      <c r="W47" s="775">
        <f t="shared" si="11"/>
        <v>100</v>
      </c>
      <c r="X47" s="1815"/>
      <c r="Y47" s="3251"/>
      <c r="Z47" s="1816">
        <f t="shared" si="12"/>
        <v>111</v>
      </c>
      <c r="AA47" s="1813">
        <f t="shared" si="3"/>
        <v>1</v>
      </c>
      <c r="AB47" s="1813">
        <f t="shared" si="4"/>
        <v>1</v>
      </c>
      <c r="AC47" s="2676">
        <f t="shared" si="5"/>
        <v>1</v>
      </c>
    </row>
    <row r="48" spans="1:29" ht="15">
      <c r="A48" s="479" t="s">
        <v>2575</v>
      </c>
      <c r="B48" s="480"/>
      <c r="C48" s="1410" t="s">
        <v>1</v>
      </c>
      <c r="D48" s="1411"/>
      <c r="E48" s="1412"/>
      <c r="F48" s="1413"/>
      <c r="G48" s="1414"/>
      <c r="H48" s="1415"/>
      <c r="I48" s="1412"/>
      <c r="J48" s="485"/>
      <c r="K48" s="783"/>
      <c r="L48" s="1146"/>
      <c r="M48" s="1134"/>
      <c r="N48" s="1134"/>
      <c r="O48" s="1134"/>
      <c r="P48" s="3181" t="str">
        <f>A48</f>
        <v>成交单价（元/平方米）</v>
      </c>
      <c r="Q48" s="3182"/>
      <c r="R48" s="3247">
        <f>E48</f>
        <v>0</v>
      </c>
      <c r="S48" s="3247"/>
      <c r="T48" s="3247">
        <f>G48</f>
        <v>0</v>
      </c>
      <c r="U48" s="3247"/>
      <c r="V48" s="3247">
        <f>I48</f>
        <v>0</v>
      </c>
      <c r="W48" s="3247"/>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181" t="str">
        <f>A49</f>
        <v>比较价值（元/平方米）</v>
      </c>
      <c r="Q49" s="3182"/>
      <c r="R49" s="3247" t="e">
        <f>IF(F1="售价",ROUND(PRODUCT(R48,AA7:AA47),0),ROUND(PRODUCT(R48,AA7:AA47),1))</f>
        <v>#DIV/0!</v>
      </c>
      <c r="S49" s="3247"/>
      <c r="T49" s="3247" t="e">
        <f>IF(F1="售价",ROUND(PRODUCT(T48,AB7:AB47),0),ROUND(PRODUCT(T48,AB7:AB47),1))</f>
        <v>#DIV/0!</v>
      </c>
      <c r="U49" s="3247"/>
      <c r="V49" s="3247" t="e">
        <f>IF(F1="售价",ROUND(PRODUCT(V48,AC7:AC47),0),ROUND(PRODUCT(V48,AC7:AC47),1))</f>
        <v>#DIV/0!</v>
      </c>
      <c r="W49" s="3247"/>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55" t="str">
        <f>A50</f>
        <v>估价对象XX用房的比较价值（楼面单价，元/平方米）</v>
      </c>
      <c r="Q50" s="3256"/>
      <c r="R50" s="3257" t="e">
        <f>IF(F1="售价",ROUND(AVERAGE(R49:V49),0),ROUND(AVERAGE(R49:V49),1))</f>
        <v>#DIV/0!</v>
      </c>
      <c r="S50" s="3257"/>
      <c r="T50" s="3257"/>
      <c r="U50" s="3257"/>
      <c r="V50" s="3257"/>
      <c r="W50" s="3257"/>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3"/>
      <c r="Q58" s="504"/>
    </row>
    <row r="59" spans="1:29" s="508" customFormat="1" ht="15">
      <c r="A59" s="505" t="s">
        <v>2546</v>
      </c>
      <c r="B59" s="506"/>
      <c r="C59" s="1576" t="str">
        <f>YEAR(C7)&amp;"-"&amp;MONTH(C7)</f>
        <v>2018-3</v>
      </c>
      <c r="D59" s="1577">
        <f>EDATE(C59,-1)</f>
        <v>43132</v>
      </c>
      <c r="E59" s="1577">
        <f>EDATE(D59,-1)</f>
        <v>43101</v>
      </c>
      <c r="F59" s="1577">
        <f t="shared" ref="F59:O59" si="13">EDATE(E59,-1)</f>
        <v>43070</v>
      </c>
      <c r="G59" s="1577">
        <f t="shared" si="13"/>
        <v>43040</v>
      </c>
      <c r="H59" s="1577">
        <f t="shared" si="13"/>
        <v>43009</v>
      </c>
      <c r="I59" s="1577">
        <f t="shared" si="13"/>
        <v>42979</v>
      </c>
      <c r="J59" s="1577">
        <f t="shared" si="13"/>
        <v>42948</v>
      </c>
      <c r="K59" s="1577">
        <f t="shared" si="13"/>
        <v>42917</v>
      </c>
      <c r="L59" s="1577">
        <f t="shared" si="13"/>
        <v>42887</v>
      </c>
      <c r="M59" s="1577">
        <f t="shared" si="13"/>
        <v>42856</v>
      </c>
      <c r="N59" s="1577">
        <f t="shared" si="13"/>
        <v>42826</v>
      </c>
      <c r="O59" s="1577">
        <f t="shared" si="13"/>
        <v>42795</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2583</v>
      </c>
      <c r="B61" s="516"/>
      <c r="C61" s="517"/>
      <c r="D61" s="518"/>
      <c r="E61" s="518"/>
      <c r="F61" s="518"/>
      <c r="G61" s="518"/>
      <c r="H61" s="518"/>
      <c r="I61" s="518"/>
      <c r="J61" s="518"/>
      <c r="K61" s="518"/>
      <c r="L61" s="518"/>
      <c r="M61" s="519"/>
      <c r="N61" s="518"/>
      <c r="O61" s="519"/>
      <c r="P61" s="2684"/>
      <c r="Q61" s="504"/>
    </row>
    <row r="62" spans="1:29" s="117" customFormat="1" ht="15">
      <c r="A62" s="521" t="s">
        <v>2548</v>
      </c>
      <c r="B62" s="510"/>
      <c r="C62" s="522" t="s">
        <v>2650</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2586</v>
      </c>
      <c r="B64" s="528" t="s">
        <v>2552</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2556</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2697</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2561</v>
      </c>
      <c r="B101" s="528" t="s">
        <v>2610</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6"/>
      <c r="Q102" s="504"/>
    </row>
    <row r="103" spans="1:17" ht="15.75" thickTop="1">
      <c r="A103" s="534"/>
      <c r="B103" s="538" t="s">
        <v>2611</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2612</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6"/>
      <c r="Q107" s="504"/>
    </row>
    <row r="108" spans="1:17" ht="15" thickTop="1">
      <c r="A108" s="599"/>
      <c r="B108" s="538" t="s">
        <v>2614</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6"/>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7"/>
      <c r="Q114" s="559"/>
    </row>
    <row r="115" spans="1:17" ht="15" thickTop="1">
      <c r="A115" s="599"/>
      <c r="B115" s="538" t="s">
        <v>2615</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6"/>
      <c r="Q116" s="504"/>
    </row>
    <row r="117" spans="1:17" ht="15" thickTop="1">
      <c r="A117" s="599"/>
      <c r="B117" s="538" t="s">
        <v>2616</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2699</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6"/>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2618</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1" t="s">
        <v>2700</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IF(C2="——",ROUND(C43*D3/10000,0),ROUND(C43*D3/10000,0)-D2)</f>
        <v>#DIV/0!</v>
      </c>
      <c r="C2" s="2588"/>
      <c r="D2" s="1127"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101555.9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79" t="s">
        <v>2644</v>
      </c>
      <c r="D4" s="3192"/>
      <c r="E4" s="3193" t="s">
        <v>2645</v>
      </c>
      <c r="F4" s="3194"/>
      <c r="G4" s="3179" t="s">
        <v>2646</v>
      </c>
      <c r="H4" s="3192"/>
      <c r="I4" s="3179" t="s">
        <v>2647</v>
      </c>
      <c r="J4" s="3192"/>
      <c r="K4" s="610" t="s">
        <v>2648</v>
      </c>
      <c r="L4" s="1133"/>
      <c r="M4" s="1134"/>
      <c r="N4" s="1134"/>
      <c r="O4" s="1134"/>
      <c r="P4" s="3195" t="s">
        <v>2649</v>
      </c>
      <c r="Q4" s="3196"/>
      <c r="R4" s="3201" t="s">
        <v>2645</v>
      </c>
      <c r="S4" s="3202"/>
      <c r="T4" s="3201" t="s">
        <v>2646</v>
      </c>
      <c r="U4" s="3202"/>
      <c r="V4" s="3188" t="s">
        <v>2647</v>
      </c>
      <c r="W4" s="3188"/>
      <c r="X4" s="1815"/>
      <c r="Y4" s="3201" t="s">
        <v>2649</v>
      </c>
      <c r="Z4" s="3202"/>
      <c r="AA4" s="3189" t="s">
        <v>2645</v>
      </c>
      <c r="AB4" s="3190" t="s">
        <v>2646</v>
      </c>
      <c r="AC4" s="3189" t="s">
        <v>2647</v>
      </c>
    </row>
    <row r="5" spans="1:29" ht="15">
      <c r="A5" s="404"/>
      <c r="B5" s="405"/>
      <c r="C5" s="3209" t="s">
        <v>2540</v>
      </c>
      <c r="D5" s="3210"/>
      <c r="E5" s="3217" t="s">
        <v>2541</v>
      </c>
      <c r="F5" s="3218"/>
      <c r="G5" s="3209" t="s">
        <v>2542</v>
      </c>
      <c r="H5" s="3210"/>
      <c r="I5" s="3209" t="s">
        <v>2543</v>
      </c>
      <c r="J5" s="3210"/>
      <c r="K5" s="610"/>
      <c r="L5" s="1133"/>
      <c r="M5" s="1134"/>
      <c r="N5" s="1134"/>
      <c r="O5" s="1134"/>
      <c r="P5" s="3197"/>
      <c r="Q5" s="3198"/>
      <c r="R5" s="3203"/>
      <c r="S5" s="3204"/>
      <c r="T5" s="3203"/>
      <c r="U5" s="3204"/>
      <c r="V5" s="3188"/>
      <c r="W5" s="3188"/>
      <c r="X5" s="1815"/>
      <c r="Y5" s="3203"/>
      <c r="Z5" s="3204"/>
      <c r="AA5" s="3190"/>
      <c r="AB5" s="3190"/>
      <c r="AC5" s="3190"/>
    </row>
    <row r="6" spans="1:29" ht="15.75" thickBot="1">
      <c r="A6" s="406"/>
      <c r="B6" s="407"/>
      <c r="C6" s="3214" t="s">
        <v>2544</v>
      </c>
      <c r="D6" s="3208"/>
      <c r="E6" s="3254" t="s">
        <v>2544</v>
      </c>
      <c r="F6" s="3216"/>
      <c r="G6" s="3214" t="s">
        <v>2544</v>
      </c>
      <c r="H6" s="3208"/>
      <c r="I6" s="3214" t="s">
        <v>2544</v>
      </c>
      <c r="J6" s="3208"/>
      <c r="K6" s="610" t="s">
        <v>2545</v>
      </c>
      <c r="L6" s="1133"/>
      <c r="M6" s="1134"/>
      <c r="N6" s="1134"/>
      <c r="O6" s="1134"/>
      <c r="P6" s="3199"/>
      <c r="Q6" s="3200"/>
      <c r="R6" s="3203"/>
      <c r="S6" s="3204"/>
      <c r="T6" s="3205"/>
      <c r="U6" s="3206"/>
      <c r="V6" s="3188"/>
      <c r="W6" s="3188"/>
      <c r="X6" s="1815"/>
      <c r="Y6" s="3205"/>
      <c r="Z6" s="3206"/>
      <c r="AA6" s="3191"/>
      <c r="AB6" s="3191"/>
      <c r="AC6" s="3191"/>
    </row>
    <row r="7" spans="1:29" s="117" customFormat="1" ht="15.75" thickBot="1">
      <c r="A7" s="408" t="s">
        <v>2546</v>
      </c>
      <c r="B7" s="409"/>
      <c r="C7" s="410">
        <f>'数据-取费表'!B2</f>
        <v>43180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1" t="s">
        <v>2547</v>
      </c>
      <c r="Q7" s="3213"/>
      <c r="R7" s="770" t="s">
        <v>17</v>
      </c>
      <c r="S7" s="771">
        <f t="shared" ref="S7:S15" si="0">F7</f>
        <v>0</v>
      </c>
      <c r="T7" s="770" t="s">
        <v>17</v>
      </c>
      <c r="U7" s="771">
        <f t="shared" ref="U7:U15" si="1">H7</f>
        <v>0</v>
      </c>
      <c r="V7" s="770" t="s">
        <v>17</v>
      </c>
      <c r="W7" s="771">
        <f t="shared" ref="W7:W15" si="2">J7</f>
        <v>0</v>
      </c>
      <c r="X7" s="772"/>
      <c r="Y7" s="3211" t="s">
        <v>2547</v>
      </c>
      <c r="Z7" s="3212"/>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1" t="s">
        <v>2550</v>
      </c>
      <c r="Q8" s="3212"/>
      <c r="R8" s="770" t="s">
        <v>17</v>
      </c>
      <c r="S8" s="771">
        <f t="shared" si="0"/>
        <v>0</v>
      </c>
      <c r="T8" s="770" t="s">
        <v>17</v>
      </c>
      <c r="U8" s="771">
        <f t="shared" si="1"/>
        <v>0</v>
      </c>
      <c r="V8" s="770" t="s">
        <v>17</v>
      </c>
      <c r="W8" s="771">
        <f t="shared" si="2"/>
        <v>0</v>
      </c>
      <c r="X8" s="772"/>
      <c r="Y8" s="3211" t="s">
        <v>2550</v>
      </c>
      <c r="Z8" s="3212"/>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2" t="s">
        <v>2553</v>
      </c>
      <c r="Q9" s="1797"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2"/>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2"/>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82"/>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82"/>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82"/>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2557</v>
      </c>
      <c r="B15" s="69" t="s">
        <v>2701</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4" t="s">
        <v>2558</v>
      </c>
      <c r="Q15" s="1812" t="str">
        <f t="shared" si="6"/>
        <v>产业集聚程度</v>
      </c>
      <c r="R15" s="774" t="s">
        <v>17</v>
      </c>
      <c r="S15" s="775">
        <f t="shared" si="0"/>
        <v>100</v>
      </c>
      <c r="T15" s="774" t="s">
        <v>17</v>
      </c>
      <c r="U15" s="775">
        <f t="shared" si="1"/>
        <v>100</v>
      </c>
      <c r="V15" s="774" t="s">
        <v>17</v>
      </c>
      <c r="W15" s="775">
        <f t="shared" si="2"/>
        <v>100</v>
      </c>
      <c r="X15" s="1815"/>
      <c r="Y15" s="3184"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5"/>
      <c r="Q16" s="1812"/>
      <c r="R16" s="774"/>
      <c r="S16" s="775"/>
      <c r="T16" s="774"/>
      <c r="U16" s="775"/>
      <c r="V16" s="774"/>
      <c r="W16" s="775"/>
      <c r="X16" s="1815"/>
      <c r="Y16" s="3185"/>
      <c r="Z16" s="1816"/>
      <c r="AA16" s="1813">
        <v>1</v>
      </c>
      <c r="AB16" s="1813">
        <v>1</v>
      </c>
      <c r="AC16" s="1813">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5"/>
      <c r="Q17" s="1812" t="str">
        <f>B17</f>
        <v>交通便捷度</v>
      </c>
      <c r="R17" s="774" t="s">
        <v>17</v>
      </c>
      <c r="S17" s="775">
        <f>F17</f>
        <v>100</v>
      </c>
      <c r="T17" s="774" t="s">
        <v>17</v>
      </c>
      <c r="U17" s="775">
        <f>H17</f>
        <v>100</v>
      </c>
      <c r="V17" s="774" t="s">
        <v>17</v>
      </c>
      <c r="W17" s="775">
        <f>J17</f>
        <v>100</v>
      </c>
      <c r="X17" s="1815"/>
      <c r="Y17" s="3185"/>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185"/>
      <c r="Q18" s="1812"/>
      <c r="R18" s="774"/>
      <c r="S18" s="775"/>
      <c r="T18" s="774"/>
      <c r="U18" s="775"/>
      <c r="V18" s="774"/>
      <c r="W18" s="775"/>
      <c r="X18" s="1815"/>
      <c r="Y18" s="3185"/>
      <c r="Z18" s="1816"/>
      <c r="AA18" s="1813">
        <v>1</v>
      </c>
      <c r="AB18" s="1813">
        <v>1</v>
      </c>
      <c r="AC18" s="1813">
        <v>1</v>
      </c>
    </row>
    <row r="19" spans="1:29" ht="42.75">
      <c r="A19" s="428"/>
      <c r="B19" s="451" t="s">
        <v>2686</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5"/>
      <c r="Q19" s="1812" t="str">
        <f>B19</f>
        <v>公共配套设施</v>
      </c>
      <c r="R19" s="774" t="s">
        <v>17</v>
      </c>
      <c r="S19" s="775">
        <f>F19</f>
        <v>100</v>
      </c>
      <c r="T19" s="774" t="s">
        <v>17</v>
      </c>
      <c r="U19" s="775">
        <f>H19</f>
        <v>100</v>
      </c>
      <c r="V19" s="774" t="s">
        <v>17</v>
      </c>
      <c r="W19" s="775">
        <f>J19</f>
        <v>100</v>
      </c>
      <c r="X19" s="1815"/>
      <c r="Y19" s="3185"/>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185"/>
      <c r="Q20" s="1812"/>
      <c r="R20" s="774"/>
      <c r="S20" s="775"/>
      <c r="T20" s="774"/>
      <c r="U20" s="775"/>
      <c r="V20" s="774"/>
      <c r="W20" s="775"/>
      <c r="X20" s="1815"/>
      <c r="Y20" s="3185"/>
      <c r="Z20" s="1816"/>
      <c r="AA20" s="1813">
        <v>1</v>
      </c>
      <c r="AB20" s="1813">
        <v>1</v>
      </c>
      <c r="AC20" s="1813">
        <v>1</v>
      </c>
    </row>
    <row r="21" spans="1:29" ht="28.5">
      <c r="A21" s="428"/>
      <c r="B21" s="1387" t="s">
        <v>2687</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5"/>
      <c r="Q21" s="1812" t="str">
        <f>B21</f>
        <v>基础设施水平</v>
      </c>
      <c r="R21" s="774" t="s">
        <v>17</v>
      </c>
      <c r="S21" s="775">
        <f>F21</f>
        <v>100</v>
      </c>
      <c r="T21" s="774" t="s">
        <v>17</v>
      </c>
      <c r="U21" s="775">
        <f>H21</f>
        <v>100</v>
      </c>
      <c r="V21" s="774" t="s">
        <v>17</v>
      </c>
      <c r="W21" s="775">
        <f>J21</f>
        <v>100</v>
      </c>
      <c r="X21" s="1815"/>
      <c r="Y21" s="3185"/>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42"/>
      <c r="P22" s="3185"/>
      <c r="Q22" s="1812"/>
      <c r="R22" s="774"/>
      <c r="S22" s="775"/>
      <c r="T22" s="774"/>
      <c r="U22" s="775"/>
      <c r="V22" s="774"/>
      <c r="W22" s="775"/>
      <c r="X22" s="1815"/>
      <c r="Y22" s="3185"/>
      <c r="Z22" s="1816"/>
      <c r="AA22" s="1813">
        <v>1</v>
      </c>
      <c r="AB22" s="1813">
        <v>1</v>
      </c>
      <c r="AC22" s="1813">
        <v>1</v>
      </c>
    </row>
    <row r="23" spans="1:29" ht="71.25">
      <c r="A23" s="428"/>
      <c r="B23" s="451" t="s">
        <v>2688</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5"/>
      <c r="Q23" s="1812" t="str">
        <f>B23</f>
        <v>环境质量</v>
      </c>
      <c r="R23" s="774" t="s">
        <v>17</v>
      </c>
      <c r="S23" s="775">
        <f>F23</f>
        <v>100</v>
      </c>
      <c r="T23" s="774" t="s">
        <v>17</v>
      </c>
      <c r="U23" s="775">
        <f>H23</f>
        <v>100</v>
      </c>
      <c r="V23" s="774" t="s">
        <v>17</v>
      </c>
      <c r="W23" s="775">
        <f>J23</f>
        <v>100</v>
      </c>
      <c r="X23" s="1815"/>
      <c r="Y23" s="3185"/>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185"/>
      <c r="Q24" s="1812"/>
      <c r="R24" s="774"/>
      <c r="S24" s="775"/>
      <c r="T24" s="774"/>
      <c r="U24" s="775"/>
      <c r="V24" s="774"/>
      <c r="W24" s="775"/>
      <c r="X24" s="1815"/>
      <c r="Y24" s="3185"/>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5"/>
      <c r="Q25" s="1812">
        <f>B25</f>
        <v>111</v>
      </c>
      <c r="R25" s="774" t="s">
        <v>17</v>
      </c>
      <c r="S25" s="775">
        <f>F25</f>
        <v>100</v>
      </c>
      <c r="T25" s="774" t="s">
        <v>17</v>
      </c>
      <c r="U25" s="775">
        <f>H25</f>
        <v>100</v>
      </c>
      <c r="V25" s="774" t="s">
        <v>17</v>
      </c>
      <c r="W25" s="775">
        <f>J25</f>
        <v>100</v>
      </c>
      <c r="X25" s="1815"/>
      <c r="Y25" s="3185"/>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5"/>
      <c r="Q26" s="1812">
        <f t="shared" ref="Q26:Q40" si="8">B26</f>
        <v>111</v>
      </c>
      <c r="R26" s="774" t="s">
        <v>17</v>
      </c>
      <c r="S26" s="775">
        <f>F26</f>
        <v>100</v>
      </c>
      <c r="T26" s="774" t="s">
        <v>17</v>
      </c>
      <c r="U26" s="775">
        <f>H26</f>
        <v>100</v>
      </c>
      <c r="V26" s="774" t="s">
        <v>17</v>
      </c>
      <c r="W26" s="775">
        <f>J26</f>
        <v>100</v>
      </c>
      <c r="X26" s="1815"/>
      <c r="Y26" s="3185"/>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5"/>
      <c r="Q27" s="1797">
        <f t="shared" si="8"/>
        <v>111</v>
      </c>
      <c r="R27" s="770" t="s">
        <v>17</v>
      </c>
      <c r="S27" s="771">
        <f>F27</f>
        <v>100</v>
      </c>
      <c r="T27" s="770" t="s">
        <v>17</v>
      </c>
      <c r="U27" s="771">
        <f>H27</f>
        <v>100</v>
      </c>
      <c r="V27" s="770" t="s">
        <v>17</v>
      </c>
      <c r="W27" s="771">
        <f>J27</f>
        <v>100</v>
      </c>
      <c r="X27" s="772"/>
      <c r="Y27" s="3185"/>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5"/>
      <c r="Q28" s="1812">
        <f t="shared" si="8"/>
        <v>111</v>
      </c>
      <c r="R28" s="774" t="s">
        <v>17</v>
      </c>
      <c r="S28" s="775">
        <f t="shared" ref="S28:S40" si="9">F28</f>
        <v>100</v>
      </c>
      <c r="T28" s="774" t="s">
        <v>17</v>
      </c>
      <c r="U28" s="775">
        <f t="shared" ref="U28:U40" si="10">H28</f>
        <v>100</v>
      </c>
      <c r="V28" s="774" t="s">
        <v>17</v>
      </c>
      <c r="W28" s="775">
        <f t="shared" ref="W28:W40" si="11">J28</f>
        <v>100</v>
      </c>
      <c r="X28" s="1815"/>
      <c r="Y28" s="3185"/>
      <c r="Z28" s="1816">
        <f t="shared" ref="Z28:Z40" si="12">Q28</f>
        <v>111</v>
      </c>
      <c r="AA28" s="1813">
        <f t="shared" si="3"/>
        <v>1</v>
      </c>
      <c r="AB28" s="1813">
        <f t="shared" si="4"/>
        <v>1</v>
      </c>
      <c r="AC28" s="1813">
        <f t="shared" si="5"/>
        <v>1</v>
      </c>
    </row>
    <row r="29" spans="1:29" ht="15">
      <c r="A29" s="466" t="s">
        <v>2561</v>
      </c>
      <c r="B29" s="71" t="s">
        <v>2691</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86" t="s">
        <v>2563</v>
      </c>
      <c r="Q29" s="1812" t="str">
        <f t="shared" si="8"/>
        <v>建筑类型</v>
      </c>
      <c r="R29" s="774" t="s">
        <v>17</v>
      </c>
      <c r="S29" s="775">
        <f t="shared" si="9"/>
        <v>100</v>
      </c>
      <c r="T29" s="774" t="s">
        <v>17</v>
      </c>
      <c r="U29" s="775">
        <f t="shared" si="10"/>
        <v>100</v>
      </c>
      <c r="V29" s="774" t="s">
        <v>17</v>
      </c>
      <c r="W29" s="775">
        <f t="shared" si="11"/>
        <v>100</v>
      </c>
      <c r="X29" s="1815"/>
      <c r="Y29" s="3187" t="s">
        <v>2563</v>
      </c>
      <c r="Z29" s="1816" t="str">
        <f t="shared" si="12"/>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7"/>
      <c r="Q30" s="776" t="str">
        <f t="shared" si="8"/>
        <v>项目建筑规模</v>
      </c>
      <c r="R30" s="777" t="s">
        <v>17</v>
      </c>
      <c r="S30" s="778" t="e">
        <f t="shared" si="9"/>
        <v>#N/A</v>
      </c>
      <c r="T30" s="777" t="s">
        <v>17</v>
      </c>
      <c r="U30" s="778" t="e">
        <f t="shared" si="10"/>
        <v>#N/A</v>
      </c>
      <c r="V30" s="777" t="s">
        <v>17</v>
      </c>
      <c r="W30" s="778" t="e">
        <f t="shared" si="11"/>
        <v>#N/A</v>
      </c>
      <c r="X30" s="779"/>
      <c r="Y30" s="3187"/>
      <c r="Z30" s="780" t="str">
        <f t="shared" si="12"/>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7"/>
      <c r="Q31" s="1812" t="str">
        <f t="shared" si="8"/>
        <v>建筑结构</v>
      </c>
      <c r="R31" s="774" t="s">
        <v>17</v>
      </c>
      <c r="S31" s="775">
        <f t="shared" si="9"/>
        <v>100</v>
      </c>
      <c r="T31" s="774" t="s">
        <v>17</v>
      </c>
      <c r="U31" s="775">
        <f t="shared" si="10"/>
        <v>100</v>
      </c>
      <c r="V31" s="774" t="s">
        <v>17</v>
      </c>
      <c r="W31" s="775">
        <f t="shared" si="11"/>
        <v>100</v>
      </c>
      <c r="X31" s="1815"/>
      <c r="Y31" s="3187"/>
      <c r="Z31" s="1816" t="str">
        <f t="shared" si="12"/>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7"/>
      <c r="Q32" s="1812" t="str">
        <f t="shared" si="8"/>
        <v>公共部分装修</v>
      </c>
      <c r="R32" s="774" t="s">
        <v>17</v>
      </c>
      <c r="S32" s="775">
        <f t="shared" si="9"/>
        <v>100</v>
      </c>
      <c r="T32" s="774" t="s">
        <v>17</v>
      </c>
      <c r="U32" s="775">
        <f t="shared" si="10"/>
        <v>100</v>
      </c>
      <c r="V32" s="774" t="s">
        <v>17</v>
      </c>
      <c r="W32" s="775">
        <f t="shared" si="11"/>
        <v>100</v>
      </c>
      <c r="X32" s="1815"/>
      <c r="Y32" s="3187"/>
      <c r="Z32" s="1816" t="str">
        <f t="shared" si="12"/>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7"/>
      <c r="Q33" s="1812" t="str">
        <f t="shared" si="8"/>
        <v>成新度</v>
      </c>
      <c r="R33" s="774" t="s">
        <v>17</v>
      </c>
      <c r="S33" s="775" t="e">
        <f t="shared" si="9"/>
        <v>#N/A</v>
      </c>
      <c r="T33" s="774" t="s">
        <v>17</v>
      </c>
      <c r="U33" s="775" t="e">
        <f t="shared" si="10"/>
        <v>#N/A</v>
      </c>
      <c r="V33" s="774" t="s">
        <v>17</v>
      </c>
      <c r="W33" s="775" t="e">
        <f t="shared" si="11"/>
        <v>#N/A</v>
      </c>
      <c r="X33" s="1815"/>
      <c r="Y33" s="3187"/>
      <c r="Z33" s="1816" t="str">
        <f t="shared" si="12"/>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7"/>
      <c r="Q34" s="1797" t="str">
        <f t="shared" si="8"/>
        <v>物业管理</v>
      </c>
      <c r="R34" s="770" t="s">
        <v>17</v>
      </c>
      <c r="S34" s="771">
        <f t="shared" si="9"/>
        <v>100</v>
      </c>
      <c r="T34" s="770" t="s">
        <v>17</v>
      </c>
      <c r="U34" s="771">
        <f t="shared" si="10"/>
        <v>100</v>
      </c>
      <c r="V34" s="770" t="s">
        <v>17</v>
      </c>
      <c r="W34" s="771">
        <f t="shared" si="11"/>
        <v>100</v>
      </c>
      <c r="X34" s="772"/>
      <c r="Y34" s="3187"/>
      <c r="Z34" s="55" t="str">
        <f t="shared" si="12"/>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7" t="s">
        <v>2563</v>
      </c>
      <c r="Q35" s="1812" t="str">
        <f t="shared" si="8"/>
        <v>市政基础设施</v>
      </c>
      <c r="R35" s="774" t="s">
        <v>17</v>
      </c>
      <c r="S35" s="775">
        <f t="shared" si="9"/>
        <v>100</v>
      </c>
      <c r="T35" s="774" t="s">
        <v>17</v>
      </c>
      <c r="U35" s="775">
        <f t="shared" si="10"/>
        <v>100</v>
      </c>
      <c r="V35" s="774" t="s">
        <v>17</v>
      </c>
      <c r="W35" s="775">
        <f t="shared" si="11"/>
        <v>100</v>
      </c>
      <c r="X35" s="1815"/>
      <c r="Y35" s="3187" t="s">
        <v>2563</v>
      </c>
      <c r="Z35" s="1816" t="str">
        <f t="shared" si="12"/>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7"/>
      <c r="Q36" s="1812" t="str">
        <f t="shared" si="8"/>
        <v>内部装修</v>
      </c>
      <c r="R36" s="774" t="s">
        <v>17</v>
      </c>
      <c r="S36" s="775">
        <f t="shared" si="9"/>
        <v>100</v>
      </c>
      <c r="T36" s="774" t="s">
        <v>17</v>
      </c>
      <c r="U36" s="775">
        <f t="shared" si="10"/>
        <v>100</v>
      </c>
      <c r="V36" s="774" t="s">
        <v>17</v>
      </c>
      <c r="W36" s="775">
        <f t="shared" si="11"/>
        <v>100</v>
      </c>
      <c r="X36" s="1815"/>
      <c r="Y36" s="3187"/>
      <c r="Z36" s="1816" t="str">
        <f t="shared" si="12"/>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7"/>
      <c r="Q37" s="1812" t="str">
        <f t="shared" si="8"/>
        <v>内部装修状况</v>
      </c>
      <c r="R37" s="774" t="s">
        <v>17</v>
      </c>
      <c r="S37" s="775">
        <f t="shared" si="9"/>
        <v>100</v>
      </c>
      <c r="T37" s="774" t="s">
        <v>17</v>
      </c>
      <c r="U37" s="775">
        <f t="shared" si="10"/>
        <v>100</v>
      </c>
      <c r="V37" s="774" t="s">
        <v>17</v>
      </c>
      <c r="W37" s="775">
        <f t="shared" si="11"/>
        <v>100</v>
      </c>
      <c r="X37" s="1815"/>
      <c r="Y37" s="3187"/>
      <c r="Z37" s="1816" t="str">
        <f t="shared" si="12"/>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7"/>
      <c r="Q38" s="776">
        <f t="shared" si="8"/>
        <v>111</v>
      </c>
      <c r="R38" s="777" t="s">
        <v>17</v>
      </c>
      <c r="S38" s="778">
        <f t="shared" si="9"/>
        <v>100</v>
      </c>
      <c r="T38" s="777" t="s">
        <v>17</v>
      </c>
      <c r="U38" s="778">
        <f t="shared" si="10"/>
        <v>100</v>
      </c>
      <c r="V38" s="777" t="s">
        <v>17</v>
      </c>
      <c r="W38" s="778">
        <f t="shared" si="11"/>
        <v>100</v>
      </c>
      <c r="X38" s="779"/>
      <c r="Y38" s="3187"/>
      <c r="Z38" s="780">
        <f t="shared" si="12"/>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7"/>
      <c r="Q39" s="1812">
        <f t="shared" si="8"/>
        <v>111</v>
      </c>
      <c r="R39" s="774" t="s">
        <v>17</v>
      </c>
      <c r="S39" s="775">
        <f t="shared" si="9"/>
        <v>100</v>
      </c>
      <c r="T39" s="774" t="s">
        <v>17</v>
      </c>
      <c r="U39" s="775">
        <f t="shared" si="10"/>
        <v>100</v>
      </c>
      <c r="V39" s="774" t="s">
        <v>17</v>
      </c>
      <c r="W39" s="775">
        <f t="shared" si="11"/>
        <v>100</v>
      </c>
      <c r="X39" s="1815"/>
      <c r="Y39" s="3187"/>
      <c r="Z39" s="1816">
        <f t="shared" si="12"/>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1"/>
      <c r="Q40" s="1812">
        <f t="shared" si="8"/>
        <v>111</v>
      </c>
      <c r="R40" s="774" t="s">
        <v>17</v>
      </c>
      <c r="S40" s="775">
        <f t="shared" si="9"/>
        <v>100</v>
      </c>
      <c r="T40" s="774" t="s">
        <v>17</v>
      </c>
      <c r="U40" s="775">
        <f t="shared" si="10"/>
        <v>100</v>
      </c>
      <c r="V40" s="774" t="s">
        <v>17</v>
      </c>
      <c r="W40" s="775">
        <f t="shared" si="11"/>
        <v>100</v>
      </c>
      <c r="X40" s="1815"/>
      <c r="Y40" s="3251"/>
      <c r="Z40" s="1816">
        <f t="shared" si="12"/>
        <v>111</v>
      </c>
      <c r="AA40" s="1813">
        <f t="shared" si="3"/>
        <v>1</v>
      </c>
      <c r="AB40" s="1813">
        <f t="shared" si="4"/>
        <v>1</v>
      </c>
      <c r="AC40" s="1813">
        <f t="shared" si="5"/>
        <v>1</v>
      </c>
    </row>
    <row r="41" spans="1:29" ht="15">
      <c r="A41" s="479" t="s">
        <v>2575</v>
      </c>
      <c r="B41" s="480"/>
      <c r="C41" s="1410" t="s">
        <v>1</v>
      </c>
      <c r="D41" s="1411"/>
      <c r="E41" s="1412"/>
      <c r="F41" s="1413"/>
      <c r="G41" s="1414"/>
      <c r="H41" s="1415"/>
      <c r="I41" s="1412"/>
      <c r="J41" s="1415"/>
      <c r="K41" s="783"/>
      <c r="L41" s="1146"/>
      <c r="M41" s="1147"/>
      <c r="N41" s="1134"/>
      <c r="O41" s="1147"/>
      <c r="P41" s="3182" t="str">
        <f>A41</f>
        <v>成交单价（元/平方米）</v>
      </c>
      <c r="Q41" s="3182"/>
      <c r="R41" s="3247">
        <f>E41</f>
        <v>0</v>
      </c>
      <c r="S41" s="3247"/>
      <c r="T41" s="3247">
        <f>G41</f>
        <v>0</v>
      </c>
      <c r="U41" s="3247"/>
      <c r="V41" s="3247">
        <f>I41</f>
        <v>0</v>
      </c>
      <c r="W41" s="3247"/>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182" t="str">
        <f>A42</f>
        <v>比较价值（元/平方米）</v>
      </c>
      <c r="Q42" s="3182"/>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176" t="str">
        <f>A43</f>
        <v>估价对象XX用房的比较价值（楼面单价，元/平方米）</v>
      </c>
      <c r="Q43" s="3177"/>
      <c r="R43" s="3246" t="e">
        <f>IF(F1="售价",ROUND(AVERAGE(R42:V42),0),ROUND(AVERAGE(R42:V42),1))</f>
        <v>#DIV/0!</v>
      </c>
      <c r="S43" s="3246"/>
      <c r="T43" s="3246"/>
      <c r="U43" s="3246"/>
      <c r="V43" s="3246"/>
      <c r="W43" s="324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6" t="str">
        <f>YEAR(C7)&amp;"-"&amp;MONTH(C7)</f>
        <v>2018-3</v>
      </c>
      <c r="D52" s="1577">
        <f>EDATE(C52,-1)</f>
        <v>43132</v>
      </c>
      <c r="E52" s="1577">
        <f t="shared" ref="E52:O52" si="13">EDATE(D52,-1)</f>
        <v>43101</v>
      </c>
      <c r="F52" s="1577">
        <f t="shared" si="13"/>
        <v>43070</v>
      </c>
      <c r="G52" s="1577">
        <f t="shared" si="13"/>
        <v>43040</v>
      </c>
      <c r="H52" s="1577">
        <f t="shared" si="13"/>
        <v>43009</v>
      </c>
      <c r="I52" s="1577">
        <f t="shared" si="13"/>
        <v>42979</v>
      </c>
      <c r="J52" s="1577">
        <f t="shared" si="13"/>
        <v>42948</v>
      </c>
      <c r="K52" s="1577">
        <f t="shared" si="13"/>
        <v>42917</v>
      </c>
      <c r="L52" s="1577">
        <f t="shared" si="13"/>
        <v>42887</v>
      </c>
      <c r="M52" s="1577">
        <f t="shared" si="13"/>
        <v>42856</v>
      </c>
      <c r="N52" s="1577">
        <f t="shared" si="13"/>
        <v>42826</v>
      </c>
      <c r="O52" s="1577">
        <f t="shared" si="13"/>
        <v>42795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2611</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6"/>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1" t="e">
        <f ca="1">IF(C2="——",IF(B37="元/平方米",ROUND(C39*D3/10000,0),ROUND(F3*C39/10000,0)),IF(B37="元/平方米",ROUND(C39*D3/10000,0),ROUND(F3*C39/10000,0))-D2)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179" t="s">
        <v>2644</v>
      </c>
      <c r="D4" s="3192"/>
      <c r="E4" s="3193" t="s">
        <v>2645</v>
      </c>
      <c r="F4" s="3194"/>
      <c r="G4" s="3179" t="s">
        <v>2646</v>
      </c>
      <c r="H4" s="3192"/>
      <c r="I4" s="3179" t="s">
        <v>2647</v>
      </c>
      <c r="J4" s="3192"/>
      <c r="K4" s="610" t="s">
        <v>2648</v>
      </c>
      <c r="L4" s="1133"/>
      <c r="M4" s="1134"/>
      <c r="N4" s="1134"/>
      <c r="O4" s="1134"/>
      <c r="P4" s="3195" t="s">
        <v>2649</v>
      </c>
      <c r="Q4" s="3196"/>
      <c r="R4" s="3201" t="s">
        <v>2645</v>
      </c>
      <c r="S4" s="3202"/>
      <c r="T4" s="3201" t="s">
        <v>2646</v>
      </c>
      <c r="U4" s="3202"/>
      <c r="V4" s="3188" t="s">
        <v>2647</v>
      </c>
      <c r="W4" s="3188"/>
      <c r="X4" s="1815"/>
      <c r="Y4" s="3201" t="s">
        <v>2649</v>
      </c>
      <c r="Z4" s="3202"/>
      <c r="AA4" s="3189" t="s">
        <v>2645</v>
      </c>
      <c r="AB4" s="3190" t="s">
        <v>2646</v>
      </c>
      <c r="AC4" s="3189" t="s">
        <v>2647</v>
      </c>
    </row>
    <row r="5" spans="1:29" ht="15">
      <c r="A5" s="404"/>
      <c r="B5" s="405"/>
      <c r="C5" s="3209" t="s">
        <v>2540</v>
      </c>
      <c r="D5" s="3210"/>
      <c r="E5" s="3217" t="s">
        <v>2541</v>
      </c>
      <c r="F5" s="3218"/>
      <c r="G5" s="3209" t="s">
        <v>2542</v>
      </c>
      <c r="H5" s="3210"/>
      <c r="I5" s="3209" t="s">
        <v>2543</v>
      </c>
      <c r="J5" s="3210"/>
      <c r="K5" s="610"/>
      <c r="L5" s="1133"/>
      <c r="M5" s="1134"/>
      <c r="N5" s="1134"/>
      <c r="O5" s="1134"/>
      <c r="P5" s="3197"/>
      <c r="Q5" s="3198"/>
      <c r="R5" s="3203"/>
      <c r="S5" s="3204"/>
      <c r="T5" s="3203"/>
      <c r="U5" s="3204"/>
      <c r="V5" s="3188"/>
      <c r="W5" s="3188"/>
      <c r="X5" s="1815"/>
      <c r="Y5" s="3203"/>
      <c r="Z5" s="3204"/>
      <c r="AA5" s="3190"/>
      <c r="AB5" s="3190"/>
      <c r="AC5" s="3190"/>
    </row>
    <row r="6" spans="1:29" ht="15.75" thickBot="1">
      <c r="A6" s="406"/>
      <c r="B6" s="407"/>
      <c r="C6" s="3214" t="s">
        <v>2544</v>
      </c>
      <c r="D6" s="3208"/>
      <c r="E6" s="3254" t="s">
        <v>2544</v>
      </c>
      <c r="F6" s="3216"/>
      <c r="G6" s="3214" t="s">
        <v>2544</v>
      </c>
      <c r="H6" s="3208"/>
      <c r="I6" s="3214" t="s">
        <v>2544</v>
      </c>
      <c r="J6" s="3208"/>
      <c r="K6" s="610" t="s">
        <v>2545</v>
      </c>
      <c r="L6" s="1133"/>
      <c r="M6" s="1134"/>
      <c r="N6" s="1134"/>
      <c r="O6" s="1134"/>
      <c r="P6" s="3199"/>
      <c r="Q6" s="3200"/>
      <c r="R6" s="3203"/>
      <c r="S6" s="3204"/>
      <c r="T6" s="3205"/>
      <c r="U6" s="3206"/>
      <c r="V6" s="3188"/>
      <c r="W6" s="3188"/>
      <c r="X6" s="1815"/>
      <c r="Y6" s="3205"/>
      <c r="Z6" s="3206"/>
      <c r="AA6" s="3191"/>
      <c r="AB6" s="3191"/>
      <c r="AC6" s="3191"/>
    </row>
    <row r="7" spans="1:29" s="117" customFormat="1" ht="15.75" thickBot="1">
      <c r="A7" s="408" t="s">
        <v>2546</v>
      </c>
      <c r="B7" s="409"/>
      <c r="C7" s="410">
        <f>'数据-取费表'!B2</f>
        <v>43180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1" t="s">
        <v>2547</v>
      </c>
      <c r="Q7" s="3213"/>
      <c r="R7" s="770" t="s">
        <v>17</v>
      </c>
      <c r="S7" s="771">
        <f t="shared" ref="S7:S14" si="0">F7</f>
        <v>0</v>
      </c>
      <c r="T7" s="770" t="s">
        <v>17</v>
      </c>
      <c r="U7" s="771">
        <f t="shared" ref="U7:U14" si="1">H7</f>
        <v>0</v>
      </c>
      <c r="V7" s="770" t="s">
        <v>17</v>
      </c>
      <c r="W7" s="771">
        <f t="shared" ref="W7:W14" si="2">J7</f>
        <v>0</v>
      </c>
      <c r="X7" s="772"/>
      <c r="Y7" s="3211" t="s">
        <v>2547</v>
      </c>
      <c r="Z7" s="3212"/>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1" t="s">
        <v>2550</v>
      </c>
      <c r="Q8" s="3212"/>
      <c r="R8" s="770" t="s">
        <v>17</v>
      </c>
      <c r="S8" s="771">
        <f t="shared" si="0"/>
        <v>0</v>
      </c>
      <c r="T8" s="770" t="s">
        <v>17</v>
      </c>
      <c r="U8" s="771">
        <f t="shared" si="1"/>
        <v>0</v>
      </c>
      <c r="V8" s="770" t="s">
        <v>17</v>
      </c>
      <c r="W8" s="771">
        <f t="shared" si="2"/>
        <v>0</v>
      </c>
      <c r="X8" s="772"/>
      <c r="Y8" s="3211" t="s">
        <v>2550</v>
      </c>
      <c r="Z8" s="3212"/>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2" t="s">
        <v>2553</v>
      </c>
      <c r="Q9" s="1797" t="str">
        <f t="shared" ref="Q9:Q14" si="6">B9</f>
        <v>用途</v>
      </c>
      <c r="R9" s="770" t="s">
        <v>17</v>
      </c>
      <c r="S9" s="771">
        <f t="shared" si="0"/>
        <v>100</v>
      </c>
      <c r="T9" s="770" t="s">
        <v>17</v>
      </c>
      <c r="U9" s="771">
        <f t="shared" si="1"/>
        <v>100</v>
      </c>
      <c r="V9" s="770" t="s">
        <v>17</v>
      </c>
      <c r="W9" s="771">
        <f t="shared" si="2"/>
        <v>100</v>
      </c>
      <c r="X9" s="772"/>
      <c r="Y9" s="3030"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2"/>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2"/>
      <c r="Q11" s="1797">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2"/>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2"/>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01" t="s">
        <v>2557</v>
      </c>
      <c r="B14" s="629" t="s">
        <v>2707</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4" t="s">
        <v>2558</v>
      </c>
      <c r="Q14" s="1812" t="str">
        <f t="shared" si="6"/>
        <v>交通便捷度</v>
      </c>
      <c r="R14" s="774" t="s">
        <v>17</v>
      </c>
      <c r="S14" s="775">
        <f t="shared" si="0"/>
        <v>100</v>
      </c>
      <c r="T14" s="774" t="s">
        <v>17</v>
      </c>
      <c r="U14" s="775">
        <f t="shared" si="1"/>
        <v>100</v>
      </c>
      <c r="V14" s="774" t="s">
        <v>17</v>
      </c>
      <c r="W14" s="775">
        <f t="shared" si="2"/>
        <v>100</v>
      </c>
      <c r="X14" s="1815"/>
      <c r="Y14" s="3184" t="s">
        <v>2558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5"/>
      <c r="Q15" s="1812"/>
      <c r="R15" s="774"/>
      <c r="S15" s="775"/>
      <c r="T15" s="774"/>
      <c r="U15" s="775"/>
      <c r="V15" s="774"/>
      <c r="W15" s="775"/>
      <c r="X15" s="1815"/>
      <c r="Y15" s="3185"/>
      <c r="Z15" s="1816"/>
      <c r="AA15" s="1813">
        <v>1</v>
      </c>
      <c r="AB15" s="1813">
        <v>1</v>
      </c>
      <c r="AC15" s="1813">
        <v>1</v>
      </c>
    </row>
    <row r="16" spans="1:29" ht="42.75">
      <c r="A16" s="404"/>
      <c r="B16" s="631" t="s">
        <v>2686</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5"/>
      <c r="Q16" s="1812" t="str">
        <f>B16</f>
        <v>公共配套设施</v>
      </c>
      <c r="R16" s="774" t="s">
        <v>17</v>
      </c>
      <c r="S16" s="775">
        <f>F16</f>
        <v>100</v>
      </c>
      <c r="T16" s="774" t="s">
        <v>17</v>
      </c>
      <c r="U16" s="775">
        <f>H16</f>
        <v>100</v>
      </c>
      <c r="V16" s="774" t="s">
        <v>17</v>
      </c>
      <c r="W16" s="775">
        <f>J16</f>
        <v>100</v>
      </c>
      <c r="X16" s="1815"/>
      <c r="Y16" s="3185"/>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185"/>
      <c r="Q17" s="1812"/>
      <c r="R17" s="774"/>
      <c r="S17" s="775"/>
      <c r="T17" s="774"/>
      <c r="U17" s="775"/>
      <c r="V17" s="774"/>
      <c r="W17" s="775"/>
      <c r="X17" s="1815"/>
      <c r="Y17" s="3185"/>
      <c r="Z17" s="1816"/>
      <c r="AA17" s="1813">
        <v>1</v>
      </c>
      <c r="AB17" s="1813">
        <v>1</v>
      </c>
      <c r="AC17" s="1813">
        <v>1</v>
      </c>
    </row>
    <row r="18" spans="1:29" ht="28.5">
      <c r="A18" s="404"/>
      <c r="B18" s="633" t="s">
        <v>2687</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5"/>
      <c r="Q18" s="1812" t="str">
        <f>B18</f>
        <v>基础设施水平</v>
      </c>
      <c r="R18" s="774" t="s">
        <v>17</v>
      </c>
      <c r="S18" s="775">
        <f>F18</f>
        <v>100</v>
      </c>
      <c r="T18" s="774" t="s">
        <v>17</v>
      </c>
      <c r="U18" s="775">
        <f>H18</f>
        <v>100</v>
      </c>
      <c r="V18" s="774" t="s">
        <v>17</v>
      </c>
      <c r="W18" s="775">
        <f>J18</f>
        <v>100</v>
      </c>
      <c r="X18" s="1815"/>
      <c r="Y18" s="3185"/>
      <c r="Z18" s="1816" t="str">
        <f>Q18</f>
        <v>基础设施水平</v>
      </c>
      <c r="AA18" s="1813">
        <f>D18/F18</f>
        <v>1</v>
      </c>
      <c r="AB18" s="1813">
        <f>D18/H18</f>
        <v>1</v>
      </c>
      <c r="AC18" s="1813">
        <f>D18/J18</f>
        <v>1</v>
      </c>
    </row>
    <row r="19" spans="1:29" ht="15">
      <c r="A19" s="404"/>
      <c r="B19" s="633"/>
      <c r="C19" s="2610"/>
      <c r="D19" s="450"/>
      <c r="E19" s="2610"/>
      <c r="F19" s="453"/>
      <c r="G19" s="2610"/>
      <c r="H19" s="448"/>
      <c r="I19" s="447"/>
      <c r="J19" s="448"/>
      <c r="K19" s="1386"/>
      <c r="L19" s="1143"/>
      <c r="M19" s="1134"/>
      <c r="N19" s="1134"/>
      <c r="O19" s="1134"/>
      <c r="P19" s="3185"/>
      <c r="Q19" s="1812"/>
      <c r="R19" s="774"/>
      <c r="S19" s="775"/>
      <c r="T19" s="774"/>
      <c r="U19" s="775"/>
      <c r="V19" s="774"/>
      <c r="W19" s="775"/>
      <c r="X19" s="1815"/>
      <c r="Y19" s="3185"/>
      <c r="Z19" s="1816"/>
      <c r="AA19" s="1813">
        <v>1</v>
      </c>
      <c r="AB19" s="1813">
        <v>1</v>
      </c>
      <c r="AC19" s="1813">
        <v>1</v>
      </c>
    </row>
    <row r="20" spans="1:29" ht="57">
      <c r="A20" s="404"/>
      <c r="B20" s="631" t="s">
        <v>2708</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5"/>
      <c r="Q20" s="1812" t="str">
        <f>B20</f>
        <v>自然及人文环境</v>
      </c>
      <c r="R20" s="774" t="s">
        <v>17</v>
      </c>
      <c r="S20" s="775">
        <f>F20</f>
        <v>100</v>
      </c>
      <c r="T20" s="774" t="s">
        <v>17</v>
      </c>
      <c r="U20" s="775">
        <f>H20</f>
        <v>100</v>
      </c>
      <c r="V20" s="774" t="s">
        <v>17</v>
      </c>
      <c r="W20" s="775">
        <f>J20</f>
        <v>100</v>
      </c>
      <c r="X20" s="1815"/>
      <c r="Y20" s="318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5"/>
      <c r="Q21" s="1812"/>
      <c r="R21" s="774"/>
      <c r="S21" s="775"/>
      <c r="T21" s="774"/>
      <c r="U21" s="775"/>
      <c r="V21" s="774"/>
      <c r="W21" s="775"/>
      <c r="X21" s="1815"/>
      <c r="Y21" s="3185"/>
      <c r="Z21" s="1816"/>
      <c r="AA21" s="1813">
        <v>1</v>
      </c>
      <c r="AB21" s="1813">
        <v>1</v>
      </c>
      <c r="AC21" s="1813">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5"/>
      <c r="Q22" s="1812" t="str">
        <f>B22</f>
        <v>楼层</v>
      </c>
      <c r="R22" s="774" t="s">
        <v>17</v>
      </c>
      <c r="S22" s="775">
        <f>F22</f>
        <v>100</v>
      </c>
      <c r="T22" s="774" t="s">
        <v>17</v>
      </c>
      <c r="U22" s="775">
        <f>H22</f>
        <v>100</v>
      </c>
      <c r="V22" s="774" t="s">
        <v>17</v>
      </c>
      <c r="W22" s="775">
        <f>J22</f>
        <v>100</v>
      </c>
      <c r="X22" s="1815"/>
      <c r="Y22" s="318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5"/>
      <c r="Q23" s="1812">
        <f>B23</f>
        <v>111</v>
      </c>
      <c r="R23" s="774" t="s">
        <v>17</v>
      </c>
      <c r="S23" s="775">
        <f>F23</f>
        <v>100</v>
      </c>
      <c r="T23" s="774" t="s">
        <v>17</v>
      </c>
      <c r="U23" s="775">
        <f>H23</f>
        <v>100</v>
      </c>
      <c r="V23" s="774" t="s">
        <v>17</v>
      </c>
      <c r="W23" s="775">
        <f>J23</f>
        <v>100</v>
      </c>
      <c r="X23" s="1815"/>
      <c r="Y23" s="318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5"/>
      <c r="Q24" s="1812">
        <f t="shared" ref="Q24:Q36" si="8">B24</f>
        <v>111</v>
      </c>
      <c r="R24" s="774" t="s">
        <v>17</v>
      </c>
      <c r="S24" s="775">
        <f>F24</f>
        <v>100</v>
      </c>
      <c r="T24" s="774" t="s">
        <v>17</v>
      </c>
      <c r="U24" s="775">
        <f>H24</f>
        <v>100</v>
      </c>
      <c r="V24" s="774" t="s">
        <v>17</v>
      </c>
      <c r="W24" s="775">
        <f>J24</f>
        <v>100</v>
      </c>
      <c r="X24" s="1815"/>
      <c r="Y24" s="318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5"/>
      <c r="Q25" s="1797">
        <f t="shared" si="8"/>
        <v>111</v>
      </c>
      <c r="R25" s="770" t="s">
        <v>17</v>
      </c>
      <c r="S25" s="771">
        <f>F25</f>
        <v>100</v>
      </c>
      <c r="T25" s="770" t="s">
        <v>17</v>
      </c>
      <c r="U25" s="771">
        <f>H25</f>
        <v>100</v>
      </c>
      <c r="V25" s="770" t="s">
        <v>17</v>
      </c>
      <c r="W25" s="771">
        <f>J25</f>
        <v>100</v>
      </c>
      <c r="X25" s="772"/>
      <c r="Y25" s="3185"/>
      <c r="Z25" s="55">
        <f>Q25</f>
        <v>111</v>
      </c>
      <c r="AA25" s="1813">
        <f>D25/F25</f>
        <v>1</v>
      </c>
      <c r="AB25" s="1813">
        <f>D25/H25</f>
        <v>1</v>
      </c>
      <c r="AC25" s="1813">
        <f>D25/J25</f>
        <v>1</v>
      </c>
    </row>
    <row r="26" spans="1:29" ht="15">
      <c r="A26" s="652" t="s">
        <v>2561</v>
      </c>
      <c r="B26" s="70" t="s">
        <v>2710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6" t="s">
        <v>2563</v>
      </c>
      <c r="Q26" s="1812" t="str">
        <f t="shared" si="8"/>
        <v>配套类型</v>
      </c>
      <c r="R26" s="774" t="s">
        <v>17</v>
      </c>
      <c r="S26" s="775">
        <f t="shared" ref="S26:S36" si="9">F26</f>
        <v>100</v>
      </c>
      <c r="T26" s="774" t="s">
        <v>17</v>
      </c>
      <c r="U26" s="775">
        <f t="shared" ref="U26:U36" si="10">H26</f>
        <v>100</v>
      </c>
      <c r="V26" s="774" t="s">
        <v>17</v>
      </c>
      <c r="W26" s="775">
        <f t="shared" ref="W26:W36" si="11">J26</f>
        <v>100</v>
      </c>
      <c r="X26" s="1815"/>
      <c r="Y26" s="3187" t="s">
        <v>2563</v>
      </c>
      <c r="Z26" s="1816" t="str">
        <f t="shared" ref="Z26:Z36" si="12">Q26</f>
        <v>配套类型</v>
      </c>
      <c r="AA26" s="1813">
        <f t="shared" si="3"/>
        <v>1</v>
      </c>
      <c r="AB26" s="1813">
        <f t="shared" si="4"/>
        <v>1</v>
      </c>
      <c r="AC26" s="1813">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7"/>
      <c r="Q27" s="776" t="str">
        <f t="shared" si="8"/>
        <v>项目停车位配比</v>
      </c>
      <c r="R27" s="777" t="s">
        <v>17</v>
      </c>
      <c r="S27" s="778">
        <f t="shared" si="9"/>
        <v>100</v>
      </c>
      <c r="T27" s="777" t="s">
        <v>17</v>
      </c>
      <c r="U27" s="778">
        <f t="shared" si="10"/>
        <v>100</v>
      </c>
      <c r="V27" s="777" t="s">
        <v>17</v>
      </c>
      <c r="W27" s="778">
        <f t="shared" si="11"/>
        <v>100</v>
      </c>
      <c r="X27" s="779"/>
      <c r="Y27" s="3187"/>
      <c r="Z27" s="780" t="str">
        <f t="shared" si="12"/>
        <v>项目停车位配比</v>
      </c>
      <c r="AA27" s="1813">
        <f t="shared" si="3"/>
        <v>1</v>
      </c>
      <c r="AB27" s="1813">
        <f t="shared" si="4"/>
        <v>1</v>
      </c>
      <c r="AC27" s="1813">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7"/>
      <c r="Q28" s="1812" t="str">
        <f t="shared" si="8"/>
        <v>公共部分装修</v>
      </c>
      <c r="R28" s="774" t="s">
        <v>17</v>
      </c>
      <c r="S28" s="775">
        <f t="shared" si="9"/>
        <v>100</v>
      </c>
      <c r="T28" s="774" t="s">
        <v>17</v>
      </c>
      <c r="U28" s="775">
        <f t="shared" si="10"/>
        <v>100</v>
      </c>
      <c r="V28" s="774" t="s">
        <v>17</v>
      </c>
      <c r="W28" s="775">
        <f t="shared" si="11"/>
        <v>100</v>
      </c>
      <c r="X28" s="1815"/>
      <c r="Y28" s="3187"/>
      <c r="Z28" s="1816" t="str">
        <f t="shared" si="12"/>
        <v>公共部分装修</v>
      </c>
      <c r="AA28" s="1813">
        <f t="shared" si="3"/>
        <v>1</v>
      </c>
      <c r="AB28" s="1813">
        <f t="shared" si="4"/>
        <v>1</v>
      </c>
      <c r="AC28" s="1813">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7"/>
      <c r="Q29" s="1812" t="str">
        <f t="shared" si="8"/>
        <v>成新率</v>
      </c>
      <c r="R29" s="774" t="s">
        <v>17</v>
      </c>
      <c r="S29" s="775" t="e">
        <f t="shared" si="9"/>
        <v>#N/A</v>
      </c>
      <c r="T29" s="774" t="s">
        <v>17</v>
      </c>
      <c r="U29" s="775" t="e">
        <f t="shared" si="10"/>
        <v>#N/A</v>
      </c>
      <c r="V29" s="774" t="s">
        <v>17</v>
      </c>
      <c r="W29" s="775" t="e">
        <f t="shared" si="11"/>
        <v>#N/A</v>
      </c>
      <c r="X29" s="1815"/>
      <c r="Y29" s="3187"/>
      <c r="Z29" s="1816" t="str">
        <f t="shared" si="12"/>
        <v>成新率</v>
      </c>
      <c r="AA29" s="1813" t="e">
        <f t="shared" si="3"/>
        <v>#N/A</v>
      </c>
      <c r="AB29" s="1813" t="e">
        <f t="shared" si="4"/>
        <v>#N/A</v>
      </c>
      <c r="AC29" s="1813"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7"/>
      <c r="Q30" s="1812" t="str">
        <f t="shared" si="8"/>
        <v>物业等级</v>
      </c>
      <c r="R30" s="774" t="s">
        <v>17</v>
      </c>
      <c r="S30" s="775">
        <f t="shared" si="9"/>
        <v>100</v>
      </c>
      <c r="T30" s="774" t="s">
        <v>17</v>
      </c>
      <c r="U30" s="775">
        <f t="shared" si="10"/>
        <v>100</v>
      </c>
      <c r="V30" s="774" t="s">
        <v>17</v>
      </c>
      <c r="W30" s="775">
        <f t="shared" si="11"/>
        <v>100</v>
      </c>
      <c r="X30" s="1815"/>
      <c r="Y30" s="3187"/>
      <c r="Z30" s="1816" t="str">
        <f t="shared" si="12"/>
        <v>物业等级</v>
      </c>
      <c r="AA30" s="1813">
        <f t="shared" si="3"/>
        <v>1</v>
      </c>
      <c r="AB30" s="1813">
        <f t="shared" si="4"/>
        <v>1</v>
      </c>
      <c r="AC30" s="1813">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7"/>
      <c r="Q31" s="1797" t="str">
        <f t="shared" si="8"/>
        <v>停车位面积</v>
      </c>
      <c r="R31" s="770" t="s">
        <v>17</v>
      </c>
      <c r="S31" s="771" t="e">
        <f t="shared" si="9"/>
        <v>#N/A</v>
      </c>
      <c r="T31" s="770" t="s">
        <v>17</v>
      </c>
      <c r="U31" s="771" t="e">
        <f t="shared" si="10"/>
        <v>#N/A</v>
      </c>
      <c r="V31" s="770" t="s">
        <v>17</v>
      </c>
      <c r="W31" s="771" t="e">
        <f t="shared" si="11"/>
        <v>#N/A</v>
      </c>
      <c r="X31" s="772"/>
      <c r="Y31" s="3187"/>
      <c r="Z31" s="55" t="str">
        <f t="shared" si="12"/>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7" t="s">
        <v>2563</v>
      </c>
      <c r="Q32" s="1812" t="str">
        <f t="shared" si="8"/>
        <v>车位类型</v>
      </c>
      <c r="R32" s="774" t="s">
        <v>17</v>
      </c>
      <c r="S32" s="775">
        <f t="shared" si="9"/>
        <v>100</v>
      </c>
      <c r="T32" s="774" t="s">
        <v>17</v>
      </c>
      <c r="U32" s="775">
        <f t="shared" si="10"/>
        <v>100</v>
      </c>
      <c r="V32" s="774" t="s">
        <v>17</v>
      </c>
      <c r="W32" s="775">
        <f t="shared" si="11"/>
        <v>100</v>
      </c>
      <c r="X32" s="1815"/>
      <c r="Y32" s="3187" t="s">
        <v>2563</v>
      </c>
      <c r="Z32" s="1816" t="str">
        <f t="shared" si="12"/>
        <v>车位类型</v>
      </c>
      <c r="AA32" s="1813">
        <f t="shared" si="3"/>
        <v>1</v>
      </c>
      <c r="AB32" s="1813">
        <f t="shared" si="4"/>
        <v>1</v>
      </c>
      <c r="AC32" s="1813">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7"/>
      <c r="Q33" s="1812" t="str">
        <f t="shared" si="8"/>
        <v>是否直接入户</v>
      </c>
      <c r="R33" s="774" t="s">
        <v>17</v>
      </c>
      <c r="S33" s="775">
        <f t="shared" si="9"/>
        <v>100</v>
      </c>
      <c r="T33" s="774" t="s">
        <v>17</v>
      </c>
      <c r="U33" s="775">
        <f t="shared" si="10"/>
        <v>100</v>
      </c>
      <c r="V33" s="774" t="s">
        <v>17</v>
      </c>
      <c r="W33" s="775">
        <f t="shared" si="11"/>
        <v>100</v>
      </c>
      <c r="X33" s="1815"/>
      <c r="Y33" s="3187"/>
      <c r="Z33" s="1816" t="str">
        <f t="shared" si="12"/>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7"/>
      <c r="Q34" s="1812">
        <f t="shared" si="8"/>
        <v>111</v>
      </c>
      <c r="R34" s="774" t="s">
        <v>17</v>
      </c>
      <c r="S34" s="775">
        <f t="shared" si="9"/>
        <v>100</v>
      </c>
      <c r="T34" s="774" t="s">
        <v>17</v>
      </c>
      <c r="U34" s="775">
        <f t="shared" si="10"/>
        <v>100</v>
      </c>
      <c r="V34" s="774" t="s">
        <v>17</v>
      </c>
      <c r="W34" s="775">
        <f t="shared" si="11"/>
        <v>100</v>
      </c>
      <c r="X34" s="1815"/>
      <c r="Y34" s="3187"/>
      <c r="Z34" s="1816">
        <f t="shared" si="12"/>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7"/>
      <c r="Q35" s="776">
        <f t="shared" si="8"/>
        <v>111</v>
      </c>
      <c r="R35" s="777" t="s">
        <v>17</v>
      </c>
      <c r="S35" s="778">
        <f t="shared" si="9"/>
        <v>100</v>
      </c>
      <c r="T35" s="777" t="s">
        <v>17</v>
      </c>
      <c r="U35" s="778">
        <f t="shared" si="10"/>
        <v>100</v>
      </c>
      <c r="V35" s="777" t="s">
        <v>17</v>
      </c>
      <c r="W35" s="778">
        <f t="shared" si="11"/>
        <v>100</v>
      </c>
      <c r="X35" s="779"/>
      <c r="Y35" s="3187"/>
      <c r="Z35" s="780">
        <f t="shared" si="12"/>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7"/>
      <c r="Q36" s="1812">
        <f t="shared" si="8"/>
        <v>111</v>
      </c>
      <c r="R36" s="774" t="s">
        <v>17</v>
      </c>
      <c r="S36" s="775">
        <f t="shared" si="9"/>
        <v>100</v>
      </c>
      <c r="T36" s="774" t="s">
        <v>17</v>
      </c>
      <c r="U36" s="775">
        <f t="shared" si="10"/>
        <v>100</v>
      </c>
      <c r="V36" s="774" t="s">
        <v>17</v>
      </c>
      <c r="W36" s="775">
        <f t="shared" si="11"/>
        <v>100</v>
      </c>
      <c r="X36" s="1815"/>
      <c r="Y36" s="3187"/>
      <c r="Z36" s="1816">
        <f t="shared" si="12"/>
        <v>111</v>
      </c>
      <c r="AA36" s="1813">
        <f t="shared" si="3"/>
        <v>1</v>
      </c>
      <c r="AB36" s="1813">
        <f t="shared" si="4"/>
        <v>1</v>
      </c>
      <c r="AC36" s="1813">
        <f t="shared" si="5"/>
        <v>1</v>
      </c>
    </row>
    <row r="37" spans="1:29" ht="15">
      <c r="A37" s="479" t="s">
        <v>2718</v>
      </c>
      <c r="B37" s="2697" t="s">
        <v>2719</v>
      </c>
      <c r="C37" s="1410" t="s">
        <v>1</v>
      </c>
      <c r="D37" s="1411"/>
      <c r="E37" s="1412"/>
      <c r="F37" s="1413"/>
      <c r="G37" s="1414"/>
      <c r="H37" s="1415"/>
      <c r="I37" s="1412"/>
      <c r="J37" s="1415"/>
      <c r="K37" s="619"/>
      <c r="L37" s="1146"/>
      <c r="M37" s="1147"/>
      <c r="N37" s="1134"/>
      <c r="O37" s="1147"/>
      <c r="P37" s="3182" t="str">
        <f>A37</f>
        <v>成交单价</v>
      </c>
      <c r="Q37" s="3182"/>
      <c r="R37" s="3247">
        <f>E37</f>
        <v>0</v>
      </c>
      <c r="S37" s="3247"/>
      <c r="T37" s="3247">
        <f>G37</f>
        <v>0</v>
      </c>
      <c r="U37" s="3247"/>
      <c r="V37" s="3247">
        <f>I37</f>
        <v>0</v>
      </c>
      <c r="W37" s="3247"/>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2" t="str">
        <f>A38</f>
        <v>比较价值（元/平方米）</v>
      </c>
      <c r="Q38" s="3182"/>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176" t="str">
        <f>A39</f>
        <v>估价对象XX用房的比较价值（楼面单价，元/平方米）</v>
      </c>
      <c r="Q39" s="3177"/>
      <c r="R39" s="3246" t="e">
        <f>IF(F1="售价",ROUND(AVERAGE(R38:V38),0),ROUND(AVERAGE(R38:V38),1))</f>
        <v>#DIV/0!</v>
      </c>
      <c r="S39" s="3246"/>
      <c r="T39" s="3246"/>
      <c r="U39" s="3246"/>
      <c r="V39" s="3246"/>
      <c r="W39" s="324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6" t="str">
        <f>YEAR(C7)&amp;"-"&amp;MONTH(C7)</f>
        <v>2018-3</v>
      </c>
      <c r="D48" s="1577">
        <f>EDATE(C48,-1)</f>
        <v>43132</v>
      </c>
      <c r="E48" s="1577">
        <f t="shared" ref="E48:O48" si="13">EDATE(D48,-1)</f>
        <v>43101</v>
      </c>
      <c r="F48" s="1577">
        <f t="shared" si="13"/>
        <v>43070</v>
      </c>
      <c r="G48" s="1577">
        <f t="shared" si="13"/>
        <v>43040</v>
      </c>
      <c r="H48" s="1577">
        <f t="shared" si="13"/>
        <v>43009</v>
      </c>
      <c r="I48" s="1577">
        <f t="shared" si="13"/>
        <v>42979</v>
      </c>
      <c r="J48" s="1577">
        <f t="shared" si="13"/>
        <v>42948</v>
      </c>
      <c r="K48" s="1577">
        <f t="shared" si="13"/>
        <v>42917</v>
      </c>
      <c r="L48" s="1577">
        <f t="shared" si="13"/>
        <v>42887</v>
      </c>
      <c r="M48" s="1577">
        <f t="shared" si="13"/>
        <v>42856</v>
      </c>
      <c r="N48" s="1577">
        <f t="shared" si="13"/>
        <v>42826</v>
      </c>
      <c r="O48" s="1577">
        <f t="shared" si="13"/>
        <v>42795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IF(C2="——",ROUND(C37*D3/10000,0),ROUND(C37*D3/10000,0)-D2)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79" t="s">
        <v>2644</v>
      </c>
      <c r="D4" s="3192"/>
      <c r="E4" s="3193" t="s">
        <v>2645</v>
      </c>
      <c r="F4" s="3194"/>
      <c r="G4" s="3179" t="s">
        <v>2646</v>
      </c>
      <c r="H4" s="3192"/>
      <c r="I4" s="3179" t="s">
        <v>2647</v>
      </c>
      <c r="J4" s="3192"/>
      <c r="K4" s="610" t="s">
        <v>2648</v>
      </c>
      <c r="L4" s="1133"/>
      <c r="M4" s="1134"/>
      <c r="N4" s="1134"/>
      <c r="O4" s="1134"/>
      <c r="P4" s="3195" t="s">
        <v>2649</v>
      </c>
      <c r="Q4" s="3196"/>
      <c r="R4" s="3201" t="s">
        <v>2645</v>
      </c>
      <c r="S4" s="3202"/>
      <c r="T4" s="3201" t="s">
        <v>2646</v>
      </c>
      <c r="U4" s="3202"/>
      <c r="V4" s="3188" t="s">
        <v>2647</v>
      </c>
      <c r="W4" s="3188"/>
      <c r="X4" s="1815"/>
      <c r="Y4" s="3201" t="s">
        <v>2649</v>
      </c>
      <c r="Z4" s="3202"/>
      <c r="AA4" s="3189" t="s">
        <v>2645</v>
      </c>
      <c r="AB4" s="3190" t="s">
        <v>2646</v>
      </c>
      <c r="AC4" s="3189" t="s">
        <v>2647</v>
      </c>
    </row>
    <row r="5" spans="1:29" ht="15">
      <c r="A5" s="404"/>
      <c r="B5" s="405"/>
      <c r="C5" s="3209" t="s">
        <v>2540</v>
      </c>
      <c r="D5" s="3210"/>
      <c r="E5" s="3217" t="s">
        <v>2541</v>
      </c>
      <c r="F5" s="3218"/>
      <c r="G5" s="3209" t="s">
        <v>2542</v>
      </c>
      <c r="H5" s="3210"/>
      <c r="I5" s="3209" t="s">
        <v>2543</v>
      </c>
      <c r="J5" s="3210"/>
      <c r="K5" s="610"/>
      <c r="L5" s="1133"/>
      <c r="M5" s="1134"/>
      <c r="N5" s="1134"/>
      <c r="O5" s="1134"/>
      <c r="P5" s="3197"/>
      <c r="Q5" s="3198"/>
      <c r="R5" s="3203"/>
      <c r="S5" s="3204"/>
      <c r="T5" s="3203"/>
      <c r="U5" s="3204"/>
      <c r="V5" s="3188"/>
      <c r="W5" s="3188"/>
      <c r="X5" s="1815"/>
      <c r="Y5" s="3203"/>
      <c r="Z5" s="3204"/>
      <c r="AA5" s="3190"/>
      <c r="AB5" s="3190"/>
      <c r="AC5" s="3190"/>
    </row>
    <row r="6" spans="1:29" ht="15.75" thickBot="1">
      <c r="A6" s="406"/>
      <c r="B6" s="407"/>
      <c r="C6" s="3214" t="s">
        <v>2544</v>
      </c>
      <c r="D6" s="3208"/>
      <c r="E6" s="3254" t="s">
        <v>2544</v>
      </c>
      <c r="F6" s="3216"/>
      <c r="G6" s="3214" t="s">
        <v>2544</v>
      </c>
      <c r="H6" s="3208"/>
      <c r="I6" s="3214" t="s">
        <v>2544</v>
      </c>
      <c r="J6" s="3208"/>
      <c r="K6" s="610" t="s">
        <v>2545</v>
      </c>
      <c r="L6" s="1133"/>
      <c r="M6" s="1134"/>
      <c r="N6" s="1134"/>
      <c r="O6" s="1134"/>
      <c r="P6" s="3199"/>
      <c r="Q6" s="3200"/>
      <c r="R6" s="3203"/>
      <c r="S6" s="3204"/>
      <c r="T6" s="3205"/>
      <c r="U6" s="3206"/>
      <c r="V6" s="3188"/>
      <c r="W6" s="3188"/>
      <c r="X6" s="1815"/>
      <c r="Y6" s="3205"/>
      <c r="Z6" s="3206"/>
      <c r="AA6" s="3191"/>
      <c r="AB6" s="3191"/>
      <c r="AC6" s="3191"/>
    </row>
    <row r="7" spans="1:29" s="117" customFormat="1" ht="15.75" thickBot="1">
      <c r="A7" s="408" t="s">
        <v>2546</v>
      </c>
      <c r="B7" s="409"/>
      <c r="C7" s="410">
        <f>'数据-取费表'!B2</f>
        <v>43180</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11" t="s">
        <v>2547</v>
      </c>
      <c r="Q7" s="3213"/>
      <c r="R7" s="770" t="s">
        <v>17</v>
      </c>
      <c r="S7" s="771">
        <f t="shared" ref="S7:S14" si="0">F7</f>
        <v>0</v>
      </c>
      <c r="T7" s="770" t="s">
        <v>17</v>
      </c>
      <c r="U7" s="771">
        <f t="shared" ref="U7:U14" si="1">H7</f>
        <v>0</v>
      </c>
      <c r="V7" s="770" t="s">
        <v>17</v>
      </c>
      <c r="W7" s="771">
        <f t="shared" ref="W7:W14" si="2">J7</f>
        <v>0</v>
      </c>
      <c r="X7" s="772"/>
      <c r="Y7" s="3211" t="s">
        <v>2547</v>
      </c>
      <c r="Z7" s="3212"/>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1" t="s">
        <v>2550</v>
      </c>
      <c r="Q8" s="3212"/>
      <c r="R8" s="770" t="s">
        <v>17</v>
      </c>
      <c r="S8" s="771">
        <f t="shared" si="0"/>
        <v>0</v>
      </c>
      <c r="T8" s="770" t="s">
        <v>17</v>
      </c>
      <c r="U8" s="771">
        <f t="shared" si="1"/>
        <v>0</v>
      </c>
      <c r="V8" s="770" t="s">
        <v>17</v>
      </c>
      <c r="W8" s="771">
        <f t="shared" si="2"/>
        <v>0</v>
      </c>
      <c r="X8" s="772"/>
      <c r="Y8" s="3211" t="s">
        <v>2550</v>
      </c>
      <c r="Z8" s="3212"/>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2" t="s">
        <v>2553</v>
      </c>
      <c r="Q9" s="1797" t="str">
        <f t="shared" ref="Q9:Q14" si="6">B9</f>
        <v>用途</v>
      </c>
      <c r="R9" s="770" t="s">
        <v>17</v>
      </c>
      <c r="S9" s="771">
        <f t="shared" si="0"/>
        <v>100</v>
      </c>
      <c r="T9" s="770" t="s">
        <v>17</v>
      </c>
      <c r="U9" s="771">
        <f t="shared" si="1"/>
        <v>100</v>
      </c>
      <c r="V9" s="770" t="s">
        <v>17</v>
      </c>
      <c r="W9" s="771">
        <f t="shared" si="2"/>
        <v>100</v>
      </c>
      <c r="X9" s="772"/>
      <c r="Y9" s="3030"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2"/>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2"/>
      <c r="Q11" s="1797">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2"/>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82"/>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40" t="s">
        <v>2557</v>
      </c>
      <c r="B14" s="69" t="s">
        <v>2707</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4" t="s">
        <v>2558</v>
      </c>
      <c r="Q14" s="1812" t="str">
        <f t="shared" si="6"/>
        <v>交通便捷度</v>
      </c>
      <c r="R14" s="774" t="s">
        <v>17</v>
      </c>
      <c r="S14" s="775">
        <f t="shared" si="0"/>
        <v>100</v>
      </c>
      <c r="T14" s="774" t="s">
        <v>17</v>
      </c>
      <c r="U14" s="775">
        <f t="shared" si="1"/>
        <v>100</v>
      </c>
      <c r="V14" s="774" t="s">
        <v>17</v>
      </c>
      <c r="W14" s="775">
        <f t="shared" si="2"/>
        <v>100</v>
      </c>
      <c r="X14" s="1815"/>
      <c r="Y14" s="3184"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5"/>
      <c r="Q15" s="1812"/>
      <c r="R15" s="774"/>
      <c r="S15" s="775"/>
      <c r="T15" s="774"/>
      <c r="U15" s="775"/>
      <c r="V15" s="774"/>
      <c r="W15" s="775"/>
      <c r="X15" s="1815"/>
      <c r="Y15" s="3185"/>
      <c r="Z15" s="1816"/>
      <c r="AA15" s="1813">
        <v>1</v>
      </c>
      <c r="AB15" s="1813">
        <v>1</v>
      </c>
      <c r="AC15" s="1813">
        <v>1</v>
      </c>
    </row>
    <row r="16" spans="1:29" ht="42.75">
      <c r="A16" s="428"/>
      <c r="B16" s="451" t="s">
        <v>2686</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5"/>
      <c r="Q16" s="1812" t="str">
        <f>B16</f>
        <v>公共配套设施</v>
      </c>
      <c r="R16" s="774" t="s">
        <v>17</v>
      </c>
      <c r="S16" s="775">
        <f>F16</f>
        <v>100</v>
      </c>
      <c r="T16" s="774" t="s">
        <v>17</v>
      </c>
      <c r="U16" s="775">
        <f>H16</f>
        <v>100</v>
      </c>
      <c r="V16" s="774" t="s">
        <v>17</v>
      </c>
      <c r="W16" s="775">
        <f>J16</f>
        <v>100</v>
      </c>
      <c r="X16" s="1815"/>
      <c r="Y16" s="3185"/>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185"/>
      <c r="Q17" s="1812"/>
      <c r="R17" s="774"/>
      <c r="S17" s="775"/>
      <c r="T17" s="774"/>
      <c r="U17" s="775"/>
      <c r="V17" s="774"/>
      <c r="W17" s="775"/>
      <c r="X17" s="1815"/>
      <c r="Y17" s="3185"/>
      <c r="Z17" s="1816"/>
      <c r="AA17" s="1813">
        <v>1</v>
      </c>
      <c r="AB17" s="1813">
        <v>1</v>
      </c>
      <c r="AC17" s="1813">
        <v>1</v>
      </c>
    </row>
    <row r="18" spans="1:29" ht="28.5">
      <c r="A18" s="428"/>
      <c r="B18" s="1387" t="s">
        <v>2687</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5"/>
      <c r="Q18" s="1812" t="str">
        <f>B18</f>
        <v>基础设施水平</v>
      </c>
      <c r="R18" s="774" t="s">
        <v>17</v>
      </c>
      <c r="S18" s="775">
        <f>F18</f>
        <v>100</v>
      </c>
      <c r="T18" s="774" t="s">
        <v>17</v>
      </c>
      <c r="U18" s="775">
        <f>H18</f>
        <v>100</v>
      </c>
      <c r="V18" s="774" t="s">
        <v>17</v>
      </c>
      <c r="W18" s="775">
        <f>J18</f>
        <v>100</v>
      </c>
      <c r="X18" s="1815"/>
      <c r="Y18" s="3185"/>
      <c r="Z18" s="1816" t="str">
        <f>Q18</f>
        <v>基础设施水平</v>
      </c>
      <c r="AA18" s="1813">
        <f>D18/F18</f>
        <v>1</v>
      </c>
      <c r="AB18" s="1813">
        <f>D18/H18</f>
        <v>1</v>
      </c>
      <c r="AC18" s="1813">
        <f>D18/J18</f>
        <v>1</v>
      </c>
    </row>
    <row r="19" spans="1:29" ht="15">
      <c r="A19" s="428"/>
      <c r="B19" s="1387"/>
      <c r="C19" s="2610"/>
      <c r="D19" s="450"/>
      <c r="E19" s="2610"/>
      <c r="F19" s="453"/>
      <c r="G19" s="2610"/>
      <c r="H19" s="448"/>
      <c r="I19" s="447"/>
      <c r="J19" s="448"/>
      <c r="K19" s="1386"/>
      <c r="L19" s="1143"/>
      <c r="M19" s="1134"/>
      <c r="N19" s="1134"/>
      <c r="O19" s="1142"/>
      <c r="P19" s="3185"/>
      <c r="Q19" s="1812"/>
      <c r="R19" s="774"/>
      <c r="S19" s="775"/>
      <c r="T19" s="774"/>
      <c r="U19" s="775"/>
      <c r="V19" s="774"/>
      <c r="W19" s="775"/>
      <c r="X19" s="1815"/>
      <c r="Y19" s="3185"/>
      <c r="Z19" s="1816"/>
      <c r="AA19" s="1813">
        <v>1</v>
      </c>
      <c r="AB19" s="1813">
        <v>1</v>
      </c>
      <c r="AC19" s="1813">
        <v>1</v>
      </c>
    </row>
    <row r="20" spans="1:29" ht="57">
      <c r="A20" s="428"/>
      <c r="B20" s="451" t="s">
        <v>2708</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5"/>
      <c r="Q20" s="1812" t="str">
        <f>B20</f>
        <v>自然及人文环境</v>
      </c>
      <c r="R20" s="774" t="s">
        <v>17</v>
      </c>
      <c r="S20" s="775">
        <f>F20</f>
        <v>100</v>
      </c>
      <c r="T20" s="774" t="s">
        <v>17</v>
      </c>
      <c r="U20" s="775">
        <f>H20</f>
        <v>100</v>
      </c>
      <c r="V20" s="774" t="s">
        <v>17</v>
      </c>
      <c r="W20" s="775">
        <f>J20</f>
        <v>100</v>
      </c>
      <c r="X20" s="1815"/>
      <c r="Y20" s="318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5"/>
      <c r="Q21" s="1812"/>
      <c r="R21" s="774"/>
      <c r="S21" s="775"/>
      <c r="T21" s="774"/>
      <c r="U21" s="775"/>
      <c r="V21" s="774"/>
      <c r="W21" s="775"/>
      <c r="X21" s="1815"/>
      <c r="Y21" s="3185"/>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5"/>
      <c r="Q22" s="1812" t="str">
        <f>B22</f>
        <v>楼层</v>
      </c>
      <c r="R22" s="774" t="s">
        <v>17</v>
      </c>
      <c r="S22" s="775">
        <f>F22</f>
        <v>100</v>
      </c>
      <c r="T22" s="774" t="s">
        <v>17</v>
      </c>
      <c r="U22" s="775">
        <f>H22</f>
        <v>100</v>
      </c>
      <c r="V22" s="774" t="s">
        <v>17</v>
      </c>
      <c r="W22" s="775">
        <f>J22</f>
        <v>100</v>
      </c>
      <c r="X22" s="1815"/>
      <c r="Y22" s="3185"/>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5"/>
      <c r="Q23" s="1812">
        <f>B23</f>
        <v>111</v>
      </c>
      <c r="R23" s="774" t="s">
        <v>17</v>
      </c>
      <c r="S23" s="775">
        <f>F23</f>
        <v>100</v>
      </c>
      <c r="T23" s="774" t="s">
        <v>17</v>
      </c>
      <c r="U23" s="775">
        <f>H23</f>
        <v>100</v>
      </c>
      <c r="V23" s="774" t="s">
        <v>17</v>
      </c>
      <c r="W23" s="775">
        <f>J23</f>
        <v>100</v>
      </c>
      <c r="X23" s="1815"/>
      <c r="Y23" s="3185"/>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5"/>
      <c r="Q24" s="1812">
        <f t="shared" ref="Q24:Q34" si="8">B24</f>
        <v>111</v>
      </c>
      <c r="R24" s="774" t="s">
        <v>17</v>
      </c>
      <c r="S24" s="775">
        <f>F24</f>
        <v>100</v>
      </c>
      <c r="T24" s="774" t="s">
        <v>17</v>
      </c>
      <c r="U24" s="775">
        <f>H24</f>
        <v>100</v>
      </c>
      <c r="V24" s="774" t="s">
        <v>17</v>
      </c>
      <c r="W24" s="775">
        <f>J24</f>
        <v>100</v>
      </c>
      <c r="X24" s="1815"/>
      <c r="Y24" s="3185"/>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85"/>
      <c r="Q25" s="1797">
        <f t="shared" si="8"/>
        <v>111</v>
      </c>
      <c r="R25" s="770" t="s">
        <v>17</v>
      </c>
      <c r="S25" s="771">
        <f>F25</f>
        <v>100</v>
      </c>
      <c r="T25" s="770" t="s">
        <v>17</v>
      </c>
      <c r="U25" s="771">
        <f>H25</f>
        <v>100</v>
      </c>
      <c r="V25" s="770" t="s">
        <v>17</v>
      </c>
      <c r="W25" s="771">
        <f>J25</f>
        <v>100</v>
      </c>
      <c r="X25" s="772"/>
      <c r="Y25" s="3185"/>
      <c r="Z25" s="55">
        <f>Q25</f>
        <v>111</v>
      </c>
      <c r="AA25" s="1813">
        <f>D25/F25</f>
        <v>1</v>
      </c>
      <c r="AB25" s="1813">
        <f>D25/H25</f>
        <v>1</v>
      </c>
      <c r="AC25" s="1813">
        <f>D25/J25</f>
        <v>1</v>
      </c>
    </row>
    <row r="26" spans="1:29" ht="15">
      <c r="A26" s="466" t="s">
        <v>2561</v>
      </c>
      <c r="B26" s="71" t="s">
        <v>2712</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86" t="s">
        <v>2563</v>
      </c>
      <c r="Q26" s="1812" t="str">
        <f t="shared" si="8"/>
        <v>公共部分装修</v>
      </c>
      <c r="R26" s="774" t="s">
        <v>17</v>
      </c>
      <c r="S26" s="775">
        <f t="shared" ref="S26:S34" si="9">F26</f>
        <v>100</v>
      </c>
      <c r="T26" s="774" t="s">
        <v>17</v>
      </c>
      <c r="U26" s="775">
        <f t="shared" ref="U26:U34" si="10">H26</f>
        <v>100</v>
      </c>
      <c r="V26" s="774" t="s">
        <v>17</v>
      </c>
      <c r="W26" s="775">
        <f t="shared" ref="W26:W34" si="11">J26</f>
        <v>100</v>
      </c>
      <c r="X26" s="1815"/>
      <c r="Y26" s="3187" t="s">
        <v>2563</v>
      </c>
      <c r="Z26" s="1816" t="str">
        <f t="shared" ref="Z26:Z34" si="12">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7"/>
      <c r="Q27" s="776" t="str">
        <f t="shared" si="8"/>
        <v>成新率</v>
      </c>
      <c r="R27" s="777" t="s">
        <v>17</v>
      </c>
      <c r="S27" s="778" t="e">
        <f t="shared" si="9"/>
        <v>#N/A</v>
      </c>
      <c r="T27" s="777" t="s">
        <v>17</v>
      </c>
      <c r="U27" s="778" t="e">
        <f t="shared" si="10"/>
        <v>#N/A</v>
      </c>
      <c r="V27" s="777" t="s">
        <v>17</v>
      </c>
      <c r="W27" s="778" t="e">
        <f t="shared" si="11"/>
        <v>#N/A</v>
      </c>
      <c r="X27" s="779"/>
      <c r="Y27" s="3187"/>
      <c r="Z27" s="780" t="str">
        <f t="shared" si="12"/>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7"/>
      <c r="Q28" s="1812" t="str">
        <f t="shared" si="8"/>
        <v>物业等级</v>
      </c>
      <c r="R28" s="774" t="s">
        <v>17</v>
      </c>
      <c r="S28" s="775">
        <f t="shared" si="9"/>
        <v>100</v>
      </c>
      <c r="T28" s="774" t="s">
        <v>17</v>
      </c>
      <c r="U28" s="775">
        <f t="shared" si="10"/>
        <v>100</v>
      </c>
      <c r="V28" s="774" t="s">
        <v>17</v>
      </c>
      <c r="W28" s="775">
        <f t="shared" si="11"/>
        <v>100</v>
      </c>
      <c r="X28" s="1815"/>
      <c r="Y28" s="3187"/>
      <c r="Z28" s="1816" t="str">
        <f t="shared" si="12"/>
        <v>物业等级</v>
      </c>
      <c r="AA28" s="1813">
        <f t="shared" si="3"/>
        <v>1</v>
      </c>
      <c r="AB28" s="1813">
        <f t="shared" si="4"/>
        <v>1</v>
      </c>
      <c r="AC28" s="1813">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7"/>
      <c r="Q29" s="1812" t="str">
        <f t="shared" si="8"/>
        <v>有无电梯</v>
      </c>
      <c r="R29" s="774" t="s">
        <v>17</v>
      </c>
      <c r="S29" s="775">
        <f t="shared" si="9"/>
        <v>100</v>
      </c>
      <c r="T29" s="774" t="s">
        <v>17</v>
      </c>
      <c r="U29" s="775">
        <f t="shared" si="10"/>
        <v>100</v>
      </c>
      <c r="V29" s="774" t="s">
        <v>17</v>
      </c>
      <c r="W29" s="775">
        <f t="shared" si="11"/>
        <v>100</v>
      </c>
      <c r="X29" s="1815"/>
      <c r="Y29" s="3187"/>
      <c r="Z29" s="1816" t="str">
        <f t="shared" si="12"/>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7"/>
      <c r="Q30" s="1812" t="str">
        <f t="shared" si="8"/>
        <v>建筑面积</v>
      </c>
      <c r="R30" s="774" t="s">
        <v>17</v>
      </c>
      <c r="S30" s="775" t="e">
        <f t="shared" si="9"/>
        <v>#N/A</v>
      </c>
      <c r="T30" s="774" t="s">
        <v>17</v>
      </c>
      <c r="U30" s="775" t="e">
        <f t="shared" si="10"/>
        <v>#N/A</v>
      </c>
      <c r="V30" s="774" t="s">
        <v>17</v>
      </c>
      <c r="W30" s="775" t="e">
        <f t="shared" si="11"/>
        <v>#N/A</v>
      </c>
      <c r="X30" s="1815"/>
      <c r="Y30" s="3187"/>
      <c r="Z30" s="1816" t="str">
        <f t="shared" si="12"/>
        <v>建筑面积</v>
      </c>
      <c r="AA30" s="1813" t="e">
        <f t="shared" si="3"/>
        <v>#N/A</v>
      </c>
      <c r="AB30" s="1813" t="e">
        <f t="shared" si="4"/>
        <v>#N/A</v>
      </c>
      <c r="AC30" s="1813"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7"/>
      <c r="Q31" s="1797" t="str">
        <f t="shared" si="8"/>
        <v>是否封闭</v>
      </c>
      <c r="R31" s="770" t="s">
        <v>17</v>
      </c>
      <c r="S31" s="771">
        <f t="shared" si="9"/>
        <v>100</v>
      </c>
      <c r="T31" s="770" t="s">
        <v>17</v>
      </c>
      <c r="U31" s="771">
        <f t="shared" si="10"/>
        <v>100</v>
      </c>
      <c r="V31" s="770" t="s">
        <v>17</v>
      </c>
      <c r="W31" s="771">
        <f t="shared" si="11"/>
        <v>100</v>
      </c>
      <c r="X31" s="772"/>
      <c r="Y31" s="3187"/>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7" t="s">
        <v>2563</v>
      </c>
      <c r="Q32" s="1812">
        <f t="shared" si="8"/>
        <v>111</v>
      </c>
      <c r="R32" s="774" t="s">
        <v>17</v>
      </c>
      <c r="S32" s="775">
        <f t="shared" si="9"/>
        <v>100</v>
      </c>
      <c r="T32" s="774" t="s">
        <v>17</v>
      </c>
      <c r="U32" s="775">
        <f t="shared" si="10"/>
        <v>100</v>
      </c>
      <c r="V32" s="774" t="s">
        <v>17</v>
      </c>
      <c r="W32" s="775">
        <f t="shared" si="11"/>
        <v>100</v>
      </c>
      <c r="X32" s="1815"/>
      <c r="Y32" s="3187" t="s">
        <v>2563</v>
      </c>
      <c r="Z32" s="1816">
        <f t="shared" si="12"/>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7"/>
      <c r="Q33" s="1812">
        <f t="shared" si="8"/>
        <v>111</v>
      </c>
      <c r="R33" s="774" t="s">
        <v>17</v>
      </c>
      <c r="S33" s="775">
        <f t="shared" si="9"/>
        <v>100</v>
      </c>
      <c r="T33" s="774" t="s">
        <v>17</v>
      </c>
      <c r="U33" s="775">
        <f t="shared" si="10"/>
        <v>100</v>
      </c>
      <c r="V33" s="774" t="s">
        <v>17</v>
      </c>
      <c r="W33" s="775">
        <f t="shared" si="11"/>
        <v>100</v>
      </c>
      <c r="X33" s="1815"/>
      <c r="Y33" s="3187"/>
      <c r="Z33" s="1816">
        <f t="shared" si="12"/>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87"/>
      <c r="Q34" s="1812">
        <f t="shared" si="8"/>
        <v>111</v>
      </c>
      <c r="R34" s="774" t="s">
        <v>17</v>
      </c>
      <c r="S34" s="775">
        <f t="shared" si="9"/>
        <v>100</v>
      </c>
      <c r="T34" s="774" t="s">
        <v>17</v>
      </c>
      <c r="U34" s="775">
        <f t="shared" si="10"/>
        <v>100</v>
      </c>
      <c r="V34" s="774" t="s">
        <v>17</v>
      </c>
      <c r="W34" s="775">
        <f t="shared" si="11"/>
        <v>100</v>
      </c>
      <c r="X34" s="1815"/>
      <c r="Y34" s="3187"/>
      <c r="Z34" s="1816">
        <f t="shared" si="12"/>
        <v>111</v>
      </c>
      <c r="AA34" s="1813">
        <f t="shared" si="3"/>
        <v>1</v>
      </c>
      <c r="AB34" s="1813">
        <f t="shared" si="4"/>
        <v>1</v>
      </c>
      <c r="AC34" s="1813">
        <f t="shared" si="5"/>
        <v>1</v>
      </c>
    </row>
    <row r="35" spans="1:29" ht="15">
      <c r="A35" s="479" t="s">
        <v>2575</v>
      </c>
      <c r="B35" s="480"/>
      <c r="C35" s="1410" t="s">
        <v>1</v>
      </c>
      <c r="D35" s="1411"/>
      <c r="E35" s="1412"/>
      <c r="F35" s="1413"/>
      <c r="G35" s="1414"/>
      <c r="H35" s="1415"/>
      <c r="I35" s="1412"/>
      <c r="J35" s="1415"/>
      <c r="K35" s="783"/>
      <c r="L35" s="1146"/>
      <c r="M35" s="1147"/>
      <c r="N35" s="1134"/>
      <c r="O35" s="1147"/>
      <c r="P35" s="3182" t="str">
        <f>A35</f>
        <v>成交单价（元/平方米）</v>
      </c>
      <c r="Q35" s="3182"/>
      <c r="R35" s="3247">
        <f>E35</f>
        <v>0</v>
      </c>
      <c r="S35" s="3247"/>
      <c r="T35" s="3247">
        <f>G35</f>
        <v>0</v>
      </c>
      <c r="U35" s="3247"/>
      <c r="V35" s="3247">
        <f>I35</f>
        <v>0</v>
      </c>
      <c r="W35" s="3247"/>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182" t="str">
        <f>A36</f>
        <v>比较价值（元/平方米）</v>
      </c>
      <c r="Q36" s="3182"/>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176" t="str">
        <f>A37</f>
        <v>估价对象XX用房的比较价值（楼面单价，元/平方米）</v>
      </c>
      <c r="Q37" s="3177"/>
      <c r="R37" s="3246" t="e">
        <f>IF(F1="售价",ROUND(AVERAGE(R36:V36),0),ROUND(AVERAGE(R36:V36),1))</f>
        <v>#DIV/0!</v>
      </c>
      <c r="S37" s="3246"/>
      <c r="T37" s="3246"/>
      <c r="U37" s="3246"/>
      <c r="V37" s="3246"/>
      <c r="W37" s="324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6" t="str">
        <f>YEAR(C7)&amp;"-"&amp;MONTH(C7)</f>
        <v>2018-3</v>
      </c>
      <c r="D46" s="1577">
        <f>EDATE(C46,-1)</f>
        <v>43132</v>
      </c>
      <c r="E46" s="1577">
        <f t="shared" ref="E46:O46" si="13">EDATE(D46,-1)</f>
        <v>43101</v>
      </c>
      <c r="F46" s="1577">
        <f t="shared" si="13"/>
        <v>43070</v>
      </c>
      <c r="G46" s="1577">
        <f t="shared" si="13"/>
        <v>43040</v>
      </c>
      <c r="H46" s="1577">
        <f t="shared" si="13"/>
        <v>43009</v>
      </c>
      <c r="I46" s="1577">
        <f t="shared" si="13"/>
        <v>42979</v>
      </c>
      <c r="J46" s="1577">
        <f t="shared" si="13"/>
        <v>42948</v>
      </c>
      <c r="K46" s="1577">
        <f t="shared" si="13"/>
        <v>42917</v>
      </c>
      <c r="L46" s="1577">
        <f t="shared" si="13"/>
        <v>42887</v>
      </c>
      <c r="M46" s="1577">
        <f t="shared" si="13"/>
        <v>42856</v>
      </c>
      <c r="N46" s="1577">
        <f t="shared" si="13"/>
        <v>42826</v>
      </c>
      <c r="O46" s="1577">
        <f t="shared" si="13"/>
        <v>42795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2740</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79" t="s">
        <v>2644</v>
      </c>
      <c r="D4" s="3192"/>
      <c r="E4" s="3193" t="s">
        <v>2645</v>
      </c>
      <c r="F4" s="3194"/>
      <c r="G4" s="3179" t="s">
        <v>2646</v>
      </c>
      <c r="H4" s="3192"/>
      <c r="I4" s="3179" t="s">
        <v>2647</v>
      </c>
      <c r="J4" s="3192"/>
      <c r="K4" s="610" t="s">
        <v>2648</v>
      </c>
      <c r="L4" s="1133"/>
      <c r="M4" s="1134"/>
      <c r="N4" s="1134"/>
      <c r="O4" s="1134"/>
      <c r="P4" s="3195" t="s">
        <v>2649</v>
      </c>
      <c r="Q4" s="3196"/>
      <c r="R4" s="3201" t="s">
        <v>2645</v>
      </c>
      <c r="S4" s="3202"/>
      <c r="T4" s="3201" t="s">
        <v>2646</v>
      </c>
      <c r="U4" s="3202"/>
      <c r="V4" s="3188" t="s">
        <v>2647</v>
      </c>
      <c r="W4" s="3188"/>
      <c r="X4" s="1815"/>
      <c r="Y4" s="3201" t="s">
        <v>2649</v>
      </c>
      <c r="Z4" s="3202"/>
      <c r="AA4" s="3189" t="s">
        <v>2645</v>
      </c>
      <c r="AB4" s="3190" t="s">
        <v>2646</v>
      </c>
      <c r="AC4" s="3189" t="s">
        <v>2647</v>
      </c>
    </row>
    <row r="5" spans="1:29" ht="15">
      <c r="A5" s="404"/>
      <c r="B5" s="405"/>
      <c r="C5" s="3209" t="s">
        <v>2540</v>
      </c>
      <c r="D5" s="3210"/>
      <c r="E5" s="3217" t="s">
        <v>2541</v>
      </c>
      <c r="F5" s="3218"/>
      <c r="G5" s="3209" t="s">
        <v>2542</v>
      </c>
      <c r="H5" s="3210"/>
      <c r="I5" s="3209" t="s">
        <v>2543</v>
      </c>
      <c r="J5" s="3210"/>
      <c r="K5" s="610"/>
      <c r="L5" s="1133"/>
      <c r="M5" s="1134"/>
      <c r="N5" s="1134"/>
      <c r="O5" s="1134"/>
      <c r="P5" s="3197"/>
      <c r="Q5" s="3198"/>
      <c r="R5" s="3203"/>
      <c r="S5" s="3204"/>
      <c r="T5" s="3203"/>
      <c r="U5" s="3204"/>
      <c r="V5" s="3188"/>
      <c r="W5" s="3188"/>
      <c r="X5" s="1815"/>
      <c r="Y5" s="3203"/>
      <c r="Z5" s="3204"/>
      <c r="AA5" s="3190"/>
      <c r="AB5" s="3190"/>
      <c r="AC5" s="3190"/>
    </row>
    <row r="6" spans="1:29" ht="15.75" thickBot="1">
      <c r="A6" s="406"/>
      <c r="B6" s="407"/>
      <c r="C6" s="3270" t="s">
        <v>2794</v>
      </c>
      <c r="D6" s="3271"/>
      <c r="E6" s="3272" t="s">
        <v>2794</v>
      </c>
      <c r="F6" s="3273"/>
      <c r="G6" s="3270" t="s">
        <v>2794</v>
      </c>
      <c r="H6" s="3271"/>
      <c r="I6" s="3270" t="s">
        <v>2794</v>
      </c>
      <c r="J6" s="3271"/>
      <c r="K6" s="610" t="s">
        <v>2545</v>
      </c>
      <c r="L6" s="1133"/>
      <c r="M6" s="1134"/>
      <c r="N6" s="1134"/>
      <c r="O6" s="1134"/>
      <c r="P6" s="3199"/>
      <c r="Q6" s="3200"/>
      <c r="R6" s="3203"/>
      <c r="S6" s="3204"/>
      <c r="T6" s="3205"/>
      <c r="U6" s="3206"/>
      <c r="V6" s="3188"/>
      <c r="W6" s="3188"/>
      <c r="X6" s="1815"/>
      <c r="Y6" s="3205"/>
      <c r="Z6" s="3206"/>
      <c r="AA6" s="3191"/>
      <c r="AB6" s="3191"/>
      <c r="AC6" s="3191"/>
    </row>
    <row r="7" spans="1:29" s="117" customFormat="1" ht="15.75" thickBot="1">
      <c r="A7" s="408" t="s">
        <v>2546</v>
      </c>
      <c r="B7" s="409"/>
      <c r="C7" s="410">
        <f>'数据-取费表'!B2</f>
        <v>43180</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11" t="s">
        <v>2547</v>
      </c>
      <c r="Q7" s="3213"/>
      <c r="R7" s="770" t="s">
        <v>17</v>
      </c>
      <c r="S7" s="771">
        <f t="shared" ref="S7:S15" si="0">F7</f>
        <v>0</v>
      </c>
      <c r="T7" s="770" t="s">
        <v>17</v>
      </c>
      <c r="U7" s="771">
        <f t="shared" ref="U7:U15" si="1">H7</f>
        <v>0</v>
      </c>
      <c r="V7" s="770" t="s">
        <v>17</v>
      </c>
      <c r="W7" s="771">
        <f t="shared" ref="W7:W15" si="2">J7</f>
        <v>0</v>
      </c>
      <c r="X7" s="772"/>
      <c r="Y7" s="3211" t="s">
        <v>2547</v>
      </c>
      <c r="Z7" s="3212"/>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1" t="s">
        <v>2550</v>
      </c>
      <c r="Q8" s="3212"/>
      <c r="R8" s="770" t="s">
        <v>17</v>
      </c>
      <c r="S8" s="771">
        <f t="shared" si="0"/>
        <v>0</v>
      </c>
      <c r="T8" s="770" t="s">
        <v>17</v>
      </c>
      <c r="U8" s="771">
        <f t="shared" si="1"/>
        <v>0</v>
      </c>
      <c r="V8" s="770" t="s">
        <v>17</v>
      </c>
      <c r="W8" s="771">
        <f t="shared" si="2"/>
        <v>0</v>
      </c>
      <c r="X8" s="772"/>
      <c r="Y8" s="3211" t="s">
        <v>2550</v>
      </c>
      <c r="Z8" s="3212"/>
      <c r="AA8" s="773" t="e">
        <f t="shared" ref="AA8:AA40" si="3">D8/F8</f>
        <v>#DIV/0!</v>
      </c>
      <c r="AB8" s="773" t="e">
        <f t="shared" ref="AB8:AB40" si="4">D8/H8</f>
        <v>#DIV/0!</v>
      </c>
      <c r="AC8" s="773" t="e">
        <f t="shared" ref="AC8:AC40" si="5">D8/J8</f>
        <v>#DIV/0!</v>
      </c>
    </row>
    <row r="9" spans="1:29" s="117" customFormat="1">
      <c r="A9" s="415" t="s">
        <v>2551</v>
      </c>
      <c r="B9" s="71" t="s">
        <v>2552</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82" t="s">
        <v>2553</v>
      </c>
      <c r="Q9" s="1797"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82"/>
      <c r="Q10" s="1797" t="str">
        <f t="shared" si="6"/>
        <v>土地使用年限（年）</v>
      </c>
      <c r="R10" s="770" t="s">
        <v>17</v>
      </c>
      <c r="S10" s="771">
        <f t="shared" si="0"/>
        <v>111</v>
      </c>
      <c r="T10" s="770" t="s">
        <v>17</v>
      </c>
      <c r="U10" s="771">
        <f t="shared" si="1"/>
        <v>111</v>
      </c>
      <c r="V10" s="770" t="s">
        <v>17</v>
      </c>
      <c r="W10" s="771">
        <f t="shared" si="2"/>
        <v>111</v>
      </c>
      <c r="X10" s="772"/>
      <c r="Y10" s="3030"/>
      <c r="Z10" s="55" t="str">
        <f t="shared" si="7"/>
        <v>土地使用年限（年）</v>
      </c>
      <c r="AA10" s="773">
        <f t="shared" si="3"/>
        <v>0.90090090090090091</v>
      </c>
      <c r="AB10" s="773">
        <f t="shared" si="4"/>
        <v>0.90090090090090091</v>
      </c>
      <c r="AC10" s="773">
        <f t="shared" si="5"/>
        <v>0.90090090090090091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2"/>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2"/>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2"/>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2"/>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2557</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4" t="s">
        <v>2558</v>
      </c>
      <c r="Q15" s="1812" t="str">
        <f t="shared" si="6"/>
        <v>产业集聚程度</v>
      </c>
      <c r="R15" s="774" t="s">
        <v>17</v>
      </c>
      <c r="S15" s="775">
        <f t="shared" si="0"/>
        <v>100</v>
      </c>
      <c r="T15" s="774" t="s">
        <v>17</v>
      </c>
      <c r="U15" s="775">
        <f t="shared" si="1"/>
        <v>100</v>
      </c>
      <c r="V15" s="774" t="s">
        <v>17</v>
      </c>
      <c r="W15" s="775">
        <f t="shared" si="2"/>
        <v>100</v>
      </c>
      <c r="X15" s="1815"/>
      <c r="Y15" s="3184" t="s">
        <v>2558</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185"/>
      <c r="Q16" s="1812"/>
      <c r="R16" s="774"/>
      <c r="S16" s="775"/>
      <c r="T16" s="774"/>
      <c r="U16" s="775"/>
      <c r="V16" s="774"/>
      <c r="W16" s="775"/>
      <c r="X16" s="1815"/>
      <c r="Y16" s="3185"/>
      <c r="Z16" s="1816"/>
      <c r="AA16" s="1813">
        <v>1</v>
      </c>
      <c r="AB16" s="1813">
        <v>1</v>
      </c>
      <c r="AC16" s="1813">
        <v>1</v>
      </c>
    </row>
    <row r="17" spans="1:29" ht="85.5">
      <c r="A17" s="428"/>
      <c r="B17" s="631" t="s">
        <v>2707</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5"/>
      <c r="Q17" s="1812" t="str">
        <f>B17</f>
        <v>交通便捷度</v>
      </c>
      <c r="R17" s="774" t="s">
        <v>17</v>
      </c>
      <c r="S17" s="775">
        <f>F17</f>
        <v>100</v>
      </c>
      <c r="T17" s="774" t="s">
        <v>17</v>
      </c>
      <c r="U17" s="775">
        <f>H17</f>
        <v>100</v>
      </c>
      <c r="V17" s="774" t="s">
        <v>17</v>
      </c>
      <c r="W17" s="775">
        <f>J17</f>
        <v>100</v>
      </c>
      <c r="X17" s="1815"/>
      <c r="Y17" s="3185"/>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185"/>
      <c r="Q18" s="1812"/>
      <c r="R18" s="774"/>
      <c r="S18" s="775"/>
      <c r="T18" s="774"/>
      <c r="U18" s="775"/>
      <c r="V18" s="774"/>
      <c r="W18" s="775"/>
      <c r="X18" s="1815"/>
      <c r="Y18" s="3185"/>
      <c r="Z18" s="1816"/>
      <c r="AA18" s="1813">
        <v>1</v>
      </c>
      <c r="AB18" s="1813">
        <v>1</v>
      </c>
      <c r="AC18" s="1813">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5"/>
      <c r="Q19" s="1812" t="str">
        <f t="shared" ref="Q19:Q33" si="8">B19</f>
        <v>区域土地利用方向</v>
      </c>
      <c r="R19" s="774" t="s">
        <v>17</v>
      </c>
      <c r="S19" s="775">
        <f>F19</f>
        <v>100</v>
      </c>
      <c r="T19" s="774" t="s">
        <v>17</v>
      </c>
      <c r="U19" s="775">
        <f>H19</f>
        <v>100</v>
      </c>
      <c r="V19" s="774" t="s">
        <v>17</v>
      </c>
      <c r="W19" s="775">
        <f>J19</f>
        <v>100</v>
      </c>
      <c r="X19" s="1815"/>
      <c r="Y19" s="3185"/>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185"/>
      <c r="Q20" s="1812"/>
      <c r="R20" s="774"/>
      <c r="S20" s="775"/>
      <c r="T20" s="774"/>
      <c r="U20" s="775"/>
      <c r="V20" s="774"/>
      <c r="W20" s="775"/>
      <c r="X20" s="1815"/>
      <c r="Y20" s="3185"/>
      <c r="Z20" s="1816"/>
      <c r="AA20" s="1813"/>
      <c r="AB20" s="1813"/>
      <c r="AC20" s="1813"/>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5"/>
      <c r="Q21" s="1812" t="str">
        <f t="shared" si="8"/>
        <v>环境状况</v>
      </c>
      <c r="R21" s="774" t="s">
        <v>17</v>
      </c>
      <c r="S21" s="775">
        <f>F21</f>
        <v>100</v>
      </c>
      <c r="T21" s="774" t="s">
        <v>17</v>
      </c>
      <c r="U21" s="775">
        <f>H21</f>
        <v>100</v>
      </c>
      <c r="V21" s="774" t="s">
        <v>17</v>
      </c>
      <c r="W21" s="775">
        <f>J21</f>
        <v>100</v>
      </c>
      <c r="X21" s="1815"/>
      <c r="Y21" s="3185"/>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185"/>
      <c r="Q22" s="1812"/>
      <c r="R22" s="774"/>
      <c r="S22" s="775"/>
      <c r="T22" s="774"/>
      <c r="U22" s="775"/>
      <c r="V22" s="774"/>
      <c r="W22" s="775"/>
      <c r="X22" s="1815"/>
      <c r="Y22" s="3185"/>
      <c r="Z22" s="1816"/>
      <c r="AA22" s="1813">
        <v>1</v>
      </c>
      <c r="AB22" s="1813">
        <v>1</v>
      </c>
      <c r="AC22" s="1813">
        <v>1</v>
      </c>
    </row>
    <row r="23" spans="1:29" s="117" customFormat="1" ht="42.75">
      <c r="A23" s="649"/>
      <c r="B23" s="633" t="s">
        <v>2652</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5"/>
      <c r="Q23" s="1797" t="str">
        <f t="shared" si="8"/>
        <v>公共配套设施</v>
      </c>
      <c r="R23" s="770" t="s">
        <v>17</v>
      </c>
      <c r="S23" s="771">
        <f>F23</f>
        <v>100</v>
      </c>
      <c r="T23" s="770" t="s">
        <v>17</v>
      </c>
      <c r="U23" s="771">
        <f>H23</f>
        <v>100</v>
      </c>
      <c r="V23" s="770" t="s">
        <v>17</v>
      </c>
      <c r="W23" s="771">
        <f>J23</f>
        <v>100</v>
      </c>
      <c r="X23" s="772"/>
      <c r="Y23" s="3185"/>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185"/>
      <c r="Q24" s="1797"/>
      <c r="R24" s="770"/>
      <c r="S24" s="771"/>
      <c r="T24" s="770"/>
      <c r="U24" s="771"/>
      <c r="V24" s="770"/>
      <c r="W24" s="771"/>
      <c r="X24" s="772"/>
      <c r="Y24" s="3185"/>
      <c r="Z24" s="55"/>
      <c r="AA24" s="773">
        <v>1</v>
      </c>
      <c r="AB24" s="773">
        <v>1</v>
      </c>
      <c r="AC24" s="773">
        <v>1</v>
      </c>
    </row>
    <row r="25" spans="1:29" s="117" customFormat="1" ht="28.5">
      <c r="A25" s="649"/>
      <c r="B25" s="633" t="s">
        <v>2653</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5"/>
      <c r="Q25" s="1797" t="str">
        <f>B25</f>
        <v>基础设施水平</v>
      </c>
      <c r="R25" s="770" t="s">
        <v>17</v>
      </c>
      <c r="S25" s="771">
        <f>F25</f>
        <v>100</v>
      </c>
      <c r="T25" s="770" t="s">
        <v>17</v>
      </c>
      <c r="U25" s="771">
        <f>H25</f>
        <v>100</v>
      </c>
      <c r="V25" s="770" t="s">
        <v>17</v>
      </c>
      <c r="W25" s="771">
        <f>J25</f>
        <v>100</v>
      </c>
      <c r="X25" s="772"/>
      <c r="Y25" s="3185"/>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185"/>
      <c r="Q26" s="1797"/>
      <c r="R26" s="770"/>
      <c r="S26" s="771"/>
      <c r="T26" s="770"/>
      <c r="U26" s="771"/>
      <c r="V26" s="770"/>
      <c r="W26" s="771"/>
      <c r="X26" s="772"/>
      <c r="Y26" s="3185"/>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5"/>
      <c r="Q27" s="1812" t="str">
        <f t="shared" si="8"/>
        <v>临街状况</v>
      </c>
      <c r="R27" s="774" t="s">
        <v>17</v>
      </c>
      <c r="S27" s="775">
        <f t="shared" ref="S27:S40" si="9">F27</f>
        <v>100</v>
      </c>
      <c r="T27" s="774" t="s">
        <v>17</v>
      </c>
      <c r="U27" s="775">
        <f t="shared" ref="U27:U40" si="10">H27</f>
        <v>100</v>
      </c>
      <c r="V27" s="774" t="s">
        <v>17</v>
      </c>
      <c r="W27" s="775">
        <f t="shared" ref="W27:W40" si="11">J27</f>
        <v>100</v>
      </c>
      <c r="X27" s="1815"/>
      <c r="Y27" s="3185"/>
      <c r="Z27" s="1816" t="str">
        <f t="shared" ref="Z27:Z40" si="12">Q27</f>
        <v>临街状况</v>
      </c>
      <c r="AA27" s="1813">
        <f t="shared" si="3"/>
        <v>1</v>
      </c>
      <c r="AB27" s="1813">
        <f t="shared" si="4"/>
        <v>1</v>
      </c>
      <c r="AC27" s="1813">
        <f t="shared" si="5"/>
        <v>1</v>
      </c>
    </row>
    <row r="28" spans="1:29" ht="27">
      <c r="A28" s="428"/>
      <c r="B28" s="633" t="s">
        <v>2689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5"/>
      <c r="Q28" s="1812" t="str">
        <f t="shared" si="8"/>
        <v>毗邻道路的类型与等级</v>
      </c>
      <c r="R28" s="774" t="s">
        <v>17</v>
      </c>
      <c r="S28" s="775">
        <f t="shared" si="9"/>
        <v>100</v>
      </c>
      <c r="T28" s="774" t="s">
        <v>17</v>
      </c>
      <c r="U28" s="775">
        <f t="shared" si="10"/>
        <v>100</v>
      </c>
      <c r="V28" s="774" t="s">
        <v>17</v>
      </c>
      <c r="W28" s="775">
        <f t="shared" si="11"/>
        <v>100</v>
      </c>
      <c r="X28" s="1815"/>
      <c r="Y28" s="3185"/>
      <c r="Z28" s="1816" t="str">
        <f t="shared" si="12"/>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185"/>
      <c r="Q29" s="1812"/>
      <c r="R29" s="774"/>
      <c r="S29" s="775"/>
      <c r="T29" s="774"/>
      <c r="U29" s="775"/>
      <c r="V29" s="774"/>
      <c r="W29" s="775"/>
      <c r="X29" s="1815"/>
      <c r="Y29" s="3185"/>
      <c r="Z29" s="1816"/>
      <c r="AA29" s="1813">
        <v>1</v>
      </c>
      <c r="AB29" s="1813">
        <v>1</v>
      </c>
      <c r="AC29" s="1813">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5"/>
      <c r="Q30" s="1812" t="str">
        <f t="shared" si="8"/>
        <v>土地级别</v>
      </c>
      <c r="R30" s="774" t="s">
        <v>17</v>
      </c>
      <c r="S30" s="775">
        <f t="shared" si="9"/>
        <v>100</v>
      </c>
      <c r="T30" s="774" t="s">
        <v>17</v>
      </c>
      <c r="U30" s="775">
        <f t="shared" si="10"/>
        <v>100</v>
      </c>
      <c r="V30" s="774" t="s">
        <v>17</v>
      </c>
      <c r="W30" s="775">
        <f t="shared" si="11"/>
        <v>100</v>
      </c>
      <c r="X30" s="1815"/>
      <c r="Y30" s="3185"/>
      <c r="Z30" s="1816" t="str">
        <f t="shared" si="12"/>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5"/>
      <c r="Q31" s="1812">
        <f t="shared" si="8"/>
        <v>111</v>
      </c>
      <c r="R31" s="774" t="s">
        <v>17</v>
      </c>
      <c r="S31" s="775">
        <f t="shared" si="9"/>
        <v>100</v>
      </c>
      <c r="T31" s="774" t="s">
        <v>17</v>
      </c>
      <c r="U31" s="775">
        <f t="shared" si="10"/>
        <v>100</v>
      </c>
      <c r="V31" s="774" t="s">
        <v>17</v>
      </c>
      <c r="W31" s="775">
        <f t="shared" si="11"/>
        <v>100</v>
      </c>
      <c r="X31" s="1815"/>
      <c r="Y31" s="3185"/>
      <c r="Z31" s="1816">
        <f t="shared" si="12"/>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6" t="s">
        <v>2563</v>
      </c>
      <c r="Q32" s="1812">
        <f t="shared" si="8"/>
        <v>111</v>
      </c>
      <c r="R32" s="774" t="s">
        <v>17</v>
      </c>
      <c r="S32" s="775">
        <f t="shared" si="9"/>
        <v>100</v>
      </c>
      <c r="T32" s="774" t="s">
        <v>17</v>
      </c>
      <c r="U32" s="775">
        <f t="shared" si="10"/>
        <v>100</v>
      </c>
      <c r="V32" s="774" t="s">
        <v>17</v>
      </c>
      <c r="W32" s="775">
        <f t="shared" si="11"/>
        <v>100</v>
      </c>
      <c r="X32" s="1815"/>
      <c r="Y32" s="3187" t="s">
        <v>2563</v>
      </c>
      <c r="Z32" s="1816">
        <f t="shared" si="12"/>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7"/>
      <c r="Q33" s="1812">
        <f t="shared" si="8"/>
        <v>111</v>
      </c>
      <c r="R33" s="777" t="s">
        <v>17</v>
      </c>
      <c r="S33" s="778">
        <f t="shared" si="9"/>
        <v>100</v>
      </c>
      <c r="T33" s="777" t="s">
        <v>17</v>
      </c>
      <c r="U33" s="778">
        <f t="shared" si="10"/>
        <v>100</v>
      </c>
      <c r="V33" s="777" t="s">
        <v>17</v>
      </c>
      <c r="W33" s="778">
        <f t="shared" si="11"/>
        <v>100</v>
      </c>
      <c r="X33" s="779"/>
      <c r="Y33" s="3187"/>
      <c r="Z33" s="780">
        <f t="shared" si="12"/>
        <v>111</v>
      </c>
      <c r="AA33" s="1813">
        <f t="shared" si="3"/>
        <v>1</v>
      </c>
      <c r="AB33" s="1813">
        <f t="shared" si="4"/>
        <v>1</v>
      </c>
      <c r="AC33" s="1813">
        <f t="shared" si="5"/>
        <v>1</v>
      </c>
    </row>
    <row r="34" spans="1:29" ht="15">
      <c r="A34" s="440" t="s">
        <v>2561</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7"/>
      <c r="Q34" s="1812" t="str">
        <f>B34</f>
        <v>宗地面积</v>
      </c>
      <c r="R34" s="774" t="s">
        <v>17</v>
      </c>
      <c r="S34" s="775" t="e">
        <f t="shared" si="9"/>
        <v>#N/A</v>
      </c>
      <c r="T34" s="774" t="s">
        <v>17</v>
      </c>
      <c r="U34" s="775" t="e">
        <f t="shared" si="10"/>
        <v>#N/A</v>
      </c>
      <c r="V34" s="774" t="s">
        <v>17</v>
      </c>
      <c r="W34" s="775" t="e">
        <f t="shared" si="11"/>
        <v>#N/A</v>
      </c>
      <c r="X34" s="1815"/>
      <c r="Y34" s="3187"/>
      <c r="Z34" s="1816" t="str">
        <f t="shared" si="12"/>
        <v>宗地面积</v>
      </c>
      <c r="AA34" s="1813" t="e">
        <f t="shared" si="3"/>
        <v>#N/A</v>
      </c>
      <c r="AB34" s="1813" t="e">
        <f t="shared" si="4"/>
        <v>#N/A</v>
      </c>
      <c r="AC34" s="1813"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87"/>
      <c r="Q35" s="1812" t="str">
        <f t="shared" ref="Q35:Q40" si="13">B35</f>
        <v>宗地形状</v>
      </c>
      <c r="R35" s="774" t="s">
        <v>17</v>
      </c>
      <c r="S35" s="775">
        <f t="shared" si="9"/>
        <v>100</v>
      </c>
      <c r="T35" s="774" t="s">
        <v>17</v>
      </c>
      <c r="U35" s="775">
        <f t="shared" si="10"/>
        <v>100</v>
      </c>
      <c r="V35" s="774" t="s">
        <v>17</v>
      </c>
      <c r="W35" s="775">
        <f t="shared" si="11"/>
        <v>100</v>
      </c>
      <c r="X35" s="1815"/>
      <c r="Y35" s="3187"/>
      <c r="Z35" s="1816" t="str">
        <f t="shared" si="12"/>
        <v>宗地形状</v>
      </c>
      <c r="AA35" s="1813">
        <f t="shared" si="3"/>
        <v>1</v>
      </c>
      <c r="AB35" s="1813">
        <f t="shared" si="4"/>
        <v>1</v>
      </c>
      <c r="AC35" s="1813">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87"/>
      <c r="Q36" s="1812" t="str">
        <f t="shared" si="13"/>
        <v>宗地开发程度</v>
      </c>
      <c r="R36" s="770" t="s">
        <v>17</v>
      </c>
      <c r="S36" s="771">
        <f t="shared" si="9"/>
        <v>100</v>
      </c>
      <c r="T36" s="770" t="s">
        <v>17</v>
      </c>
      <c r="U36" s="771">
        <f t="shared" si="10"/>
        <v>100</v>
      </c>
      <c r="V36" s="770" t="s">
        <v>17</v>
      </c>
      <c r="W36" s="771">
        <f t="shared" si="11"/>
        <v>100</v>
      </c>
      <c r="X36" s="772"/>
      <c r="Y36" s="3187"/>
      <c r="Z36" s="55" t="str">
        <f t="shared" si="12"/>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87" t="s">
        <v>2563</v>
      </c>
      <c r="Q37" s="1812" t="str">
        <f t="shared" si="13"/>
        <v>工程地质条件</v>
      </c>
      <c r="R37" s="774" t="s">
        <v>17</v>
      </c>
      <c r="S37" s="775">
        <f t="shared" si="9"/>
        <v>100</v>
      </c>
      <c r="T37" s="774" t="s">
        <v>17</v>
      </c>
      <c r="U37" s="775">
        <f t="shared" si="10"/>
        <v>100</v>
      </c>
      <c r="V37" s="774" t="s">
        <v>17</v>
      </c>
      <c r="W37" s="775">
        <f t="shared" si="11"/>
        <v>100</v>
      </c>
      <c r="X37" s="1815"/>
      <c r="Y37" s="3187" t="s">
        <v>2563</v>
      </c>
      <c r="Z37" s="1816" t="str">
        <f t="shared" si="12"/>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7"/>
      <c r="Q38" s="1812">
        <f t="shared" si="13"/>
        <v>111</v>
      </c>
      <c r="R38" s="774" t="s">
        <v>17</v>
      </c>
      <c r="S38" s="775">
        <f t="shared" si="9"/>
        <v>100</v>
      </c>
      <c r="T38" s="774" t="s">
        <v>17</v>
      </c>
      <c r="U38" s="775">
        <f t="shared" si="10"/>
        <v>100</v>
      </c>
      <c r="V38" s="774" t="s">
        <v>17</v>
      </c>
      <c r="W38" s="775">
        <f t="shared" si="11"/>
        <v>100</v>
      </c>
      <c r="X38" s="1815"/>
      <c r="Y38" s="3187"/>
      <c r="Z38" s="1816">
        <f t="shared" si="12"/>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7"/>
      <c r="Q39" s="1812">
        <f t="shared" si="13"/>
        <v>111</v>
      </c>
      <c r="R39" s="774" t="s">
        <v>17</v>
      </c>
      <c r="S39" s="775">
        <f t="shared" si="9"/>
        <v>100</v>
      </c>
      <c r="T39" s="774" t="s">
        <v>17</v>
      </c>
      <c r="U39" s="775">
        <f t="shared" si="10"/>
        <v>100</v>
      </c>
      <c r="V39" s="774" t="s">
        <v>17</v>
      </c>
      <c r="W39" s="775">
        <f t="shared" si="11"/>
        <v>100</v>
      </c>
      <c r="X39" s="1815"/>
      <c r="Y39" s="3187"/>
      <c r="Z39" s="1816">
        <f t="shared" si="12"/>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7"/>
      <c r="Q40" s="1812">
        <f t="shared" si="13"/>
        <v>111</v>
      </c>
      <c r="R40" s="777" t="s">
        <v>17</v>
      </c>
      <c r="S40" s="778">
        <f t="shared" si="9"/>
        <v>100</v>
      </c>
      <c r="T40" s="777" t="s">
        <v>17</v>
      </c>
      <c r="U40" s="778">
        <f t="shared" si="10"/>
        <v>100</v>
      </c>
      <c r="V40" s="777" t="s">
        <v>17</v>
      </c>
      <c r="W40" s="778">
        <f t="shared" si="11"/>
        <v>100</v>
      </c>
      <c r="X40" s="779"/>
      <c r="Y40" s="3187"/>
      <c r="Z40" s="780">
        <f t="shared" si="12"/>
        <v>111</v>
      </c>
      <c r="AA40" s="1813">
        <f t="shared" si="3"/>
        <v>1</v>
      </c>
      <c r="AB40" s="1813">
        <f t="shared" si="4"/>
        <v>1</v>
      </c>
      <c r="AC40" s="1813">
        <f t="shared" si="5"/>
        <v>1</v>
      </c>
    </row>
    <row r="41" spans="1:29" ht="15">
      <c r="A41" s="479" t="s">
        <v>2718</v>
      </c>
      <c r="B41" s="2706" t="s">
        <v>2797</v>
      </c>
      <c r="C41" s="682" t="s">
        <v>1</v>
      </c>
      <c r="D41" s="481"/>
      <c r="E41" s="482"/>
      <c r="F41" s="483"/>
      <c r="G41" s="484"/>
      <c r="H41" s="485"/>
      <c r="I41" s="482"/>
      <c r="J41" s="485"/>
      <c r="K41" s="783"/>
      <c r="L41" s="1146"/>
      <c r="M41" s="1134"/>
      <c r="N41" s="1134"/>
      <c r="O41" s="1147"/>
      <c r="P41" s="3182" t="str">
        <f>A41</f>
        <v>成交单价</v>
      </c>
      <c r="Q41" s="3182"/>
      <c r="R41" s="3188">
        <f>E41</f>
        <v>0</v>
      </c>
      <c r="S41" s="3188"/>
      <c r="T41" s="3188">
        <f>G41</f>
        <v>0</v>
      </c>
      <c r="U41" s="3188"/>
      <c r="V41" s="3188">
        <f>I41</f>
        <v>0</v>
      </c>
      <c r="W41" s="3188"/>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182" t="str">
        <f>A42</f>
        <v>比较价值（元/平方米）</v>
      </c>
      <c r="Q42" s="3182"/>
      <c r="R42" s="3175" t="e">
        <f>ROUND(PRODUCT(R41,AA7:AA40),0)</f>
        <v>#DIV/0!</v>
      </c>
      <c r="S42" s="3175"/>
      <c r="T42" s="3175" t="e">
        <f>ROUND(PRODUCT(T41,AB7:AB40),0)</f>
        <v>#DIV/0!</v>
      </c>
      <c r="U42" s="3175"/>
      <c r="V42" s="3175" t="e">
        <f>ROUND(PRODUCT(V41,AC7:AC40),0)</f>
        <v>#DIV/0!</v>
      </c>
      <c r="W42" s="3175"/>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176" t="str">
        <f>A43</f>
        <v>估价对象XX用房的比较价值（楼面单价，元/平方米）</v>
      </c>
      <c r="Q43" s="3177"/>
      <c r="R43" s="3178" t="e">
        <f>ROUND(AVERAGE(R42:V42),0)</f>
        <v>#DIV/0!</v>
      </c>
      <c r="S43" s="3178"/>
      <c r="T43" s="3178"/>
      <c r="U43" s="3178"/>
      <c r="V43" s="3178"/>
      <c r="W43" s="317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179" t="s">
        <v>2761</v>
      </c>
      <c r="H50" s="3180"/>
      <c r="I50" s="1816" t="s">
        <v>2798</v>
      </c>
      <c r="J50" s="1816" t="str">
        <f>项目基本情况!F35</f>
        <v>广东省</v>
      </c>
      <c r="K50" s="2710" t="s">
        <v>2763</v>
      </c>
      <c r="L50" s="1109"/>
      <c r="M50" s="1147"/>
      <c r="N50" s="1147"/>
      <c r="O50" s="1147"/>
    </row>
    <row r="51" spans="1:17" s="692" customFormat="1">
      <c r="A51" s="688" t="s">
        <v>2764</v>
      </c>
      <c r="B51" s="689" t="e">
        <f>C43</f>
        <v>#DIV/0!</v>
      </c>
      <c r="C51" s="690">
        <v>1</v>
      </c>
      <c r="D51" s="1166">
        <v>1</v>
      </c>
      <c r="E51" s="690">
        <f>'数据-汇总表'!E8+'数据-汇总表'!E9</f>
        <v>101555.9</v>
      </c>
      <c r="F51" s="691" t="e">
        <f t="shared" ref="F51:F60" si="14">ROUND(B51*E51/10000,0)</f>
        <v>#DIV/0!</v>
      </c>
      <c r="G51" s="3181"/>
      <c r="H51" s="3182"/>
      <c r="I51" s="945">
        <v>1</v>
      </c>
      <c r="J51" s="945">
        <v>1</v>
      </c>
      <c r="K51" s="1148"/>
      <c r="L51" s="944"/>
      <c r="M51" s="944"/>
      <c r="N51" s="944"/>
      <c r="O51" s="944"/>
    </row>
    <row r="52" spans="1:17" s="692" customFormat="1">
      <c r="A52" s="693" t="s">
        <v>2765</v>
      </c>
      <c r="B52" s="262" t="e">
        <f>ROUND($C$43*C52*D52,0)</f>
        <v>#DIV/0!</v>
      </c>
      <c r="C52" s="200">
        <f t="shared" ref="C52:C60" si="15">IF($C$50="北京市系数",I52,J52)</f>
        <v>0</v>
      </c>
      <c r="D52" s="1167">
        <v>0.25</v>
      </c>
      <c r="E52" s="694"/>
      <c r="F52" s="691" t="e">
        <f t="shared" si="14"/>
        <v>#DIV/0!</v>
      </c>
      <c r="G52" s="3183"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6">ROUND($C$43*C53*D53,0)</f>
        <v>#DIV/0!</v>
      </c>
      <c r="C53" s="200">
        <f t="shared" si="15"/>
        <v>0</v>
      </c>
      <c r="D53" s="1167">
        <v>0.25</v>
      </c>
      <c r="E53" s="694"/>
      <c r="F53" s="691" t="e">
        <f t="shared" si="14"/>
        <v>#DIV/0!</v>
      </c>
      <c r="G53" s="3183"/>
      <c r="H53" s="1107">
        <f>项目基本情况!B37</f>
        <v>0</v>
      </c>
      <c r="I53" s="945">
        <f>SUMIF(修正!A45:A56,H53,修正!C45:C56)</f>
        <v>0</v>
      </c>
      <c r="J53" s="946"/>
      <c r="K53" s="1148"/>
      <c r="L53" s="944"/>
      <c r="M53" s="944"/>
      <c r="N53" s="944"/>
      <c r="O53" s="944"/>
    </row>
    <row r="54" spans="1:17" s="692" customFormat="1">
      <c r="A54" s="693" t="s">
        <v>2768</v>
      </c>
      <c r="B54" s="262" t="e">
        <f t="shared" si="16"/>
        <v>#DIV/0!</v>
      </c>
      <c r="C54" s="200">
        <f t="shared" si="15"/>
        <v>0</v>
      </c>
      <c r="D54" s="1167">
        <v>0.25</v>
      </c>
      <c r="E54" s="694"/>
      <c r="F54" s="691" t="e">
        <f t="shared" si="14"/>
        <v>#DIV/0!</v>
      </c>
      <c r="G54" s="3183"/>
      <c r="H54" s="1107">
        <f>项目基本情况!B37</f>
        <v>0</v>
      </c>
      <c r="I54" s="945">
        <f>SUMIF(修正!A45:A56,H54,修正!D45:D56)</f>
        <v>0</v>
      </c>
      <c r="J54" s="946"/>
      <c r="K54" s="1147"/>
      <c r="L54" s="944"/>
      <c r="M54" s="944"/>
      <c r="N54" s="944"/>
      <c r="O54" s="944"/>
    </row>
    <row r="55" spans="1:17" s="692" customFormat="1">
      <c r="A55" s="693" t="s">
        <v>2769</v>
      </c>
      <c r="B55" s="262" t="e">
        <f t="shared" si="16"/>
        <v>#DIV/0!</v>
      </c>
      <c r="C55" s="200">
        <f t="shared" si="15"/>
        <v>0</v>
      </c>
      <c r="D55" s="1167">
        <v>0.25</v>
      </c>
      <c r="E55" s="694"/>
      <c r="F55" s="691" t="e">
        <f t="shared" si="14"/>
        <v>#DIV/0!</v>
      </c>
      <c r="G55" s="3183"/>
      <c r="H55" s="1107">
        <f>项目基本情况!B37</f>
        <v>0</v>
      </c>
      <c r="I55" s="945">
        <f>SUMIF(修正!A45:A56,H55,修正!E45:E56)</f>
        <v>0</v>
      </c>
      <c r="J55" s="946"/>
      <c r="K55" s="1148"/>
      <c r="L55" s="944"/>
      <c r="M55" s="944"/>
      <c r="N55" s="944"/>
      <c r="O55" s="944"/>
    </row>
    <row r="56" spans="1:17" s="692" customFormat="1">
      <c r="A56" s="693" t="s">
        <v>2770</v>
      </c>
      <c r="B56" s="262" t="e">
        <f t="shared" si="16"/>
        <v>#DIV/0!</v>
      </c>
      <c r="C56" s="200">
        <f t="shared" si="15"/>
        <v>0</v>
      </c>
      <c r="D56" s="1167">
        <v>0.25</v>
      </c>
      <c r="E56" s="261">
        <f>'数据-汇总表'!E11</f>
        <v>0</v>
      </c>
      <c r="F56" s="691" t="e">
        <f t="shared" si="14"/>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6"/>
        <v>#DIV/0!</v>
      </c>
      <c r="C57" s="200">
        <f t="shared" si="15"/>
        <v>0</v>
      </c>
      <c r="D57" s="1167">
        <v>0.25</v>
      </c>
      <c r="E57" s="261">
        <f>'数据-汇总表'!E12</f>
        <v>0</v>
      </c>
      <c r="F57" s="691" t="e">
        <f t="shared" si="14"/>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6"/>
        <v>#DIV/0!</v>
      </c>
      <c r="C58" s="200">
        <f t="shared" si="15"/>
        <v>0</v>
      </c>
      <c r="D58" s="1167">
        <v>0.25</v>
      </c>
      <c r="E58" s="261">
        <f>'数据-汇总表'!E13</f>
        <v>0</v>
      </c>
      <c r="F58" s="691" t="e">
        <f t="shared" si="14"/>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6"/>
        <v>#DIV/0!</v>
      </c>
      <c r="C59" s="200">
        <f t="shared" si="15"/>
        <v>0</v>
      </c>
      <c r="D59" s="1167">
        <v>0.25</v>
      </c>
      <c r="E59" s="261">
        <f>'数据-汇总表'!E14</f>
        <v>0</v>
      </c>
      <c r="F59" s="691" t="e">
        <f t="shared" si="14"/>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6"/>
        <v>#DIV/0!</v>
      </c>
      <c r="C60" s="200">
        <f t="shared" si="15"/>
        <v>0</v>
      </c>
      <c r="D60" s="1167">
        <v>0.25</v>
      </c>
      <c r="E60" s="261">
        <f>'数据-汇总表'!E15</f>
        <v>0</v>
      </c>
      <c r="F60" s="691" t="e">
        <f t="shared" si="14"/>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172253.55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2018-3-1</v>
      </c>
      <c r="D63" s="761">
        <f>EDATE(C63,-3)</f>
        <v>43070</v>
      </c>
      <c r="E63" s="761">
        <f>EDATE(D63,-3)</f>
        <v>42979</v>
      </c>
      <c r="F63" s="761">
        <f t="shared" ref="F63:O63" si="17">EDATE(E63,-3)</f>
        <v>42887</v>
      </c>
      <c r="G63" s="761">
        <f t="shared" si="17"/>
        <v>42795</v>
      </c>
      <c r="H63" s="761">
        <f t="shared" si="17"/>
        <v>42705</v>
      </c>
      <c r="I63" s="761">
        <f t="shared" si="17"/>
        <v>42614</v>
      </c>
      <c r="J63" s="761">
        <f t="shared" si="17"/>
        <v>42522</v>
      </c>
      <c r="K63" s="761">
        <f t="shared" si="17"/>
        <v>42430</v>
      </c>
      <c r="L63" s="761">
        <f t="shared" si="17"/>
        <v>42339</v>
      </c>
      <c r="M63" s="761">
        <f t="shared" si="17"/>
        <v>42248</v>
      </c>
      <c r="N63" s="761">
        <f t="shared" si="17"/>
        <v>42156</v>
      </c>
      <c r="O63" s="761">
        <f t="shared" si="17"/>
        <v>42064</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4" t="str">
        <f>YEAR(C63)&amp;"-"&amp;ROUNDUP(MONTH(C63)/3,0)</f>
        <v>2018-1</v>
      </c>
      <c r="D65" s="1574" t="str">
        <f t="shared" ref="D65:O65" si="18">YEAR(D63)&amp;"-"&amp;ROUNDUP(MONTH(D63)/3,0)</f>
        <v>2017-4</v>
      </c>
      <c r="E65" s="1574" t="str">
        <f t="shared" si="18"/>
        <v>2017-3</v>
      </c>
      <c r="F65" s="1574" t="str">
        <f t="shared" si="18"/>
        <v>2017-2</v>
      </c>
      <c r="G65" s="1574" t="str">
        <f t="shared" si="18"/>
        <v>2017-1</v>
      </c>
      <c r="H65" s="1574" t="str">
        <f t="shared" si="18"/>
        <v>2016-4</v>
      </c>
      <c r="I65" s="1574" t="str">
        <f t="shared" si="18"/>
        <v>2016-3</v>
      </c>
      <c r="J65" s="1574" t="str">
        <f t="shared" si="18"/>
        <v>2016-2</v>
      </c>
      <c r="K65" s="1574" t="str">
        <f t="shared" si="18"/>
        <v>2016-1</v>
      </c>
      <c r="L65" s="1574" t="str">
        <f t="shared" si="18"/>
        <v>2015-4</v>
      </c>
      <c r="M65" s="1574" t="str">
        <f t="shared" si="18"/>
        <v>2015-3</v>
      </c>
      <c r="N65" s="1574" t="str">
        <f t="shared" si="18"/>
        <v>2015-2</v>
      </c>
      <c r="O65" s="1574" t="str">
        <f t="shared" si="18"/>
        <v>2015-1</v>
      </c>
      <c r="P65" s="507"/>
    </row>
    <row r="66" spans="1:17" s="117" customFormat="1" ht="30.75" customHeight="1">
      <c r="A66" s="2718" t="s">
        <v>2799</v>
      </c>
      <c r="B66" s="332" t="str">
        <f>"北京市平均增长率"&amp;TEXT(基准地价修正!P24,"0.00%")</f>
        <v>北京市平均增长率1.31%</v>
      </c>
      <c r="C66" s="603">
        <v>100</v>
      </c>
      <c r="D66" s="595"/>
      <c r="E66" s="595"/>
      <c r="F66" s="595"/>
      <c r="G66" s="595"/>
      <c r="H66" s="595"/>
      <c r="I66" s="595"/>
      <c r="J66" s="595"/>
      <c r="K66" s="595"/>
      <c r="L66" s="595"/>
      <c r="M66" s="1570"/>
      <c r="N66" s="1570"/>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2788</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8" t="str">
        <f t="shared" si="24"/>
        <v>(含)-</v>
      </c>
      <c r="L107" s="1768" t="str">
        <f t="shared" si="24"/>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4" t="s">
        <v>2804</v>
      </c>
      <c r="S1" s="1604" t="s">
        <v>2805</v>
      </c>
      <c r="T1" s="1604" t="s">
        <v>2806</v>
      </c>
      <c r="U1" s="1604" t="s">
        <v>2807</v>
      </c>
      <c r="V1" s="1604" t="s">
        <v>2808</v>
      </c>
      <c r="W1" s="1608"/>
      <c r="X1" s="1608"/>
      <c r="Y1" s="1608"/>
      <c r="Z1" s="1608"/>
      <c r="AA1" s="1608"/>
      <c r="AB1" s="1608"/>
      <c r="AC1" s="1609"/>
      <c r="AD1" s="1610"/>
      <c r="AE1" s="1610"/>
      <c r="AF1" s="1610"/>
      <c r="AG1" s="1610"/>
      <c r="AH1" s="1610"/>
      <c r="AI1" s="1610"/>
      <c r="AJ1" s="1611"/>
    </row>
    <row r="2" spans="1:36" ht="15.75">
      <c r="A2" s="245" t="s">
        <v>2809</v>
      </c>
      <c r="B2" s="248" t="e">
        <f>C26</f>
        <v>#DIV/0!</v>
      </c>
      <c r="C2" s="2723" t="s">
        <v>2810</v>
      </c>
      <c r="D2" s="2724" t="s">
        <v>2811</v>
      </c>
      <c r="E2" s="2725"/>
      <c r="F2" s="2724" t="s">
        <v>2812</v>
      </c>
      <c r="G2" s="2726">
        <f>IF(E2="商业",项目基本情况!B37,IF(E2="办公",项目基本情况!C37,IF(E2="住宅",项目基本情况!D37,项目基本情况!E37)))</f>
        <v>0</v>
      </c>
      <c r="H2" s="2724" t="s">
        <v>2813</v>
      </c>
      <c r="I2" s="2726">
        <f>IF(E2="商业",项目基本情况!B38,IF(E2="办公",项目基本情况!C38,IF(E2="住宅",项目基本情况!D38,项目基本情况!E38)))</f>
        <v>0</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0.59</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7"/>
      <c r="B4" s="3278"/>
      <c r="C4" s="3278"/>
      <c r="D4" s="3279"/>
      <c r="E4" s="3279"/>
      <c r="F4" s="3279"/>
      <c r="G4" s="3279"/>
      <c r="H4" s="3279"/>
      <c r="I4" s="3279"/>
      <c r="J4" s="3280"/>
      <c r="K4" s="1373"/>
      <c r="L4" s="2728" t="s">
        <v>2822</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2823</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4"/>
      <c r="L6" s="2728" t="s">
        <v>2828</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81" t="str">
        <f>IF(E2="商业",IF(C8="不临58条商业街","",2),"")</f>
        <v/>
      </c>
      <c r="B7" s="2747" t="s">
        <v>2829</v>
      </c>
      <c r="C7" s="919" t="e">
        <f>IF(C8="不临58条商业街",1,ROUND(1+(1.6*E8+1.2*E9+0.8*E10+0.4*E11)*C9,4))</f>
        <v>#DIV/0!</v>
      </c>
      <c r="D7" s="2748" t="s">
        <v>2830</v>
      </c>
      <c r="E7" s="948"/>
      <c r="F7" s="2749"/>
      <c r="G7" s="2750"/>
      <c r="H7" s="2750"/>
      <c r="I7" s="2750"/>
      <c r="J7" s="2751"/>
      <c r="K7" s="1844"/>
      <c r="L7" s="2728" t="s">
        <v>2831</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2832</v>
      </c>
      <c r="X7" s="1606">
        <f>G2</f>
        <v>0</v>
      </c>
      <c r="Y7" s="1606" t="s">
        <v>2833</v>
      </c>
      <c r="Z7" s="1607">
        <f>G3</f>
        <v>0.59</v>
      </c>
      <c r="AA7" s="1608"/>
      <c r="AB7" s="1608"/>
      <c r="AC7" s="1609"/>
      <c r="AD7" s="1610"/>
      <c r="AE7" s="1610"/>
      <c r="AF7" s="1610"/>
      <c r="AG7" s="1610"/>
      <c r="AH7" s="1610"/>
      <c r="AI7" s="1610"/>
      <c r="AJ7" s="1611"/>
    </row>
    <row r="8" spans="1:36" ht="15">
      <c r="A8" s="3282"/>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74" t="s">
        <v>2837</v>
      </c>
      <c r="X8" s="3275"/>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282"/>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76" t="s">
        <v>2853</v>
      </c>
      <c r="X9" s="1613" t="s">
        <v>2854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2"/>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7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2"/>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76" t="s">
        <v>2861</v>
      </c>
      <c r="X11" s="1616" t="s">
        <v>2862</v>
      </c>
      <c r="Y11" s="1617">
        <f>$G$3</f>
        <v>0.59</v>
      </c>
      <c r="Z11" s="1617">
        <f t="shared" ref="Z11:AJ11" si="3">$G$3</f>
        <v>0.59</v>
      </c>
      <c r="AA11" s="1617">
        <f t="shared" si="3"/>
        <v>0.59</v>
      </c>
      <c r="AB11" s="1617">
        <f t="shared" si="3"/>
        <v>0.59</v>
      </c>
      <c r="AC11" s="1617">
        <f t="shared" si="3"/>
        <v>0.59</v>
      </c>
      <c r="AD11" s="1617">
        <f t="shared" si="3"/>
        <v>0.59</v>
      </c>
      <c r="AE11" s="1617">
        <f t="shared" si="3"/>
        <v>0.59</v>
      </c>
      <c r="AF11" s="1617">
        <f t="shared" si="3"/>
        <v>0.59</v>
      </c>
      <c r="AG11" s="1617">
        <f t="shared" si="3"/>
        <v>0.59</v>
      </c>
      <c r="AH11" s="1617">
        <f t="shared" si="3"/>
        <v>0.59</v>
      </c>
      <c r="AI11" s="1617">
        <f t="shared" si="3"/>
        <v>0.59</v>
      </c>
      <c r="AJ11" s="1617">
        <f t="shared" si="3"/>
        <v>0.59</v>
      </c>
    </row>
    <row r="12" spans="1:36" ht="25.5" thickBot="1">
      <c r="A12" s="3281"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76"/>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3"/>
      <c r="B13" s="2766" t="s">
        <v>2868</v>
      </c>
      <c r="C13" s="2767" t="s">
        <v>2869</v>
      </c>
      <c r="D13" s="1810" t="s">
        <v>2870</v>
      </c>
      <c r="E13" s="1810" t="s">
        <v>2871</v>
      </c>
      <c r="F13" s="30" t="s">
        <v>2872</v>
      </c>
      <c r="G13" s="2768" t="s">
        <v>2873</v>
      </c>
      <c r="H13" s="2768" t="s">
        <v>2873</v>
      </c>
      <c r="I13" s="2768" t="s">
        <v>2873</v>
      </c>
      <c r="J13" s="2769" t="s">
        <v>2873</v>
      </c>
      <c r="K13" s="1373"/>
      <c r="L13" s="1373"/>
      <c r="M13" s="1373"/>
      <c r="N13" s="1373"/>
      <c r="O13" s="1373"/>
      <c r="P13" s="1373"/>
      <c r="Q13" s="1373"/>
      <c r="R13" s="1604">
        <v>12</v>
      </c>
      <c r="S13" s="1605"/>
      <c r="T13" s="1604" t="e">
        <f t="shared" si="0"/>
        <v>#DIV/0!</v>
      </c>
      <c r="U13" s="1605"/>
      <c r="V13" s="1604" t="e">
        <f t="shared" si="1"/>
        <v>#DIV/0!</v>
      </c>
      <c r="W13" s="3276"/>
      <c r="X13" s="1618"/>
      <c r="Y13" s="1615">
        <f>(-0.163*(Y12^2)-0.59*Y12+7617)*(10^(-4))/Y11</f>
        <v>1.2910169491525425</v>
      </c>
      <c r="Z13" s="1615">
        <f t="shared" ref="Z13:AJ13" si="5">(-0.163*(Z12^2)-0.59*Z12+7617)*(10^(-4))/Z11</f>
        <v>1.2910169491525425</v>
      </c>
      <c r="AA13" s="1615">
        <f t="shared" si="5"/>
        <v>1.2910169491525425</v>
      </c>
      <c r="AB13" s="1615">
        <f t="shared" si="5"/>
        <v>1.2910169491525425</v>
      </c>
      <c r="AC13" s="1615">
        <f t="shared" si="5"/>
        <v>1.2910169491525425</v>
      </c>
      <c r="AD13" s="1615">
        <f t="shared" si="5"/>
        <v>1.2910169491525425</v>
      </c>
      <c r="AE13" s="1615">
        <f t="shared" si="5"/>
        <v>1.2910169491525425</v>
      </c>
      <c r="AF13" s="1615">
        <f t="shared" si="5"/>
        <v>1.2910169491525425</v>
      </c>
      <c r="AG13" s="1615">
        <f t="shared" si="5"/>
        <v>1.2910169491525425</v>
      </c>
      <c r="AH13" s="1615">
        <f t="shared" si="5"/>
        <v>1.2910169491525425</v>
      </c>
      <c r="AI13" s="1615">
        <f t="shared" si="5"/>
        <v>1.2910169491525425</v>
      </c>
      <c r="AJ13" s="1615">
        <f t="shared" si="5"/>
        <v>1.2910169491525425</v>
      </c>
    </row>
    <row r="14" spans="1:36" ht="15">
      <c r="A14" s="3283"/>
      <c r="B14" s="2770"/>
      <c r="C14" s="2771"/>
      <c r="D14" s="2772"/>
      <c r="E14" s="2772"/>
      <c r="F14" s="2773"/>
      <c r="G14" s="2774" t="s">
        <v>2874</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4"/>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2876</v>
      </c>
      <c r="N15" s="920" t="s">
        <v>2877</v>
      </c>
      <c r="O15" s="920" t="s">
        <v>2878</v>
      </c>
      <c r="P15" s="2780" t="s">
        <v>2879</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1" t="s">
        <v>2880</v>
      </c>
      <c r="B16" s="2747" t="s">
        <v>2881</v>
      </c>
      <c r="C16" s="1803" t="e">
        <f>ROUND(SUM(G17:J17)/C17,0)</f>
        <v>#DIV/0!</v>
      </c>
      <c r="D16" s="2781" t="s">
        <v>2882</v>
      </c>
      <c r="E16" s="2782"/>
      <c r="F16" s="2783"/>
      <c r="G16" s="2784"/>
      <c r="H16" s="2784"/>
      <c r="I16" s="2784"/>
      <c r="J16" s="2785"/>
      <c r="K16" s="1373"/>
      <c r="L16" s="2786" t="s">
        <v>2883</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2"/>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t="e">
        <f>ROUND(IF(H19="按公示增长率计算",SUMPRODUCT((地价!A3:A21=YEAR(G19)&amp;"-"&amp;ROUNDUP(MONTH(G19)/3,0))*(地价!X2:AB2=E2)*(地价!X3:AB21)),IF(H19="地价指数",M20/M19,(1+I19)^O19)),4)</f>
        <v>#DIV/0!</v>
      </c>
      <c r="D19" s="2799" t="s">
        <v>2890</v>
      </c>
      <c r="E19" s="928">
        <v>41640</v>
      </c>
      <c r="F19" s="2799" t="s">
        <v>2891</v>
      </c>
      <c r="G19" s="929">
        <f>'数据-取费表'!B2</f>
        <v>43180</v>
      </c>
      <c r="H19" s="2800" t="s">
        <v>2892</v>
      </c>
      <c r="I19" s="930" t="str">
        <f>IF(H19="季度增幅（自定义）",SUMIF(N21:N24,E2,O21:O24),"")</f>
        <v/>
      </c>
      <c r="J19" s="2797"/>
      <c r="K19" s="1380"/>
      <c r="L19" s="2801" t="s">
        <v>2893</v>
      </c>
      <c r="M19" s="1736">
        <f>ROUND(SUMIF(地价!B2:F2,E2,地价!B21:F21),0)</f>
        <v>0</v>
      </c>
      <c r="N19" s="2802" t="s">
        <v>2894</v>
      </c>
      <c r="O19" s="931">
        <f>ROUNDDOWN(DATEDIF(E19,G19,"M")/3,0)</f>
        <v>16</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0">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80"/>
      <c r="L20" s="2809" t="s">
        <v>2898</v>
      </c>
      <c r="M20" s="1737">
        <f>ROUND(SUMPRODUCT((地价!A4:A21=YEAR(G19)&amp;"-"&amp;ROUNDUP(MONTH(G19)/3,0))*(地价!B2:F2=E2)*(地价!B4:F21)),0)</f>
        <v>0</v>
      </c>
      <c r="N20" s="2810" t="s">
        <v>2899</v>
      </c>
      <c r="O20" s="2811" t="s">
        <v>2900</v>
      </c>
      <c r="P20" s="2812" t="s">
        <v>2901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2902</v>
      </c>
      <c r="C21" s="940">
        <f>IF(B21="容积率修正",IF(G3&lt;=10,D22,J22),C23)</f>
        <v>0</v>
      </c>
      <c r="D21" s="2815"/>
      <c r="E21" s="2815"/>
      <c r="F21" s="2815"/>
      <c r="G21" s="2815"/>
      <c r="H21" s="2815"/>
      <c r="I21" s="2815"/>
      <c r="J21" s="2816"/>
      <c r="K21" s="1380"/>
      <c r="N21" s="2817" t="s">
        <v>2903</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0" customFormat="1" ht="14.25">
      <c r="A22" s="2666" t="s">
        <v>2904</v>
      </c>
      <c r="B22" s="2818" t="s">
        <v>2905</v>
      </c>
      <c r="C22" s="1812" t="s">
        <v>2906</v>
      </c>
      <c r="D22" s="1812">
        <f>IF(E22=G22,F22,IF(G3&lt;=10,ROUND(F22+(H22-F22)*(G3-E22)/(G22-E22),4),"——"))</f>
        <v>0</v>
      </c>
      <c r="E22" s="916">
        <f>ROUNDDOWN(G3,1)</f>
        <v>0.5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7" t="s">
        <v>2907</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2910</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2911</v>
      </c>
      <c r="C24" s="927">
        <f>SUMIF(A45:A88,E2,B45:B88)</f>
        <v>0</v>
      </c>
      <c r="D24" s="2795"/>
      <c r="E24" s="2825"/>
      <c r="F24" s="2825"/>
      <c r="G24" s="2825"/>
      <c r="H24" s="2825"/>
      <c r="I24" s="2825"/>
      <c r="J24" s="2826"/>
      <c r="K24" s="1380"/>
      <c r="N24" s="2827" t="s">
        <v>2912</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2913</v>
      </c>
      <c r="C25" s="933"/>
      <c r="D25" s="2750"/>
      <c r="E25" s="2750"/>
      <c r="F25" s="2829"/>
      <c r="G25" s="2750"/>
      <c r="H25" s="2750"/>
      <c r="I25" s="2750"/>
      <c r="J25" s="2751"/>
      <c r="K25" s="1373"/>
      <c r="N25" s="2830" t="s">
        <v>2914</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1"/>
      <c r="B26" s="2818" t="s">
        <v>2915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2917</v>
      </c>
      <c r="C28" s="2842" t="s">
        <v>2918</v>
      </c>
      <c r="D28" s="2842" t="s">
        <v>2919</v>
      </c>
      <c r="E28" s="2843" t="s">
        <v>2920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2921</v>
      </c>
      <c r="C29" s="206" t="e">
        <f>ROUND(C5*C18*C19*C20*C21*C24,0)</f>
        <v>#DIV/0!</v>
      </c>
      <c r="D29" s="2847"/>
      <c r="E29" s="945" t="e">
        <f>ROUND(C29*D29/10000,0)</f>
        <v>#DIV/0!</v>
      </c>
      <c r="F29" s="2848" t="s">
        <v>2922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91" t="s">
        <v>2929</v>
      </c>
      <c r="B33" s="2863" t="s">
        <v>2930</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2"/>
      <c r="B34" s="2767" t="s">
        <v>2931</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2"/>
      <c r="B35" s="2767" t="s">
        <v>2932</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93"/>
      <c r="B36" s="2767" t="s">
        <v>2933</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2934</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3"/>
      <c r="L37" s="2866" t="s">
        <v>2935</v>
      </c>
      <c r="M37" s="2867"/>
      <c r="N37" s="1373"/>
      <c r="O37" s="1373"/>
      <c r="P37" s="1373"/>
      <c r="Q37" s="1373"/>
      <c r="R37" s="1373"/>
      <c r="S37" s="1373"/>
      <c r="T37" s="1373"/>
      <c r="U37" s="1373"/>
      <c r="V37" s="1373"/>
      <c r="W37" s="1373"/>
      <c r="X37" s="1373"/>
      <c r="Y37" s="1373"/>
      <c r="Z37" s="1374"/>
    </row>
    <row r="38" spans="1:37">
      <c r="A38" s="2865"/>
      <c r="B38" s="2767" t="s">
        <v>2936</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3"/>
      <c r="L38" s="1889" t="s">
        <v>2937</v>
      </c>
      <c r="M38" s="2868">
        <v>0.25</v>
      </c>
      <c r="N38" s="1373"/>
      <c r="O38" s="1373"/>
      <c r="P38" s="1373"/>
      <c r="Q38" s="1373"/>
      <c r="R38" s="1373"/>
      <c r="S38" s="1373"/>
      <c r="T38" s="1373"/>
      <c r="U38" s="1373"/>
      <c r="V38" s="1373"/>
      <c r="W38" s="1373"/>
      <c r="X38" s="1373"/>
      <c r="Y38" s="1373"/>
      <c r="Z38" s="1374"/>
    </row>
    <row r="39" spans="1:37" ht="13.5" thickBot="1">
      <c r="A39" s="2851"/>
      <c r="B39" s="2869" t="s">
        <v>2938</v>
      </c>
      <c r="C39" s="229" t="e">
        <f>ROUND(C5*C19*C20*C24*F39,0)</f>
        <v>#DIV/0!</v>
      </c>
      <c r="D39" s="2853"/>
      <c r="E39" s="229" t="e">
        <f t="shared" si="7"/>
        <v>#DIV/0!</v>
      </c>
      <c r="F39" s="935">
        <f>SUMIF(修正!A45:A56,G2,修正!H45:H56)</f>
        <v>0</v>
      </c>
      <c r="G39" s="229" t="e">
        <f t="shared" si="6"/>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2941</v>
      </c>
      <c r="B47" s="1811" t="s">
        <v>2942</v>
      </c>
      <c r="C47" s="1811" t="s">
        <v>2943</v>
      </c>
      <c r="D47" s="1811" t="s">
        <v>2944</v>
      </c>
      <c r="E47" s="819" t="s">
        <v>2945</v>
      </c>
      <c r="F47" s="2881" t="s">
        <v>2946</v>
      </c>
      <c r="G47" s="1811" t="s">
        <v>754</v>
      </c>
      <c r="H47" s="2882" t="s">
        <v>2947</v>
      </c>
      <c r="I47" s="1811"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0" t="s">
        <v>2949</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2950</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2951</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2952</v>
      </c>
      <c r="B51" s="2885" t="s">
        <v>2953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2954</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2955</v>
      </c>
      <c r="B53" s="2886" t="s">
        <v>2956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2957</v>
      </c>
      <c r="B54" s="1727"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2958</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2959</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2941</v>
      </c>
      <c r="B58" s="1811"/>
      <c r="C58" s="1811" t="s">
        <v>2943</v>
      </c>
      <c r="D58" s="1811" t="s">
        <v>2944</v>
      </c>
      <c r="E58" s="819" t="s">
        <v>2945</v>
      </c>
      <c r="F58" s="2881" t="s">
        <v>2961</v>
      </c>
      <c r="G58" s="1811" t="s">
        <v>754</v>
      </c>
      <c r="H58" s="2882" t="s">
        <v>2947</v>
      </c>
      <c r="I58" s="1811"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0" t="s">
        <v>2962</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2950</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2951</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2952</v>
      </c>
      <c r="B62" s="2885" t="s">
        <v>2953</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2954</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2955</v>
      </c>
      <c r="B64" s="2886" t="s">
        <v>2956</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2957</v>
      </c>
      <c r="B65" s="1727"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2958</v>
      </c>
      <c r="B66" s="1727"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2959</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2941</v>
      </c>
      <c r="B69" s="1811"/>
      <c r="C69" s="1811" t="s">
        <v>2943</v>
      </c>
      <c r="D69" s="1811" t="s">
        <v>2944</v>
      </c>
      <c r="E69" s="819" t="s">
        <v>2945</v>
      </c>
      <c r="F69" s="2881" t="s">
        <v>2961</v>
      </c>
      <c r="G69" s="1811" t="s">
        <v>754</v>
      </c>
      <c r="H69" s="2882" t="s">
        <v>2947</v>
      </c>
      <c r="I69" s="1811"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0" t="s">
        <v>2964</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2950</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2951</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2965</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2957</v>
      </c>
      <c r="B74" s="1727"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2958</v>
      </c>
      <c r="B75" s="1727"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2955</v>
      </c>
      <c r="B76" s="2886" t="s">
        <v>2956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2959</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2967</v>
      </c>
      <c r="B79" s="2877">
        <f>1+E81</f>
        <v>1</v>
      </c>
      <c r="C79" s="814"/>
      <c r="D79" s="814"/>
      <c r="E79" s="815"/>
      <c r="F79" s="2879"/>
      <c r="G79" s="6"/>
      <c r="H79" s="6"/>
      <c r="I79" s="6"/>
      <c r="J79" s="7"/>
      <c r="K79" s="7"/>
      <c r="L79" s="7"/>
      <c r="M79" s="7"/>
      <c r="N79" s="7"/>
      <c r="Z79" s="2722"/>
      <c r="AA79" s="2798"/>
      <c r="AG79" s="1375"/>
      <c r="AK79" s="2798"/>
    </row>
    <row r="80" spans="1:37" ht="24.75">
      <c r="A80" s="2880" t="s">
        <v>2941</v>
      </c>
      <c r="B80" s="1811"/>
      <c r="C80" s="1811" t="s">
        <v>2943</v>
      </c>
      <c r="D80" s="1811" t="s">
        <v>2944</v>
      </c>
      <c r="E80" s="819" t="s">
        <v>2945</v>
      </c>
      <c r="F80" s="2881" t="s">
        <v>2961</v>
      </c>
      <c r="G80" s="1811" t="s">
        <v>754</v>
      </c>
      <c r="H80" s="2882" t="s">
        <v>2947</v>
      </c>
      <c r="I80" s="1811" t="s">
        <v>2948</v>
      </c>
      <c r="J80" s="603" t="s">
        <v>2595</v>
      </c>
      <c r="K80" s="603" t="s">
        <v>2596</v>
      </c>
      <c r="L80" s="603" t="s">
        <v>2597</v>
      </c>
      <c r="M80" s="603" t="s">
        <v>2598</v>
      </c>
      <c r="N80" s="603" t="s">
        <v>2599</v>
      </c>
      <c r="Z80" s="2722"/>
      <c r="AA80" s="2798"/>
      <c r="AG80" s="1375"/>
      <c r="AK80" s="2798"/>
    </row>
    <row r="81" spans="1:37" ht="38.25">
      <c r="A81" s="2880" t="s">
        <v>2968</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2950</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2951</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2957</v>
      </c>
      <c r="B85" s="1727"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2958</v>
      </c>
      <c r="B86" s="1727"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2955</v>
      </c>
      <c r="B87" s="2886" t="s">
        <v>2969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2970</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85" t="s">
        <v>2971</v>
      </c>
      <c r="B90" s="3285"/>
      <c r="C90" s="3285"/>
      <c r="D90" s="3285"/>
      <c r="E90" s="3285"/>
      <c r="F90" s="3285"/>
      <c r="G90" s="3285"/>
      <c r="H90" s="3285"/>
      <c r="I90" s="3285"/>
      <c r="J90" s="3285"/>
      <c r="K90" s="2894"/>
      <c r="L90" s="2894"/>
      <c r="M90" s="2894"/>
      <c r="N90" s="2894"/>
    </row>
    <row r="91" spans="1:37">
      <c r="A91" s="3287" t="s">
        <v>2972</v>
      </c>
      <c r="B91" s="3287" t="s">
        <v>2973</v>
      </c>
      <c r="C91" s="2848" t="s">
        <v>2974</v>
      </c>
      <c r="D91" s="2849"/>
      <c r="E91" s="2849"/>
      <c r="F91" s="2849"/>
      <c r="G91" s="2849"/>
      <c r="H91" s="2849"/>
      <c r="I91" s="2849"/>
      <c r="J91" s="2895"/>
      <c r="K91" s="2896"/>
      <c r="L91" s="2896"/>
      <c r="M91" s="2896"/>
      <c r="N91" s="2896"/>
    </row>
    <row r="92" spans="1:37">
      <c r="A92" s="3287"/>
      <c r="B92" s="3287"/>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88"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9"/>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9"/>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9"/>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9"/>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9"/>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9"/>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90"/>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8" t="s">
        <v>2976</v>
      </c>
      <c r="B101" s="2901" t="s">
        <v>2977</v>
      </c>
      <c r="C101" s="2902">
        <f>$G$3</f>
        <v>0.59</v>
      </c>
      <c r="D101" s="2902">
        <f t="shared" ref="D101:N101" si="31">$G$3</f>
        <v>0.59</v>
      </c>
      <c r="E101" s="2902">
        <f t="shared" si="31"/>
        <v>0.59</v>
      </c>
      <c r="F101" s="2902">
        <f t="shared" si="31"/>
        <v>0.59</v>
      </c>
      <c r="G101" s="2902">
        <f t="shared" si="31"/>
        <v>0.59</v>
      </c>
      <c r="H101" s="2902">
        <f t="shared" si="31"/>
        <v>0.59</v>
      </c>
      <c r="I101" s="2902">
        <f t="shared" si="31"/>
        <v>0.59</v>
      </c>
      <c r="J101" s="2902">
        <f t="shared" si="31"/>
        <v>0.59</v>
      </c>
      <c r="K101" s="2902">
        <f t="shared" si="31"/>
        <v>0.59</v>
      </c>
      <c r="L101" s="2902">
        <f t="shared" si="31"/>
        <v>0.59</v>
      </c>
      <c r="M101" s="2902">
        <f t="shared" si="31"/>
        <v>0.59</v>
      </c>
      <c r="N101" s="2902">
        <f t="shared" si="31"/>
        <v>0.59</v>
      </c>
    </row>
    <row r="102" spans="1:14">
      <c r="A102" s="3289"/>
      <c r="B102" s="2897">
        <v>1</v>
      </c>
      <c r="C102" s="2898">
        <f>1.9362/C101</f>
        <v>3.2816949152542372</v>
      </c>
      <c r="D102" s="2898">
        <f>1.9362/D101</f>
        <v>3.2816949152542372</v>
      </c>
      <c r="E102" s="2898">
        <f>1.8629/E101</f>
        <v>3.1574576271186441</v>
      </c>
      <c r="F102" s="2898">
        <f>1.8629/F101</f>
        <v>3.1574576271186441</v>
      </c>
      <c r="G102" s="2898">
        <f>1.8629/G101</f>
        <v>3.1574576271186441</v>
      </c>
      <c r="H102" s="2898">
        <f>1.8629/H101</f>
        <v>3.1574576271186441</v>
      </c>
      <c r="I102" s="2898">
        <f>1.8629/I101</f>
        <v>3.1574576271186441</v>
      </c>
      <c r="J102" s="2898">
        <f>1.942/J101</f>
        <v>3.2915254237288138</v>
      </c>
      <c r="K102" s="2898">
        <f>1.942/K101</f>
        <v>3.2915254237288138</v>
      </c>
      <c r="L102" s="2898">
        <f>1.942/L101</f>
        <v>3.2915254237288138</v>
      </c>
      <c r="M102" s="2898">
        <f>1.942/M101</f>
        <v>3.2915254237288138</v>
      </c>
      <c r="N102" s="2898">
        <f>1.942/N101</f>
        <v>3.2915254237288138</v>
      </c>
    </row>
    <row r="103" spans="1:14">
      <c r="A103" s="3289"/>
      <c r="B103" s="2897">
        <v>2</v>
      </c>
      <c r="C103" s="2898">
        <f>1.4198/C101</f>
        <v>2.4064406779661018</v>
      </c>
      <c r="D103" s="2898">
        <f>1.4198/D101</f>
        <v>2.4064406779661018</v>
      </c>
      <c r="E103" s="2898">
        <f>1.3372/E101</f>
        <v>2.2664406779661017</v>
      </c>
      <c r="F103" s="2898">
        <f>1.3372/F101</f>
        <v>2.2664406779661017</v>
      </c>
      <c r="G103" s="2898">
        <f>1.3372/G101</f>
        <v>2.2664406779661017</v>
      </c>
      <c r="H103" s="2898">
        <f>1.3372/H101</f>
        <v>2.2664406779661017</v>
      </c>
      <c r="I103" s="2898">
        <f>1.3372/I101</f>
        <v>2.2664406779661017</v>
      </c>
      <c r="J103" s="2898">
        <f>1.2799/J101</f>
        <v>2.1693220338983052</v>
      </c>
      <c r="K103" s="2898">
        <f>1.2799/K101</f>
        <v>2.1693220338983052</v>
      </c>
      <c r="L103" s="2898">
        <f>1.2799/L101</f>
        <v>2.1693220338983052</v>
      </c>
      <c r="M103" s="2898">
        <f>1.2799/M101</f>
        <v>2.1693220338983052</v>
      </c>
      <c r="N103" s="2898">
        <f>1.2799/N101</f>
        <v>2.1693220338983052</v>
      </c>
    </row>
    <row r="104" spans="1:14">
      <c r="A104" s="3289"/>
      <c r="B104" s="2897">
        <v>3</v>
      </c>
      <c r="C104" s="2898">
        <f>1.1594/C101</f>
        <v>1.9650847457627119</v>
      </c>
      <c r="D104" s="2898">
        <f>1.1594/D101</f>
        <v>1.9650847457627119</v>
      </c>
      <c r="E104" s="2898">
        <f>1.0788/E101</f>
        <v>1.8284745762711865</v>
      </c>
      <c r="F104" s="2898">
        <f>1.0788/F101</f>
        <v>1.8284745762711865</v>
      </c>
      <c r="G104" s="2898">
        <f>1.0788/G101</f>
        <v>1.8284745762711865</v>
      </c>
      <c r="H104" s="2898">
        <f>1.0788/H101</f>
        <v>1.8284745762711865</v>
      </c>
      <c r="I104" s="2898">
        <f>1.0788/I101</f>
        <v>1.8284745762711865</v>
      </c>
      <c r="J104" s="2898">
        <f>1.0072/J101</f>
        <v>1.7071186440677968</v>
      </c>
      <c r="K104" s="2898">
        <f>1.0072/K101</f>
        <v>1.7071186440677968</v>
      </c>
      <c r="L104" s="2898">
        <f>1.0072/L101</f>
        <v>1.7071186440677968</v>
      </c>
      <c r="M104" s="2898">
        <f>1.0072/M101</f>
        <v>1.7071186440677968</v>
      </c>
      <c r="N104" s="2898">
        <f>1.0072/N101</f>
        <v>1.7071186440677968</v>
      </c>
    </row>
    <row r="105" spans="1:14">
      <c r="A105" s="3289"/>
      <c r="B105" s="2897">
        <v>4</v>
      </c>
      <c r="C105" s="2898">
        <f>0.9622/C101</f>
        <v>1.6308474576271188</v>
      </c>
      <c r="D105" s="2898">
        <f>0.9622/D101</f>
        <v>1.6308474576271188</v>
      </c>
      <c r="E105" s="2898">
        <f>0.8656/E101</f>
        <v>1.4671186440677968</v>
      </c>
      <c r="F105" s="2898">
        <f>0.8656/F101</f>
        <v>1.4671186440677968</v>
      </c>
      <c r="G105" s="2898">
        <f>0.8656/G101</f>
        <v>1.4671186440677968</v>
      </c>
      <c r="H105" s="2898">
        <f>0.8656/H101</f>
        <v>1.4671186440677968</v>
      </c>
      <c r="I105" s="2898">
        <f>0.8656/I101</f>
        <v>1.4671186440677968</v>
      </c>
      <c r="J105" s="2898">
        <f>0.7525/J101</f>
        <v>1.2754237288135593</v>
      </c>
      <c r="K105" s="2898">
        <f>0.7525/K101</f>
        <v>1.2754237288135593</v>
      </c>
      <c r="L105" s="2898">
        <f>0.7525/L101</f>
        <v>1.2754237288135593</v>
      </c>
      <c r="M105" s="2898">
        <f>0.7525/M101</f>
        <v>1.2754237288135593</v>
      </c>
      <c r="N105" s="2898">
        <f>0.7525/N101</f>
        <v>1.2754237288135593</v>
      </c>
    </row>
    <row r="106" spans="1:14">
      <c r="A106" s="3289"/>
      <c r="B106" s="2897">
        <v>5</v>
      </c>
      <c r="C106" s="2898">
        <f>0.8417/C101</f>
        <v>1.4266101694915254</v>
      </c>
      <c r="D106" s="2898">
        <f>0.8417/D101</f>
        <v>1.4266101694915254</v>
      </c>
      <c r="E106" s="2898">
        <f>0.7371/E101</f>
        <v>1.2493220338983051</v>
      </c>
      <c r="F106" s="2898">
        <f>0.7371/F101</f>
        <v>1.2493220338983051</v>
      </c>
      <c r="G106" s="2898">
        <f>0.7371/G101</f>
        <v>1.2493220338983051</v>
      </c>
      <c r="H106" s="2898">
        <f>0.7371/H101</f>
        <v>1.2493220338983051</v>
      </c>
      <c r="I106" s="2898">
        <f>0.7371/I101</f>
        <v>1.2493220338983051</v>
      </c>
      <c r="J106" s="2898">
        <f>0.5659/J101</f>
        <v>0.95915254237288139</v>
      </c>
      <c r="K106" s="2898">
        <f>0.5659/K101</f>
        <v>0.95915254237288139</v>
      </c>
      <c r="L106" s="2898">
        <f>0.5659/L101</f>
        <v>0.95915254237288139</v>
      </c>
      <c r="M106" s="2898">
        <f>0.5659/M101</f>
        <v>0.95915254237288139</v>
      </c>
      <c r="N106" s="2898">
        <f>0.5659/N101</f>
        <v>0.95915254237288139</v>
      </c>
    </row>
    <row r="107" spans="1:14">
      <c r="A107" s="3289"/>
      <c r="B107" s="2897">
        <v>6</v>
      </c>
      <c r="C107" s="2898">
        <f>0.7608/C101</f>
        <v>1.2894915254237289</v>
      </c>
      <c r="D107" s="2898">
        <f>0.7608/D101</f>
        <v>1.2894915254237289</v>
      </c>
      <c r="E107" s="2898">
        <f>0.6482/E101</f>
        <v>1.0986440677966103</v>
      </c>
      <c r="F107" s="2898">
        <f>0.6482/F101</f>
        <v>1.0986440677966103</v>
      </c>
      <c r="G107" s="2898">
        <f>0.6482/G101</f>
        <v>1.0986440677966103</v>
      </c>
      <c r="H107" s="2898">
        <f>0.6482/H101</f>
        <v>1.0986440677966103</v>
      </c>
      <c r="I107" s="2898">
        <f>0.6482/I101</f>
        <v>1.0986440677966103</v>
      </c>
      <c r="J107" s="2898">
        <f>0.4525/J101</f>
        <v>0.76694915254237295</v>
      </c>
      <c r="K107" s="2898">
        <f>0.4525/K101</f>
        <v>0.76694915254237295</v>
      </c>
      <c r="L107" s="2898">
        <f>0.4525/L101</f>
        <v>0.76694915254237295</v>
      </c>
      <c r="M107" s="2898">
        <f>0.4525/M101</f>
        <v>0.76694915254237295</v>
      </c>
      <c r="N107" s="2898">
        <f>0.4525/N101</f>
        <v>0.76694915254237295</v>
      </c>
    </row>
    <row r="108" spans="1:14">
      <c r="A108" s="3289"/>
      <c r="B108" s="3145" t="s">
        <v>2978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90"/>
      <c r="B109" s="3146"/>
      <c r="C109" s="2900">
        <f>(-0.163*(C108^2)-0.59*C108+7617)*(10^(-4))/C101</f>
        <v>1.2910169491525425</v>
      </c>
      <c r="D109" s="2900">
        <f>(-0.163*(D108^2)-0.59*D108+7617)*(10^(-4))/D101</f>
        <v>1.2910169491525425</v>
      </c>
      <c r="E109" s="2900">
        <f>(-0.161*(E108^2)-7.509*E108+6533)*(10^(-4))/E101</f>
        <v>1.1072881355932205</v>
      </c>
      <c r="F109" s="2900">
        <f>(-0.161*(F108^2)-7.509*F108+6533)*(10^(-4))/F101</f>
        <v>1.1072881355932205</v>
      </c>
      <c r="G109" s="2900">
        <f>(-0.161*(G108^2)-7.509*G108+6533)*(10^(-4))/G101</f>
        <v>1.1072881355932205</v>
      </c>
      <c r="H109" s="2900">
        <f>(-0.161*(H108^2)-7.509*H108+6533)*(10^(-4))/H101</f>
        <v>1.1072881355932205</v>
      </c>
      <c r="I109" s="2900">
        <f>(-0.161*(I108^2)-7.509*I108+6533)*(10^(-4))/I101</f>
        <v>1.1072881355932205</v>
      </c>
      <c r="J109" s="2900">
        <f>(-0.214*(J108^2)-21.991*J108+4665)*(10^(-4))/J101</f>
        <v>0.79067796610169505</v>
      </c>
      <c r="K109" s="2900">
        <f>(-0.214*(K108^2)-21.991*K108+4665)*(10^(-4))/K101</f>
        <v>0.79067796610169505</v>
      </c>
      <c r="L109" s="2900">
        <f>(-0.214*(L108^2)-21.991*L108+4665)*(10^(-4))/L101</f>
        <v>0.79067796610169505</v>
      </c>
      <c r="M109" s="2900">
        <f>(-0.214*(M108^2)-21.991*M108+4665)*(10^(-4))/M101</f>
        <v>0.79067796610169505</v>
      </c>
      <c r="N109" s="2900">
        <f>(-0.214*(N108^2)-21.991*N108+4665)*(10^(-4))/N101</f>
        <v>0.79067796610169505</v>
      </c>
    </row>
    <row r="110" spans="1:14">
      <c r="A110" s="3286" t="s">
        <v>2979</v>
      </c>
      <c r="B110" s="3286"/>
      <c r="C110" s="3286"/>
      <c r="D110" s="3286"/>
      <c r="E110" s="3286"/>
      <c r="F110" s="3286"/>
      <c r="G110" s="3286"/>
      <c r="H110" s="3286"/>
      <c r="I110" s="3286"/>
      <c r="J110" s="3286"/>
      <c r="K110" s="2903"/>
      <c r="L110" s="2903"/>
      <c r="M110" s="2903"/>
      <c r="N110" s="2903"/>
    </row>
    <row r="112" spans="1:14" ht="13.5" thickBot="1"/>
    <row r="113" spans="1:13" ht="25.5" thickBot="1">
      <c r="A113" s="903" t="s">
        <v>2980</v>
      </c>
      <c r="B113" s="1290">
        <f>G3</f>
        <v>0.59</v>
      </c>
      <c r="C113" s="904" t="s">
        <v>2981</v>
      </c>
      <c r="D113" s="905">
        <f>SUMPRODUCT((A115:A118=F113)*(B114:M114=H113)*B115:M118)</f>
        <v>0</v>
      </c>
      <c r="E113" s="2726" t="s">
        <v>2811</v>
      </c>
      <c r="F113" s="2905">
        <f>E2</f>
        <v>0</v>
      </c>
      <c r="G113" s="2726" t="s">
        <v>2812</v>
      </c>
      <c r="H113" s="2905">
        <f>G2</f>
        <v>0</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0.92800000000000005</v>
      </c>
      <c r="C115" s="910">
        <f>B115</f>
        <v>0.92800000000000005</v>
      </c>
      <c r="D115" s="910">
        <f>ROUND(0.8331-0.0109*B113,4)</f>
        <v>0.82669999999999999</v>
      </c>
      <c r="E115" s="910">
        <f>D115</f>
        <v>0.82669999999999999</v>
      </c>
      <c r="F115" s="910">
        <f>E115</f>
        <v>0.82669999999999999</v>
      </c>
      <c r="G115" s="910">
        <f>F115</f>
        <v>0.82669999999999999</v>
      </c>
      <c r="H115" s="910">
        <f>G115</f>
        <v>0.82669999999999999</v>
      </c>
      <c r="I115" s="910">
        <f>ROUND(0.689-0.0155*B113,4)</f>
        <v>0.67989999999999995</v>
      </c>
      <c r="J115" s="910">
        <f t="shared" ref="J115:M118" si="33">I115</f>
        <v>0.67989999999999995</v>
      </c>
      <c r="K115" s="910">
        <f t="shared" si="33"/>
        <v>0.67989999999999995</v>
      </c>
      <c r="L115" s="910">
        <f t="shared" si="33"/>
        <v>0.67989999999999995</v>
      </c>
      <c r="M115" s="911">
        <f t="shared" si="33"/>
        <v>0.67989999999999995</v>
      </c>
    </row>
    <row r="116" spans="1:13">
      <c r="A116" s="909" t="s">
        <v>2877</v>
      </c>
      <c r="B116" s="910">
        <f>ROUND(0.949-0.012*B113,4)</f>
        <v>0.94189999999999996</v>
      </c>
      <c r="C116" s="910">
        <f>B116</f>
        <v>0.94189999999999996</v>
      </c>
      <c r="D116" s="910">
        <f>ROUND(0.8567-0.013*B113,4)</f>
        <v>0.84899999999999998</v>
      </c>
      <c r="E116" s="910">
        <f t="shared" ref="E116:H117" si="34">D116</f>
        <v>0.84899999999999998</v>
      </c>
      <c r="F116" s="910">
        <f t="shared" si="34"/>
        <v>0.84899999999999998</v>
      </c>
      <c r="G116" s="910">
        <f t="shared" si="34"/>
        <v>0.84899999999999998</v>
      </c>
      <c r="H116" s="910">
        <f t="shared" si="34"/>
        <v>0.84899999999999998</v>
      </c>
      <c r="I116" s="910">
        <f>ROUND(0.7694-0.014*B113,4)</f>
        <v>0.7611</v>
      </c>
      <c r="J116" s="910">
        <f t="shared" si="33"/>
        <v>0.7611</v>
      </c>
      <c r="K116" s="910">
        <f t="shared" si="33"/>
        <v>0.7611</v>
      </c>
      <c r="L116" s="910">
        <f t="shared" si="33"/>
        <v>0.7611</v>
      </c>
      <c r="M116" s="911">
        <f t="shared" si="33"/>
        <v>0.7611</v>
      </c>
    </row>
    <row r="117" spans="1:13">
      <c r="A117" s="909" t="s">
        <v>2878</v>
      </c>
      <c r="B117" s="910">
        <f>ROUND(0.8808-0.006*B113,4)</f>
        <v>0.87729999999999997</v>
      </c>
      <c r="C117" s="910">
        <f>B117</f>
        <v>0.87729999999999997</v>
      </c>
      <c r="D117" s="910">
        <f>ROUND(0.8748-0.008*B113,4)</f>
        <v>0.87009999999999998</v>
      </c>
      <c r="E117" s="910">
        <f t="shared" si="34"/>
        <v>0.87009999999999998</v>
      </c>
      <c r="F117" s="910">
        <f t="shared" si="34"/>
        <v>0.87009999999999998</v>
      </c>
      <c r="G117" s="910">
        <f t="shared" si="34"/>
        <v>0.87009999999999998</v>
      </c>
      <c r="H117" s="910">
        <f t="shared" si="34"/>
        <v>0.87009999999999998</v>
      </c>
      <c r="I117" s="910">
        <f>ROUND(0.7412-0.0095*B113,4)</f>
        <v>0.73560000000000003</v>
      </c>
      <c r="J117" s="910">
        <f t="shared" si="33"/>
        <v>0.73560000000000003</v>
      </c>
      <c r="K117" s="910">
        <f t="shared" si="33"/>
        <v>0.73560000000000003</v>
      </c>
      <c r="L117" s="910">
        <f t="shared" si="33"/>
        <v>0.73560000000000003</v>
      </c>
      <c r="M117" s="911">
        <f t="shared" si="33"/>
        <v>0.73560000000000003</v>
      </c>
    </row>
    <row r="118" spans="1:13" ht="13.5" thickBot="1">
      <c r="A118" s="714" t="s">
        <v>2879</v>
      </c>
      <c r="B118" s="912">
        <f>ROUND(0.7275-0.01*B113,4)</f>
        <v>0.72160000000000002</v>
      </c>
      <c r="C118" s="912">
        <f>B118</f>
        <v>0.72160000000000002</v>
      </c>
      <c r="D118" s="912">
        <f>ROUND(0.7043-0.012*B113,4)</f>
        <v>0.69720000000000004</v>
      </c>
      <c r="E118" s="912">
        <f>D118</f>
        <v>0.69720000000000004</v>
      </c>
      <c r="F118" s="912">
        <f>E118</f>
        <v>0.69720000000000004</v>
      </c>
      <c r="G118" s="912">
        <f>ROUND(0.6299-0.0122*B113,4)</f>
        <v>0.62270000000000003</v>
      </c>
      <c r="H118" s="912">
        <f>G118</f>
        <v>0.62270000000000003</v>
      </c>
      <c r="I118" s="912">
        <f>ROUND(0.5667-0.0136*B113,4)</f>
        <v>0.55869999999999997</v>
      </c>
      <c r="J118" s="912">
        <f t="shared" si="33"/>
        <v>0.55869999999999997</v>
      </c>
      <c r="K118" s="912">
        <f t="shared" si="33"/>
        <v>0.55869999999999997</v>
      </c>
      <c r="L118" s="912">
        <f t="shared" si="33"/>
        <v>0.55869999999999997</v>
      </c>
      <c r="M118" s="913">
        <f t="shared" si="33"/>
        <v>0.55869999999999997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4" t="s">
        <v>183</v>
      </c>
      <c r="B18" s="882" t="s">
        <v>560</v>
      </c>
      <c r="C18" s="883" t="s">
        <v>561</v>
      </c>
      <c r="D18" s="884"/>
      <c r="E18" s="882">
        <v>1</v>
      </c>
      <c r="F18" s="885" t="s">
        <v>562</v>
      </c>
      <c r="G18" s="886"/>
      <c r="H18" s="878"/>
      <c r="I18" s="878"/>
    </row>
    <row r="19" spans="1:9" s="887" customFormat="1" ht="19.5" customHeight="1">
      <c r="A19" s="3294"/>
      <c r="B19" s="3294" t="s">
        <v>563</v>
      </c>
      <c r="C19" s="883" t="s">
        <v>564</v>
      </c>
      <c r="D19" s="884"/>
      <c r="E19" s="882">
        <v>0.9</v>
      </c>
      <c r="F19" s="885" t="s">
        <v>565</v>
      </c>
      <c r="G19" s="886"/>
      <c r="H19" s="878"/>
      <c r="I19" s="878"/>
    </row>
    <row r="20" spans="1:9" s="887" customFormat="1" ht="19.5" customHeight="1">
      <c r="A20" s="3294"/>
      <c r="B20" s="3294"/>
      <c r="C20" s="883" t="s">
        <v>566</v>
      </c>
      <c r="D20" s="884"/>
      <c r="E20" s="882">
        <v>1.1000000000000001</v>
      </c>
      <c r="F20" s="885" t="s">
        <v>567</v>
      </c>
      <c r="G20" s="886"/>
      <c r="H20" s="878"/>
      <c r="I20" s="878"/>
    </row>
    <row r="21" spans="1:9" s="887" customFormat="1" ht="19.5" customHeight="1">
      <c r="A21" s="3294"/>
      <c r="B21" s="3294"/>
      <c r="C21" s="883" t="s">
        <v>568</v>
      </c>
      <c r="D21" s="884"/>
      <c r="E21" s="882">
        <v>0.8</v>
      </c>
      <c r="F21" s="885" t="s">
        <v>569</v>
      </c>
      <c r="G21" s="886"/>
      <c r="H21" s="878"/>
      <c r="I21" s="878"/>
    </row>
    <row r="22" spans="1:9" s="887" customFormat="1" ht="19.5" customHeight="1">
      <c r="A22" s="3294"/>
      <c r="B22" s="3294"/>
      <c r="C22" s="883" t="s">
        <v>570</v>
      </c>
      <c r="D22" s="884"/>
      <c r="E22" s="882">
        <v>0.5</v>
      </c>
      <c r="F22" s="885"/>
      <c r="G22" s="886"/>
      <c r="H22" s="878"/>
      <c r="I22" s="878"/>
    </row>
    <row r="23" spans="1:9" s="887" customFormat="1" ht="19.5" customHeight="1">
      <c r="A23" s="3294" t="s">
        <v>184</v>
      </c>
      <c r="B23" s="882" t="s">
        <v>560</v>
      </c>
      <c r="C23" s="883" t="s">
        <v>571</v>
      </c>
      <c r="D23" s="884"/>
      <c r="E23" s="882">
        <v>1</v>
      </c>
      <c r="F23" s="885" t="s">
        <v>572</v>
      </c>
      <c r="G23" s="886"/>
      <c r="H23" s="878"/>
      <c r="I23" s="878"/>
    </row>
    <row r="24" spans="1:9" s="887" customFormat="1" ht="19.5" customHeight="1">
      <c r="A24" s="3294"/>
      <c r="B24" s="3294" t="s">
        <v>563</v>
      </c>
      <c r="C24" s="883" t="s">
        <v>573</v>
      </c>
      <c r="D24" s="884"/>
      <c r="E24" s="882">
        <v>0.5</v>
      </c>
      <c r="F24" s="885"/>
      <c r="G24" s="886"/>
      <c r="H24" s="878"/>
      <c r="I24" s="878"/>
    </row>
    <row r="25" spans="1:9" s="887" customFormat="1" ht="19.5" customHeight="1">
      <c r="A25" s="3294"/>
      <c r="B25" s="3294"/>
      <c r="C25" s="883" t="s">
        <v>574</v>
      </c>
      <c r="D25" s="884"/>
      <c r="E25" s="882">
        <v>1.1000000000000001</v>
      </c>
      <c r="F25" s="885"/>
      <c r="G25" s="886"/>
      <c r="H25" s="878"/>
      <c r="I25" s="878"/>
    </row>
    <row r="26" spans="1:9" s="887" customFormat="1" ht="19.5" customHeight="1">
      <c r="A26" s="3294"/>
      <c r="B26" s="3294"/>
      <c r="C26" s="883" t="s">
        <v>575</v>
      </c>
      <c r="D26" s="884"/>
      <c r="E26" s="882">
        <v>1.1000000000000001</v>
      </c>
      <c r="F26" s="885"/>
      <c r="G26" s="886"/>
      <c r="H26" s="878"/>
      <c r="I26" s="878"/>
    </row>
    <row r="27" spans="1:9" s="887" customFormat="1" ht="19.5" customHeight="1">
      <c r="A27" s="3294"/>
      <c r="B27" s="3294"/>
      <c r="C27" s="883" t="s">
        <v>576</v>
      </c>
      <c r="D27" s="884"/>
      <c r="E27" s="882">
        <v>0.9</v>
      </c>
      <c r="F27" s="885" t="s">
        <v>577</v>
      </c>
      <c r="G27" s="886"/>
      <c r="H27" s="878"/>
      <c r="I27" s="878"/>
    </row>
    <row r="28" spans="1:9" s="887" customFormat="1" ht="19.5" customHeight="1">
      <c r="A28" s="3294"/>
      <c r="B28" s="3294"/>
      <c r="C28" s="883" t="s">
        <v>578</v>
      </c>
      <c r="D28" s="884"/>
      <c r="E28" s="882">
        <v>0.9</v>
      </c>
      <c r="F28" s="885" t="s">
        <v>579</v>
      </c>
      <c r="G28" s="886"/>
      <c r="H28" s="878"/>
      <c r="I28" s="878"/>
    </row>
    <row r="29" spans="1:9" s="887" customFormat="1" ht="19.5" customHeight="1">
      <c r="A29" s="3294"/>
      <c r="B29" s="3294"/>
      <c r="C29" s="883" t="s">
        <v>580</v>
      </c>
      <c r="D29" s="884"/>
      <c r="E29" s="882">
        <v>0.9</v>
      </c>
      <c r="F29" s="885" t="s">
        <v>581</v>
      </c>
      <c r="G29" s="886"/>
      <c r="H29" s="878"/>
      <c r="I29" s="878"/>
    </row>
    <row r="30" spans="1:9" s="887" customFormat="1" ht="19.5" customHeight="1">
      <c r="A30" s="3294"/>
      <c r="B30" s="3294"/>
      <c r="C30" s="883" t="s">
        <v>582</v>
      </c>
      <c r="D30" s="884"/>
      <c r="E30" s="882">
        <v>0.9</v>
      </c>
      <c r="F30" s="885" t="s">
        <v>583</v>
      </c>
      <c r="G30" s="886"/>
      <c r="H30" s="878"/>
      <c r="I30" s="878"/>
    </row>
    <row r="31" spans="1:9" s="887" customFormat="1" ht="19.5" customHeight="1">
      <c r="A31" s="3294"/>
      <c r="B31" s="3294"/>
      <c r="C31" s="883" t="s">
        <v>584</v>
      </c>
      <c r="D31" s="884"/>
      <c r="E31" s="882">
        <v>0.8</v>
      </c>
      <c r="F31" s="885" t="s">
        <v>585</v>
      </c>
      <c r="G31" s="886"/>
      <c r="H31" s="878"/>
      <c r="I31" s="878"/>
    </row>
    <row r="32" spans="1:9" s="887" customFormat="1" ht="19.5" customHeight="1">
      <c r="A32" s="3294"/>
      <c r="B32" s="3294"/>
      <c r="C32" s="883" t="s">
        <v>586</v>
      </c>
      <c r="D32" s="884"/>
      <c r="E32" s="882">
        <v>0.8</v>
      </c>
      <c r="F32" s="885" t="s">
        <v>587</v>
      </c>
      <c r="G32" s="886"/>
      <c r="H32" s="878"/>
      <c r="I32" s="878"/>
    </row>
    <row r="33" spans="1:9" s="887" customFormat="1" ht="19.5" customHeight="1">
      <c r="A33" s="3294" t="s">
        <v>185</v>
      </c>
      <c r="B33" s="882" t="s">
        <v>560</v>
      </c>
      <c r="C33" s="883" t="s">
        <v>588</v>
      </c>
      <c r="D33" s="884"/>
      <c r="E33" s="882">
        <v>1</v>
      </c>
      <c r="F33" s="885" t="s">
        <v>589</v>
      </c>
      <c r="G33" s="886"/>
      <c r="H33" s="878"/>
      <c r="I33" s="878"/>
    </row>
    <row r="34" spans="1:9" s="887" customFormat="1" ht="19.5" customHeight="1">
      <c r="A34" s="3294"/>
      <c r="B34" s="882" t="s">
        <v>563</v>
      </c>
      <c r="C34" s="883" t="s">
        <v>590</v>
      </c>
      <c r="D34" s="884"/>
      <c r="E34" s="882">
        <v>1.5</v>
      </c>
      <c r="F34" s="885" t="s">
        <v>591</v>
      </c>
      <c r="G34" s="886"/>
      <c r="H34" s="878"/>
      <c r="I34" s="878"/>
    </row>
    <row r="35" spans="1:9" s="887" customFormat="1" ht="19.5" customHeight="1">
      <c r="A35" s="3294" t="s">
        <v>186</v>
      </c>
      <c r="B35" s="882" t="s">
        <v>560</v>
      </c>
      <c r="C35" s="883" t="s">
        <v>592</v>
      </c>
      <c r="D35" s="884"/>
      <c r="E35" s="882">
        <v>1</v>
      </c>
      <c r="F35" s="885" t="s">
        <v>593</v>
      </c>
      <c r="G35" s="886"/>
      <c r="H35" s="878"/>
      <c r="I35" s="878"/>
    </row>
    <row r="36" spans="1:9" s="887" customFormat="1" ht="19.5" customHeight="1">
      <c r="A36" s="3294"/>
      <c r="B36" s="3294" t="s">
        <v>563</v>
      </c>
      <c r="C36" s="883" t="s">
        <v>594</v>
      </c>
      <c r="D36" s="884"/>
      <c r="E36" s="882">
        <v>1</v>
      </c>
      <c r="F36" s="885" t="s">
        <v>595</v>
      </c>
      <c r="G36" s="886"/>
      <c r="H36" s="878"/>
      <c r="I36" s="878"/>
    </row>
    <row r="37" spans="1:9" s="887" customFormat="1" ht="19.5" customHeight="1">
      <c r="A37" s="3294"/>
      <c r="B37" s="3294"/>
      <c r="C37" s="883" t="s">
        <v>596</v>
      </c>
      <c r="D37" s="884"/>
      <c r="E37" s="882">
        <v>1.5</v>
      </c>
      <c r="F37" s="885" t="s">
        <v>597</v>
      </c>
      <c r="G37" s="886"/>
      <c r="H37" s="878"/>
      <c r="I37" s="878"/>
    </row>
    <row r="38" spans="1:9" s="887" customFormat="1" ht="19.5" customHeight="1">
      <c r="A38" s="3294"/>
      <c r="B38" s="3294"/>
      <c r="C38" s="883" t="s">
        <v>598</v>
      </c>
      <c r="D38" s="884"/>
      <c r="E38" s="882">
        <v>1</v>
      </c>
      <c r="F38" s="885" t="s">
        <v>599</v>
      </c>
      <c r="G38" s="886"/>
      <c r="H38" s="878"/>
      <c r="I38" s="878"/>
    </row>
    <row r="39" spans="1:9" s="887" customFormat="1" ht="19.5" customHeight="1">
      <c r="A39" s="3294"/>
      <c r="B39" s="329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4" t="s">
        <v>614</v>
      </c>
      <c r="C61" s="818" t="s">
        <v>615</v>
      </c>
      <c r="D61" s="818" t="s">
        <v>616</v>
      </c>
      <c r="E61" s="895">
        <v>0.5</v>
      </c>
      <c r="F61" s="882">
        <v>80</v>
      </c>
    </row>
    <row r="62" spans="1:8" s="878" customFormat="1" ht="24">
      <c r="A62" s="882">
        <v>2</v>
      </c>
      <c r="B62" s="3294"/>
      <c r="C62" s="818" t="s">
        <v>617</v>
      </c>
      <c r="D62" s="818" t="s">
        <v>618</v>
      </c>
      <c r="E62" s="895">
        <v>0.5</v>
      </c>
      <c r="F62" s="882">
        <v>80</v>
      </c>
    </row>
    <row r="63" spans="1:8" s="878" customFormat="1" ht="36">
      <c r="A63" s="882">
        <v>3</v>
      </c>
      <c r="B63" s="3294"/>
      <c r="C63" s="818" t="s">
        <v>619</v>
      </c>
      <c r="D63" s="818" t="s">
        <v>620</v>
      </c>
      <c r="E63" s="895">
        <v>0.5</v>
      </c>
      <c r="F63" s="882">
        <v>80</v>
      </c>
    </row>
    <row r="64" spans="1:8" s="878" customFormat="1" ht="36">
      <c r="A64" s="882">
        <v>4</v>
      </c>
      <c r="B64" s="3294"/>
      <c r="C64" s="818" t="s">
        <v>621</v>
      </c>
      <c r="D64" s="818" t="s">
        <v>622</v>
      </c>
      <c r="E64" s="895">
        <v>0.4</v>
      </c>
      <c r="F64" s="882">
        <v>60</v>
      </c>
    </row>
    <row r="65" spans="1:6" s="878" customFormat="1" ht="36">
      <c r="A65" s="882">
        <v>5</v>
      </c>
      <c r="B65" s="3294"/>
      <c r="C65" s="818" t="s">
        <v>623</v>
      </c>
      <c r="D65" s="818" t="s">
        <v>624</v>
      </c>
      <c r="E65" s="895">
        <v>0.2</v>
      </c>
      <c r="F65" s="882">
        <v>30</v>
      </c>
    </row>
    <row r="66" spans="1:6" s="878" customFormat="1" ht="36">
      <c r="A66" s="882">
        <v>6</v>
      </c>
      <c r="B66" s="3294"/>
      <c r="C66" s="818" t="s">
        <v>625</v>
      </c>
      <c r="D66" s="818" t="s">
        <v>626</v>
      </c>
      <c r="E66" s="895">
        <v>0.3</v>
      </c>
      <c r="F66" s="882">
        <v>50</v>
      </c>
    </row>
    <row r="67" spans="1:6" s="878" customFormat="1" ht="36">
      <c r="A67" s="882">
        <v>7</v>
      </c>
      <c r="B67" s="3294"/>
      <c r="C67" s="818" t="s">
        <v>627</v>
      </c>
      <c r="D67" s="818" t="s">
        <v>628</v>
      </c>
      <c r="E67" s="895">
        <v>0.2</v>
      </c>
      <c r="F67" s="882">
        <v>30</v>
      </c>
    </row>
    <row r="68" spans="1:6" s="878" customFormat="1" ht="36">
      <c r="A68" s="882">
        <v>8</v>
      </c>
      <c r="B68" s="3294"/>
      <c r="C68" s="818" t="s">
        <v>629</v>
      </c>
      <c r="D68" s="818" t="s">
        <v>630</v>
      </c>
      <c r="E68" s="895">
        <v>0.2</v>
      </c>
      <c r="F68" s="882">
        <v>30</v>
      </c>
    </row>
    <row r="69" spans="1:6" s="878" customFormat="1" ht="36">
      <c r="A69" s="882">
        <v>9</v>
      </c>
      <c r="B69" s="3294"/>
      <c r="C69" s="818" t="s">
        <v>631</v>
      </c>
      <c r="D69" s="818" t="s">
        <v>632</v>
      </c>
      <c r="E69" s="895">
        <v>0.2</v>
      </c>
      <c r="F69" s="882">
        <v>30</v>
      </c>
    </row>
    <row r="70" spans="1:6" s="878" customFormat="1" ht="48">
      <c r="A70" s="882">
        <v>10</v>
      </c>
      <c r="B70" s="3294"/>
      <c r="C70" s="818" t="s">
        <v>633</v>
      </c>
      <c r="D70" s="818" t="s">
        <v>634</v>
      </c>
      <c r="E70" s="895">
        <v>0.2</v>
      </c>
      <c r="F70" s="882">
        <v>30</v>
      </c>
    </row>
    <row r="71" spans="1:6" s="878" customFormat="1" ht="48">
      <c r="A71" s="882">
        <v>11</v>
      </c>
      <c r="B71" s="3294"/>
      <c r="C71" s="818" t="s">
        <v>635</v>
      </c>
      <c r="D71" s="818" t="s">
        <v>636</v>
      </c>
      <c r="E71" s="895">
        <v>0.2</v>
      </c>
      <c r="F71" s="882">
        <v>30</v>
      </c>
    </row>
    <row r="72" spans="1:6" s="878" customFormat="1" ht="36">
      <c r="A72" s="882">
        <v>12</v>
      </c>
      <c r="B72" s="3294"/>
      <c r="C72" s="818" t="s">
        <v>637</v>
      </c>
      <c r="D72" s="818" t="s">
        <v>638</v>
      </c>
      <c r="E72" s="895">
        <v>0.5</v>
      </c>
      <c r="F72" s="882">
        <v>80</v>
      </c>
    </row>
    <row r="73" spans="1:6" s="878" customFormat="1" ht="24">
      <c r="A73" s="882">
        <v>13</v>
      </c>
      <c r="B73" s="3294"/>
      <c r="C73" s="818" t="s">
        <v>639</v>
      </c>
      <c r="D73" s="818" t="s">
        <v>640</v>
      </c>
      <c r="E73" s="895">
        <v>0.4</v>
      </c>
      <c r="F73" s="882">
        <v>60</v>
      </c>
    </row>
    <row r="74" spans="1:6" s="878" customFormat="1" ht="24">
      <c r="A74" s="882">
        <v>14</v>
      </c>
      <c r="B74" s="3294"/>
      <c r="C74" s="818" t="s">
        <v>641</v>
      </c>
      <c r="D74" s="818" t="s">
        <v>642</v>
      </c>
      <c r="E74" s="895">
        <v>0.2</v>
      </c>
      <c r="F74" s="882">
        <v>30</v>
      </c>
    </row>
    <row r="75" spans="1:6" s="878" customFormat="1" ht="24">
      <c r="A75" s="882">
        <v>15</v>
      </c>
      <c r="B75" s="3294"/>
      <c r="C75" s="818" t="s">
        <v>643</v>
      </c>
      <c r="D75" s="818" t="s">
        <v>644</v>
      </c>
      <c r="E75" s="895">
        <v>0.2</v>
      </c>
      <c r="F75" s="882">
        <v>30</v>
      </c>
    </row>
    <row r="76" spans="1:6" s="878" customFormat="1" ht="24">
      <c r="A76" s="882">
        <v>16</v>
      </c>
      <c r="B76" s="3294" t="s">
        <v>645</v>
      </c>
      <c r="C76" s="818" t="s">
        <v>646</v>
      </c>
      <c r="D76" s="818" t="s">
        <v>647</v>
      </c>
      <c r="E76" s="895">
        <v>0.5</v>
      </c>
      <c r="F76" s="882">
        <v>80</v>
      </c>
    </row>
    <row r="77" spans="1:6" s="878" customFormat="1" ht="24">
      <c r="A77" s="882">
        <v>17</v>
      </c>
      <c r="B77" s="3294"/>
      <c r="C77" s="818" t="s">
        <v>648</v>
      </c>
      <c r="D77" s="818" t="s">
        <v>649</v>
      </c>
      <c r="E77" s="895">
        <v>0.5</v>
      </c>
      <c r="F77" s="882">
        <v>80</v>
      </c>
    </row>
    <row r="78" spans="1:6" s="878" customFormat="1" ht="24">
      <c r="A78" s="882">
        <v>18</v>
      </c>
      <c r="B78" s="3294"/>
      <c r="C78" s="818" t="s">
        <v>650</v>
      </c>
      <c r="D78" s="818" t="s">
        <v>651</v>
      </c>
      <c r="E78" s="895">
        <v>0.2</v>
      </c>
      <c r="F78" s="882">
        <v>30</v>
      </c>
    </row>
    <row r="79" spans="1:6" s="878" customFormat="1" ht="24">
      <c r="A79" s="882">
        <v>19</v>
      </c>
      <c r="B79" s="3294"/>
      <c r="C79" s="818" t="s">
        <v>652</v>
      </c>
      <c r="D79" s="818" t="s">
        <v>653</v>
      </c>
      <c r="E79" s="895">
        <v>0.5</v>
      </c>
      <c r="F79" s="882">
        <v>80</v>
      </c>
    </row>
    <row r="80" spans="1:6" s="878" customFormat="1" ht="36">
      <c r="A80" s="882">
        <v>20</v>
      </c>
      <c r="B80" s="3294"/>
      <c r="C80" s="818" t="s">
        <v>654</v>
      </c>
      <c r="D80" s="818" t="s">
        <v>655</v>
      </c>
      <c r="E80" s="895">
        <v>0.2</v>
      </c>
      <c r="F80" s="882">
        <v>30</v>
      </c>
    </row>
    <row r="81" spans="1:6" s="878" customFormat="1" ht="36">
      <c r="A81" s="882">
        <v>21</v>
      </c>
      <c r="B81" s="3294"/>
      <c r="C81" s="818" t="s">
        <v>656</v>
      </c>
      <c r="D81" s="818" t="s">
        <v>657</v>
      </c>
      <c r="E81" s="895">
        <v>0.2</v>
      </c>
      <c r="F81" s="882">
        <v>30</v>
      </c>
    </row>
    <row r="82" spans="1:6" s="878" customFormat="1" ht="48">
      <c r="A82" s="882">
        <v>22</v>
      </c>
      <c r="B82" s="3294"/>
      <c r="C82" s="818" t="s">
        <v>658</v>
      </c>
      <c r="D82" s="818" t="s">
        <v>659</v>
      </c>
      <c r="E82" s="895">
        <v>0.2</v>
      </c>
      <c r="F82" s="882">
        <v>30</v>
      </c>
    </row>
    <row r="83" spans="1:6" s="878" customFormat="1" ht="48">
      <c r="A83" s="882">
        <v>23</v>
      </c>
      <c r="B83" s="3294"/>
      <c r="C83" s="818" t="s">
        <v>660</v>
      </c>
      <c r="D83" s="818" t="s">
        <v>661</v>
      </c>
      <c r="E83" s="895">
        <v>0.2</v>
      </c>
      <c r="F83" s="882">
        <v>30</v>
      </c>
    </row>
    <row r="84" spans="1:6" s="878" customFormat="1" ht="36">
      <c r="A84" s="882">
        <v>24</v>
      </c>
      <c r="B84" s="3294"/>
      <c r="C84" s="818" t="s">
        <v>662</v>
      </c>
      <c r="D84" s="818" t="s">
        <v>663</v>
      </c>
      <c r="E84" s="895">
        <v>0.2</v>
      </c>
      <c r="F84" s="882">
        <v>30</v>
      </c>
    </row>
    <row r="85" spans="1:6" s="878" customFormat="1" ht="36">
      <c r="A85" s="882">
        <v>25</v>
      </c>
      <c r="B85" s="3294"/>
      <c r="C85" s="818" t="s">
        <v>664</v>
      </c>
      <c r="D85" s="818" t="s">
        <v>665</v>
      </c>
      <c r="E85" s="895">
        <v>0.5</v>
      </c>
      <c r="F85" s="882">
        <v>80</v>
      </c>
    </row>
    <row r="86" spans="1:6" s="878" customFormat="1" ht="36">
      <c r="A86" s="882">
        <v>26</v>
      </c>
      <c r="B86" s="3294"/>
      <c r="C86" s="818" t="s">
        <v>666</v>
      </c>
      <c r="D86" s="818" t="s">
        <v>667</v>
      </c>
      <c r="E86" s="895">
        <v>0.2</v>
      </c>
      <c r="F86" s="882">
        <v>30</v>
      </c>
    </row>
    <row r="87" spans="1:6" s="878" customFormat="1" ht="36">
      <c r="A87" s="882">
        <v>27</v>
      </c>
      <c r="B87" s="3294"/>
      <c r="C87" s="818" t="s">
        <v>668</v>
      </c>
      <c r="D87" s="818" t="s">
        <v>669</v>
      </c>
      <c r="E87" s="895">
        <v>0.2</v>
      </c>
      <c r="F87" s="882">
        <v>30</v>
      </c>
    </row>
    <row r="88" spans="1:6" s="878" customFormat="1" ht="36">
      <c r="A88" s="882">
        <v>28</v>
      </c>
      <c r="B88" s="3294"/>
      <c r="C88" s="818" t="s">
        <v>670</v>
      </c>
      <c r="D88" s="818" t="s">
        <v>671</v>
      </c>
      <c r="E88" s="895">
        <v>0.2</v>
      </c>
      <c r="F88" s="882">
        <v>30</v>
      </c>
    </row>
    <row r="89" spans="1:6" s="878" customFormat="1" ht="24">
      <c r="A89" s="882">
        <v>29</v>
      </c>
      <c r="B89" s="3294"/>
      <c r="C89" s="818" t="s">
        <v>672</v>
      </c>
      <c r="D89" s="818" t="s">
        <v>673</v>
      </c>
      <c r="E89" s="895">
        <v>0.2</v>
      </c>
      <c r="F89" s="882">
        <v>30</v>
      </c>
    </row>
    <row r="90" spans="1:6" s="878" customFormat="1" ht="24">
      <c r="A90" s="882">
        <v>30</v>
      </c>
      <c r="B90" s="3294"/>
      <c r="C90" s="818" t="s">
        <v>674</v>
      </c>
      <c r="D90" s="818" t="s">
        <v>675</v>
      </c>
      <c r="E90" s="895">
        <v>0.2</v>
      </c>
      <c r="F90" s="882">
        <v>30</v>
      </c>
    </row>
    <row r="91" spans="1:6" s="878" customFormat="1" ht="36">
      <c r="A91" s="882">
        <v>31</v>
      </c>
      <c r="B91" s="3294"/>
      <c r="C91" s="818" t="s">
        <v>676</v>
      </c>
      <c r="D91" s="818" t="s">
        <v>677</v>
      </c>
      <c r="E91" s="895">
        <v>0.2</v>
      </c>
      <c r="F91" s="882">
        <v>30</v>
      </c>
    </row>
    <row r="92" spans="1:6" s="878" customFormat="1" ht="24">
      <c r="A92" s="882">
        <v>32</v>
      </c>
      <c r="B92" s="3294" t="s">
        <v>678</v>
      </c>
      <c r="C92" s="882" t="s">
        <v>679</v>
      </c>
      <c r="D92" s="818" t="s">
        <v>680</v>
      </c>
      <c r="E92" s="895">
        <v>0.2</v>
      </c>
      <c r="F92" s="882">
        <v>30</v>
      </c>
    </row>
    <row r="93" spans="1:6" s="878" customFormat="1" ht="36">
      <c r="A93" s="882">
        <v>33</v>
      </c>
      <c r="B93" s="3294"/>
      <c r="C93" s="882" t="s">
        <v>681</v>
      </c>
      <c r="D93" s="818" t="s">
        <v>682</v>
      </c>
      <c r="E93" s="895">
        <v>0.2</v>
      </c>
      <c r="F93" s="882">
        <v>30</v>
      </c>
    </row>
    <row r="94" spans="1:6" s="878" customFormat="1" ht="48">
      <c r="A94" s="882">
        <v>34</v>
      </c>
      <c r="B94" s="3294"/>
      <c r="C94" s="882" t="s">
        <v>683</v>
      </c>
      <c r="D94" s="818" t="s">
        <v>684</v>
      </c>
      <c r="E94" s="895">
        <v>0.2</v>
      </c>
      <c r="F94" s="882">
        <v>30</v>
      </c>
    </row>
    <row r="95" spans="1:6" s="878" customFormat="1" ht="36">
      <c r="A95" s="882">
        <v>35</v>
      </c>
      <c r="B95" s="3294"/>
      <c r="C95" s="882" t="s">
        <v>685</v>
      </c>
      <c r="D95" s="818" t="s">
        <v>686</v>
      </c>
      <c r="E95" s="895">
        <v>0.2</v>
      </c>
      <c r="F95" s="882">
        <v>30</v>
      </c>
    </row>
    <row r="96" spans="1:6" s="878" customFormat="1" ht="48">
      <c r="A96" s="882">
        <v>36</v>
      </c>
      <c r="B96" s="3294"/>
      <c r="C96" s="818" t="s">
        <v>687</v>
      </c>
      <c r="D96" s="818" t="s">
        <v>688</v>
      </c>
      <c r="E96" s="895">
        <v>0.2</v>
      </c>
      <c r="F96" s="882">
        <v>30</v>
      </c>
    </row>
    <row r="97" spans="1:6" s="878" customFormat="1" ht="36">
      <c r="A97" s="882">
        <v>37</v>
      </c>
      <c r="B97" s="3294"/>
      <c r="C97" s="882" t="s">
        <v>689</v>
      </c>
      <c r="D97" s="818" t="s">
        <v>690</v>
      </c>
      <c r="E97" s="895">
        <v>0.2</v>
      </c>
      <c r="F97" s="882">
        <v>30</v>
      </c>
    </row>
    <row r="98" spans="1:6" s="878" customFormat="1" ht="36">
      <c r="A98" s="882">
        <v>38</v>
      </c>
      <c r="B98" s="3294"/>
      <c r="C98" s="882" t="s">
        <v>691</v>
      </c>
      <c r="D98" s="818" t="s">
        <v>692</v>
      </c>
      <c r="E98" s="895">
        <v>0.2</v>
      </c>
      <c r="F98" s="882">
        <v>30</v>
      </c>
    </row>
    <row r="99" spans="1:6" s="878" customFormat="1" ht="36">
      <c r="A99" s="882">
        <v>39</v>
      </c>
      <c r="B99" s="3294" t="s">
        <v>693</v>
      </c>
      <c r="C99" s="882" t="s">
        <v>694</v>
      </c>
      <c r="D99" s="818" t="s">
        <v>695</v>
      </c>
      <c r="E99" s="895">
        <v>0.3</v>
      </c>
      <c r="F99" s="882">
        <v>50</v>
      </c>
    </row>
    <row r="100" spans="1:6" s="878" customFormat="1" ht="24">
      <c r="A100" s="882">
        <v>40</v>
      </c>
      <c r="B100" s="3294"/>
      <c r="C100" s="882" t="s">
        <v>696</v>
      </c>
      <c r="D100" s="818" t="s">
        <v>697</v>
      </c>
      <c r="E100" s="895">
        <v>0.2</v>
      </c>
      <c r="F100" s="882">
        <v>30</v>
      </c>
    </row>
    <row r="101" spans="1:6" s="878" customFormat="1" ht="36">
      <c r="A101" s="882">
        <v>41</v>
      </c>
      <c r="B101" s="329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4" t="s">
        <v>708</v>
      </c>
      <c r="C105" s="882" t="s">
        <v>709</v>
      </c>
      <c r="D105" s="818" t="s">
        <v>710</v>
      </c>
      <c r="E105" s="895">
        <v>0.2</v>
      </c>
      <c r="F105" s="882">
        <v>30</v>
      </c>
    </row>
    <row r="106" spans="1:6" s="878" customFormat="1" ht="36">
      <c r="A106" s="882">
        <v>46</v>
      </c>
      <c r="B106" s="3294"/>
      <c r="C106" s="882" t="s">
        <v>711</v>
      </c>
      <c r="D106" s="818" t="s">
        <v>712</v>
      </c>
      <c r="E106" s="895">
        <v>0.2</v>
      </c>
      <c r="F106" s="882">
        <v>30</v>
      </c>
    </row>
    <row r="107" spans="1:6" s="878" customFormat="1" ht="36">
      <c r="A107" s="882">
        <v>47</v>
      </c>
      <c r="B107" s="3294" t="s">
        <v>713</v>
      </c>
      <c r="C107" s="882" t="s">
        <v>714</v>
      </c>
      <c r="D107" s="818" t="s">
        <v>715</v>
      </c>
      <c r="E107" s="895">
        <v>0.3</v>
      </c>
      <c r="F107" s="882">
        <v>50</v>
      </c>
    </row>
    <row r="108" spans="1:6" s="878" customFormat="1" ht="36">
      <c r="A108" s="882">
        <v>48</v>
      </c>
      <c r="B108" s="329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4" t="s">
        <v>724</v>
      </c>
      <c r="C111" s="882" t="s">
        <v>725</v>
      </c>
      <c r="D111" s="818" t="s">
        <v>726</v>
      </c>
      <c r="E111" s="895">
        <v>0.2</v>
      </c>
      <c r="F111" s="882">
        <v>30</v>
      </c>
    </row>
    <row r="112" spans="1:6" s="878" customFormat="1" ht="24">
      <c r="A112" s="882">
        <v>52</v>
      </c>
      <c r="B112" s="3294"/>
      <c r="C112" s="882" t="s">
        <v>727</v>
      </c>
      <c r="D112" s="818" t="s">
        <v>728</v>
      </c>
      <c r="E112" s="895">
        <v>0.2</v>
      </c>
      <c r="F112" s="882">
        <v>30</v>
      </c>
    </row>
    <row r="113" spans="1:6" s="878" customFormat="1" ht="24">
      <c r="A113" s="882">
        <v>53</v>
      </c>
      <c r="B113" s="329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4" t="s">
        <v>737</v>
      </c>
      <c r="C116" s="882" t="s">
        <v>738</v>
      </c>
      <c r="D116" s="818" t="s">
        <v>739</v>
      </c>
      <c r="E116" s="895">
        <v>0.2</v>
      </c>
      <c r="F116" s="882">
        <v>30</v>
      </c>
    </row>
    <row r="117" spans="1:6" ht="36">
      <c r="A117" s="882">
        <v>57</v>
      </c>
      <c r="B117" s="329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3002</v>
      </c>
    </row>
    <row r="2" spans="1:5" ht="15.75">
      <c r="A2" s="2912" t="s">
        <v>2994</v>
      </c>
      <c r="B2" s="2913" t="e">
        <f ca="1">SUMIF(B6:B13,"&lt;&gt;#ref!",B6:B13)</f>
        <v>#DIV/0!</v>
      </c>
      <c r="C2" s="2912" t="s">
        <v>2995</v>
      </c>
      <c r="D2" s="2912" t="s">
        <v>2996</v>
      </c>
      <c r="E2" s="2913" t="e">
        <f ca="1">SUM(E6:E13)</f>
        <v>#REF!</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3"/>
      <c r="B4" s="2990" t="s">
        <v>1631</v>
      </c>
      <c r="C4" s="2990"/>
      <c r="D4" s="2990"/>
      <c r="E4" s="1963"/>
    </row>
    <row r="5" spans="1:5" ht="16.5" thickTop="1">
      <c r="A5" s="1961"/>
      <c r="B5" s="2988" t="s">
        <v>1623</v>
      </c>
      <c r="C5" s="1964" t="s">
        <v>1624</v>
      </c>
      <c r="D5" s="1043">
        <f ca="1">结果表!H101</f>
        <v>125871</v>
      </c>
      <c r="E5" s="1961"/>
    </row>
    <row r="6" spans="1:5" ht="15.75">
      <c r="A6" s="1961"/>
      <c r="B6" s="2988"/>
      <c r="C6" s="1964" t="s">
        <v>1625</v>
      </c>
      <c r="D6" s="1043" t="str">
        <f ca="1">NUMBERSTRING(INT(D5*10000),2)&amp;"元整"</f>
        <v>壹拾贰亿伍仟捌佰柒拾壹万元整</v>
      </c>
      <c r="E6" s="1961"/>
    </row>
    <row r="7" spans="1:5" ht="15.75">
      <c r="A7" s="1961"/>
      <c r="B7" s="2993"/>
      <c r="C7" s="1965" t="s">
        <v>1626</v>
      </c>
      <c r="D7" s="1044">
        <f ca="1">结果表!H102</f>
        <v>12394</v>
      </c>
      <c r="E7" s="1961"/>
    </row>
    <row r="8" spans="1:5" ht="15.75">
      <c r="A8" s="1961"/>
      <c r="B8" s="2994" t="str">
        <f>结果表!E103</f>
        <v>2.估价师知悉的法定优先受偿款</v>
      </c>
      <c r="C8" s="1966" t="s">
        <v>1627</v>
      </c>
      <c r="D8" s="1044">
        <f>结果表!H103</f>
        <v>0</v>
      </c>
      <c r="E8" s="1961"/>
    </row>
    <row r="9" spans="1:5" ht="15.75">
      <c r="A9" s="1961"/>
      <c r="B9" s="2996"/>
      <c r="C9" s="1964" t="s">
        <v>1625</v>
      </c>
      <c r="D9" s="1043" t="str">
        <f>NUMBERSTRING(INT(D8*10000),2)&amp;"元整"</f>
        <v>零元整</v>
      </c>
      <c r="E9" s="1961"/>
    </row>
    <row r="10" spans="1:5" ht="15">
      <c r="A10" s="1961"/>
      <c r="B10" s="1967" t="s">
        <v>1630</v>
      </c>
      <c r="C10" s="1968" t="s">
        <v>1628</v>
      </c>
      <c r="D10" s="1045">
        <f>结果表!H104</f>
        <v>0</v>
      </c>
      <c r="E10" s="1961"/>
    </row>
    <row r="11" spans="1:5" ht="15">
      <c r="A11" s="1961"/>
      <c r="B11" s="1967" t="s">
        <v>1632</v>
      </c>
      <c r="C11" s="1968" t="s">
        <v>1633</v>
      </c>
      <c r="D11" s="1045">
        <f>结果表!H105</f>
        <v>0</v>
      </c>
      <c r="E11" s="1961"/>
    </row>
    <row r="12" spans="1:5" ht="15">
      <c r="A12" s="1961"/>
      <c r="B12" s="1967" t="s">
        <v>1634</v>
      </c>
      <c r="C12" s="1968" t="s">
        <v>1633</v>
      </c>
      <c r="D12" s="1045">
        <f>结果表!H106</f>
        <v>0</v>
      </c>
      <c r="E12" s="1961"/>
    </row>
    <row r="13" spans="1:5" ht="15.75">
      <c r="A13" s="1961"/>
      <c r="B13" s="2987" t="str">
        <f>结果表!E107</f>
        <v>——</v>
      </c>
      <c r="C13" s="1969" t="s">
        <v>1624</v>
      </c>
      <c r="D13" s="1046" t="str">
        <f>结果表!H107</f>
        <v>——</v>
      </c>
      <c r="E13" s="1961"/>
    </row>
    <row r="14" spans="1:5" ht="15.75">
      <c r="A14" s="1961"/>
      <c r="B14" s="2988"/>
      <c r="C14" s="1964" t="s">
        <v>1625</v>
      </c>
      <c r="D14" s="1043" t="e">
        <f>NUMBERSTRING(INT(D13*10000),2)&amp;"元整"</f>
        <v>#VALUE!</v>
      </c>
      <c r="E14" s="1961"/>
    </row>
    <row r="15" spans="1:5" ht="15">
      <c r="A15" s="1961"/>
      <c r="B15" s="2993"/>
      <c r="C15" s="1965" t="s">
        <v>1635</v>
      </c>
      <c r="D15" s="1055" t="e">
        <f>结果表!H108</f>
        <v>#VALUE!</v>
      </c>
      <c r="E15" s="1961"/>
    </row>
    <row r="16" spans="1:5" ht="15">
      <c r="A16" s="1961"/>
      <c r="B16" s="2994" t="str">
        <f>结果表!E109</f>
        <v>3.抵押担保权已注销时的房地产抵押价值</v>
      </c>
      <c r="C16" s="1969" t="s">
        <v>1636</v>
      </c>
      <c r="D16" s="1970">
        <f ca="1">结果表!H109</f>
        <v>125871</v>
      </c>
      <c r="E16" s="1961"/>
    </row>
    <row r="17" spans="1:5" ht="15.75">
      <c r="A17" s="1961"/>
      <c r="B17" s="2995"/>
      <c r="C17" s="1964" t="s">
        <v>1637</v>
      </c>
      <c r="D17" s="1043" t="str">
        <f ca="1">NUMBERSTRING(INT(D16*10000),2)&amp;"元整"</f>
        <v>壹拾贰亿伍仟捌佰柒拾壹万元整</v>
      </c>
      <c r="E17" s="1961"/>
    </row>
    <row r="18" spans="1:5" ht="15">
      <c r="A18" s="1961"/>
      <c r="B18" s="2996"/>
      <c r="C18" s="1965" t="s">
        <v>1626</v>
      </c>
      <c r="D18" s="1055">
        <f ca="1">结果表!H110</f>
        <v>12394</v>
      </c>
      <c r="E18" s="1961"/>
    </row>
    <row r="19" spans="1:5" ht="15.75">
      <c r="A19" s="1961"/>
      <c r="B19" s="2987" t="str">
        <f>结果表!E111</f>
        <v>——</v>
      </c>
      <c r="C19" s="1969" t="s">
        <v>1624</v>
      </c>
      <c r="D19" s="1044" t="str">
        <f>结果表!H111</f>
        <v>——</v>
      </c>
      <c r="E19" s="1961"/>
    </row>
    <row r="20" spans="1:5" ht="15.75">
      <c r="A20" s="1961"/>
      <c r="B20" s="2988"/>
      <c r="C20" s="1964" t="s">
        <v>1637</v>
      </c>
      <c r="D20" s="1043" t="e">
        <f>NUMBERSTRING(INT(D19*10000),2)&amp;"元整"</f>
        <v>#VALUE!</v>
      </c>
      <c r="E20" s="1961"/>
    </row>
    <row r="21" spans="1:5" ht="15.75" thickBot="1">
      <c r="A21" s="1961"/>
      <c r="B21" s="2989"/>
      <c r="C21" s="1971" t="s">
        <v>1635</v>
      </c>
      <c r="D21" s="1056"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R43" sqref="R43:W4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0" t="s">
        <v>1150</v>
      </c>
      <c r="C1" s="3300"/>
      <c r="D1" s="3300"/>
      <c r="E1" s="3300"/>
      <c r="F1" s="3300"/>
      <c r="G1" s="3299" t="s">
        <v>1151</v>
      </c>
      <c r="H1" s="3299"/>
      <c r="I1" s="3299"/>
      <c r="J1" s="3299"/>
      <c r="K1" s="3299"/>
      <c r="L1" s="3299"/>
      <c r="N1" s="3299" t="s">
        <v>1152</v>
      </c>
      <c r="O1" s="3299"/>
      <c r="P1" s="3299"/>
      <c r="Q1" s="3299"/>
      <c r="R1" s="1449"/>
      <c r="S1" s="3299" t="s">
        <v>1153</v>
      </c>
      <c r="T1" s="3299"/>
      <c r="U1" s="3299"/>
      <c r="V1" s="3299"/>
      <c r="X1" s="3298" t="s">
        <v>1154</v>
      </c>
      <c r="Y1" s="3299"/>
      <c r="Z1" s="3299"/>
      <c r="AA1" s="3299"/>
      <c r="AB1" s="3299"/>
      <c r="AD1" s="3298" t="s">
        <v>1155</v>
      </c>
      <c r="AE1" s="3299"/>
      <c r="AF1" s="3299"/>
      <c r="AG1" s="3299"/>
      <c r="AH1" s="329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3041</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ht="13.5" thickBot="1">
      <c r="A5" s="1731" t="s">
        <v>3040</v>
      </c>
      <c r="B5" s="1793">
        <f t="shared" ref="B5:C9" si="2">B6*(1+N5)</f>
        <v>439.19121308559727</v>
      </c>
      <c r="C5" s="1793">
        <f t="shared" si="2"/>
        <v>326.28510789673351</v>
      </c>
      <c r="D5" s="1793">
        <f t="shared" ref="D5:D10" si="3">C5</f>
        <v>326.28510789673351</v>
      </c>
      <c r="E5" s="1793">
        <f t="shared" ref="E5:F9" si="4">E6*(1+P5)</f>
        <v>626.49404043656455</v>
      </c>
      <c r="F5" s="1793">
        <f t="shared" si="4"/>
        <v>283.46416215500358</v>
      </c>
      <c r="G5" s="2928">
        <v>2018</v>
      </c>
      <c r="H5" s="1732">
        <v>1</v>
      </c>
      <c r="I5" s="2926">
        <v>0</v>
      </c>
      <c r="J5" s="2926">
        <v>0</v>
      </c>
      <c r="K5" s="2926">
        <v>0</v>
      </c>
      <c r="L5" s="2926">
        <v>0</v>
      </c>
      <c r="N5" s="1470">
        <f t="shared" ref="N5:N10" si="5">I5/100</f>
        <v>0</v>
      </c>
      <c r="O5" s="1470">
        <f t="shared" ref="O5:Q8" si="6">J5/100</f>
        <v>0</v>
      </c>
      <c r="P5" s="1470">
        <f t="shared" si="6"/>
        <v>0</v>
      </c>
      <c r="Q5" s="1470">
        <f t="shared" si="6"/>
        <v>0</v>
      </c>
      <c r="R5" s="1734"/>
      <c r="S5" s="1735"/>
      <c r="T5" s="1734"/>
      <c r="U5" s="1734"/>
      <c r="V5" s="1734"/>
      <c r="W5" s="2930" t="s">
        <v>3042</v>
      </c>
      <c r="X5" s="1728">
        <f>ROUND(SUMPRODUCT(PRODUCT(1+N5:N$20)),4)</f>
        <v>1.4274</v>
      </c>
      <c r="Y5" s="1728">
        <f>ROUND(SUMPRODUCT(PRODUCT(1+O5:O$20)),4)</f>
        <v>1.2685</v>
      </c>
      <c r="Z5" s="1728">
        <f>Y5</f>
        <v>1.2685</v>
      </c>
      <c r="AA5" s="1728">
        <f>ROUND(SUMPRODUCT(PRODUCT(1+P5:P$20)),4)</f>
        <v>1.4825999999999999</v>
      </c>
      <c r="AB5" s="1728">
        <f>ROUND(SUMPRODUCT(PRODUCT(1+Q5:Q$20)),4)</f>
        <v>1.2309000000000001</v>
      </c>
      <c r="AD5" s="1471">
        <f>ROUND(AVERAGE(I5:I$21)/100,4)</f>
        <v>2.3E-2</v>
      </c>
      <c r="AE5" s="1471">
        <f>ROUND(AVERAGE(J5:J$21)/100,4)</f>
        <v>1.55E-2</v>
      </c>
      <c r="AF5" s="1471">
        <f>AE5</f>
        <v>1.55E-2</v>
      </c>
      <c r="AG5" s="1471">
        <f>ROUND(AVERAGE(K5:K$21)/100,4)</f>
        <v>2.5499999999999998E-2</v>
      </c>
      <c r="AH5" s="1471">
        <f>ROUND(AVERAGE(L5:L$21)/100,4)</f>
        <v>1.3100000000000001E-2</v>
      </c>
    </row>
    <row r="6" spans="1:34">
      <c r="A6" s="1464" t="s">
        <v>3037</v>
      </c>
      <c r="B6" s="1472">
        <f t="shared" si="2"/>
        <v>439.19121308559727</v>
      </c>
      <c r="C6" s="1472">
        <f t="shared" si="2"/>
        <v>326.28510789673351</v>
      </c>
      <c r="D6" s="1472">
        <f t="shared" si="3"/>
        <v>326.28510789673351</v>
      </c>
      <c r="E6" s="1472">
        <f t="shared" si="4"/>
        <v>626.49404043656455</v>
      </c>
      <c r="F6" s="1473">
        <f t="shared" si="4"/>
        <v>283.46416215500358</v>
      </c>
      <c r="G6" s="2928">
        <v>2017</v>
      </c>
      <c r="H6" s="1465">
        <v>4</v>
      </c>
      <c r="I6" s="1465">
        <v>1.71</v>
      </c>
      <c r="J6" s="1465">
        <v>1.78</v>
      </c>
      <c r="K6" s="1465">
        <v>1.71</v>
      </c>
      <c r="L6" s="1466">
        <v>1.43</v>
      </c>
      <c r="N6" s="1475">
        <f t="shared" si="5"/>
        <v>1.7100000000000001E-2</v>
      </c>
      <c r="O6" s="1476">
        <f t="shared" si="6"/>
        <v>1.78E-2</v>
      </c>
      <c r="P6" s="1476">
        <f t="shared" si="6"/>
        <v>1.7100000000000001E-2</v>
      </c>
      <c r="Q6" s="1476">
        <f t="shared" si="6"/>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3038</v>
      </c>
      <c r="B7" s="1480">
        <f t="shared" si="2"/>
        <v>431.80730811680002</v>
      </c>
      <c r="C7" s="1480">
        <f t="shared" si="2"/>
        <v>320.57880516480003</v>
      </c>
      <c r="D7" s="1480">
        <f t="shared" si="3"/>
        <v>320.57880516480003</v>
      </c>
      <c r="E7" s="1480">
        <f t="shared" si="4"/>
        <v>615.96110553196797</v>
      </c>
      <c r="F7" s="1480">
        <f t="shared" si="4"/>
        <v>279.46777300108801</v>
      </c>
      <c r="G7" s="2924"/>
      <c r="H7" s="1467">
        <v>3</v>
      </c>
      <c r="I7" s="1467">
        <v>2.98</v>
      </c>
      <c r="J7" s="1467">
        <v>2.11</v>
      </c>
      <c r="K7" s="1467">
        <v>3.24</v>
      </c>
      <c r="L7" s="1481">
        <v>1.72</v>
      </c>
      <c r="M7" s="1474"/>
      <c r="N7" s="1475">
        <f t="shared" si="5"/>
        <v>2.98E-2</v>
      </c>
      <c r="O7" s="1476">
        <f t="shared" si="6"/>
        <v>2.1099999999999997E-2</v>
      </c>
      <c r="P7" s="1476">
        <f t="shared" si="6"/>
        <v>3.2400000000000005E-2</v>
      </c>
      <c r="Q7" s="1476">
        <f t="shared" si="6"/>
        <v>1.72E-2</v>
      </c>
      <c r="R7" s="1477"/>
      <c r="S7" s="1475"/>
      <c r="T7" s="1476"/>
      <c r="U7" s="1476"/>
      <c r="V7" s="1476"/>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4" t="s">
        <v>1386</v>
      </c>
      <c r="B8" s="1480">
        <f t="shared" si="2"/>
        <v>419.31181600000002</v>
      </c>
      <c r="C8" s="1480">
        <f t="shared" si="2"/>
        <v>313.95436800000004</v>
      </c>
      <c r="D8" s="1480">
        <f t="shared" si="3"/>
        <v>313.95436800000004</v>
      </c>
      <c r="E8" s="1480">
        <f t="shared" si="4"/>
        <v>596.63028431999999</v>
      </c>
      <c r="F8" s="1480">
        <f t="shared" si="4"/>
        <v>274.74220703999998</v>
      </c>
      <c r="G8" s="2923"/>
      <c r="H8" s="1468">
        <v>2</v>
      </c>
      <c r="I8" s="1468">
        <v>3.4</v>
      </c>
      <c r="J8" s="1468">
        <v>2</v>
      </c>
      <c r="K8" s="1468">
        <v>3.82</v>
      </c>
      <c r="L8" s="1482">
        <v>1.68</v>
      </c>
      <c r="M8" s="1474"/>
      <c r="N8" s="1475">
        <f t="shared" si="5"/>
        <v>3.4000000000000002E-2</v>
      </c>
      <c r="O8" s="1476">
        <f t="shared" si="6"/>
        <v>0.02</v>
      </c>
      <c r="P8" s="1476">
        <f t="shared" si="6"/>
        <v>3.8199999999999998E-2</v>
      </c>
      <c r="Q8" s="1476">
        <f t="shared" si="6"/>
        <v>1.6799999999999999E-2</v>
      </c>
      <c r="R8" s="1477"/>
      <c r="S8" s="1478"/>
      <c r="T8" s="1479"/>
      <c r="U8" s="1479"/>
      <c r="V8" s="1479"/>
      <c r="W8" s="1456"/>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6"/>
      <c r="AD8" s="1791">
        <f>ROUND(AVERAGE(I8:I$21)/100,4)</f>
        <v>2.46E-2</v>
      </c>
      <c r="AE8" s="1791">
        <f>ROUND(AVERAGE(J8:J$21)/100,4)</f>
        <v>1.6E-2</v>
      </c>
      <c r="AF8" s="1791">
        <f t="shared" si="1"/>
        <v>1.6E-2</v>
      </c>
      <c r="AG8" s="1791">
        <f>ROUND(AVERAGE(K8:K$21)/100,4)</f>
        <v>2.75E-2</v>
      </c>
      <c r="AH8" s="1791">
        <f>ROUND(AVERAGE(L8:L$21)/100,4)</f>
        <v>1.37E-2</v>
      </c>
    </row>
    <row r="9" spans="1:34" s="1469" customFormat="1" ht="13.5" thickBot="1">
      <c r="A9" s="1464" t="s">
        <v>1161</v>
      </c>
      <c r="B9" s="1480">
        <f t="shared" si="2"/>
        <v>405.524</v>
      </c>
      <c r="C9" s="1480">
        <f t="shared" si="2"/>
        <v>307.79840000000002</v>
      </c>
      <c r="D9" s="1480">
        <f t="shared" si="3"/>
        <v>307.79840000000002</v>
      </c>
      <c r="E9" s="1480">
        <f t="shared" si="4"/>
        <v>574.67759999999998</v>
      </c>
      <c r="F9" s="1480">
        <f t="shared" si="4"/>
        <v>270.20280000000002</v>
      </c>
      <c r="G9" s="2924"/>
      <c r="H9" s="1467">
        <v>1</v>
      </c>
      <c r="I9" s="1467">
        <v>3.45</v>
      </c>
      <c r="J9" s="1467">
        <v>1.92</v>
      </c>
      <c r="K9" s="1467">
        <v>3.92</v>
      </c>
      <c r="L9" s="1481">
        <v>1.58</v>
      </c>
      <c r="M9" s="1474"/>
      <c r="N9" s="1475">
        <f t="shared" si="5"/>
        <v>3.4500000000000003E-2</v>
      </c>
      <c r="O9" s="1476">
        <f t="shared" ref="O9:Q24" si="7">J9/100</f>
        <v>1.9199999999999998E-2</v>
      </c>
      <c r="P9" s="1476">
        <f t="shared" si="7"/>
        <v>3.9199999999999999E-2</v>
      </c>
      <c r="Q9" s="1476">
        <f t="shared" si="7"/>
        <v>1.5800000000000002E-2</v>
      </c>
      <c r="R9" s="1477"/>
      <c r="S9" s="1475">
        <f>B9/B10-1</f>
        <v>3.4499999999999975E-2</v>
      </c>
      <c r="T9" s="1476">
        <f>C9/C10-1</f>
        <v>1.9200000000000106E-2</v>
      </c>
      <c r="U9" s="1476">
        <f>D9/D10-1</f>
        <v>1.9200000000000106E-2</v>
      </c>
      <c r="V9" s="1476">
        <f>E9/E10-1</f>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4" t="s">
        <v>154</v>
      </c>
      <c r="B10" s="1472">
        <v>392</v>
      </c>
      <c r="C10" s="1472">
        <v>302</v>
      </c>
      <c r="D10" s="1472">
        <f t="shared" si="3"/>
        <v>302</v>
      </c>
      <c r="E10" s="1472">
        <v>553</v>
      </c>
      <c r="F10" s="1473">
        <v>266</v>
      </c>
      <c r="G10" s="3301">
        <v>2016</v>
      </c>
      <c r="H10" s="1465">
        <v>4</v>
      </c>
      <c r="I10" s="1465">
        <v>4.5599999999999996</v>
      </c>
      <c r="J10" s="1465">
        <v>2.15</v>
      </c>
      <c r="K10" s="1465">
        <v>5.32</v>
      </c>
      <c r="L10" s="1466">
        <v>1.57</v>
      </c>
      <c r="N10" s="1475">
        <f t="shared" si="5"/>
        <v>4.5599999999999995E-2</v>
      </c>
      <c r="O10" s="1476">
        <f t="shared" si="7"/>
        <v>2.1499999999999998E-2</v>
      </c>
      <c r="P10" s="1476">
        <f t="shared" si="7"/>
        <v>5.3200000000000004E-2</v>
      </c>
      <c r="Q10" s="1476">
        <f t="shared" si="7"/>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8">B10/(1+N10)</f>
        <v>374.90436113236416</v>
      </c>
      <c r="C11" s="1480">
        <f t="shared" si="8"/>
        <v>295.64366128242779</v>
      </c>
      <c r="D11" s="1480">
        <f t="shared" ref="D11:D70" si="9">C11</f>
        <v>295.64366128242779</v>
      </c>
      <c r="E11" s="1480">
        <f t="shared" ref="E11:F13" si="10">E10/(1+P10)</f>
        <v>525.06646410938095</v>
      </c>
      <c r="F11" s="1480">
        <f t="shared" si="10"/>
        <v>261.88835286009646</v>
      </c>
      <c r="G11" s="3296"/>
      <c r="H11" s="1467">
        <v>3</v>
      </c>
      <c r="I11" s="1467">
        <v>4.12</v>
      </c>
      <c r="J11" s="1467">
        <v>2</v>
      </c>
      <c r="K11" s="1467">
        <v>4.79</v>
      </c>
      <c r="L11" s="1481">
        <v>1.97</v>
      </c>
      <c r="N11" s="1475">
        <f t="shared" ref="N11:Q45" si="11">I11/100</f>
        <v>4.1200000000000001E-2</v>
      </c>
      <c r="O11" s="1476">
        <f t="shared" si="7"/>
        <v>0.02</v>
      </c>
      <c r="P11" s="1476">
        <f t="shared" si="7"/>
        <v>4.7899999999999998E-2</v>
      </c>
      <c r="Q11" s="1476">
        <f t="shared" si="7"/>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8"/>
        <v>360.06949782209392</v>
      </c>
      <c r="C12" s="1480">
        <f t="shared" si="8"/>
        <v>289.84672674747821</v>
      </c>
      <c r="D12" s="1480">
        <f t="shared" si="9"/>
        <v>289.84672674747821</v>
      </c>
      <c r="E12" s="1480">
        <f t="shared" si="10"/>
        <v>501.06543001181495</v>
      </c>
      <c r="F12" s="1480">
        <f t="shared" si="10"/>
        <v>256.82882500744967</v>
      </c>
      <c r="G12" s="3296"/>
      <c r="H12" s="1468">
        <v>2</v>
      </c>
      <c r="I12" s="1468">
        <v>3.85</v>
      </c>
      <c r="J12" s="1468">
        <v>1.95</v>
      </c>
      <c r="K12" s="1468">
        <v>4.4800000000000004</v>
      </c>
      <c r="L12" s="1482">
        <v>1.41</v>
      </c>
      <c r="N12" s="1475">
        <f t="shared" si="11"/>
        <v>3.85E-2</v>
      </c>
      <c r="O12" s="1476">
        <f t="shared" si="7"/>
        <v>1.95E-2</v>
      </c>
      <c r="P12" s="1476">
        <f t="shared" si="7"/>
        <v>4.4800000000000006E-2</v>
      </c>
      <c r="Q12" s="1476">
        <f t="shared" si="7"/>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8"/>
        <v>346.720748986128</v>
      </c>
      <c r="C13" s="1480">
        <f t="shared" si="8"/>
        <v>284.30282172386285</v>
      </c>
      <c r="D13" s="1480">
        <f t="shared" si="9"/>
        <v>284.30282172386285</v>
      </c>
      <c r="E13" s="1480">
        <f t="shared" si="10"/>
        <v>479.58023546306947</v>
      </c>
      <c r="F13" s="1480">
        <f t="shared" si="10"/>
        <v>253.25788877571213</v>
      </c>
      <c r="G13" s="3297"/>
      <c r="H13" s="1467">
        <v>1</v>
      </c>
      <c r="I13" s="1467">
        <v>4.09</v>
      </c>
      <c r="J13" s="1467">
        <v>2.93</v>
      </c>
      <c r="K13" s="1467">
        <v>4.54</v>
      </c>
      <c r="L13" s="1481">
        <v>1.48</v>
      </c>
      <c r="N13" s="1475">
        <f t="shared" si="11"/>
        <v>4.0899999999999999E-2</v>
      </c>
      <c r="O13" s="1476">
        <f t="shared" si="7"/>
        <v>2.9300000000000003E-2</v>
      </c>
      <c r="P13" s="1476">
        <f t="shared" si="7"/>
        <v>4.5400000000000003E-2</v>
      </c>
      <c r="Q13" s="1476">
        <f t="shared" si="7"/>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9"/>
        <v>277</v>
      </c>
      <c r="E14" s="1472">
        <v>459</v>
      </c>
      <c r="F14" s="1473">
        <v>249</v>
      </c>
      <c r="G14" s="3295">
        <v>2015</v>
      </c>
      <c r="H14" s="1485">
        <v>4</v>
      </c>
      <c r="I14" s="1485">
        <v>1.63</v>
      </c>
      <c r="J14" s="1485">
        <v>1.1100000000000001</v>
      </c>
      <c r="K14" s="1485">
        <v>1.77</v>
      </c>
      <c r="L14" s="1486">
        <v>1.89</v>
      </c>
      <c r="N14" s="1487">
        <f t="shared" si="11"/>
        <v>1.6299999999999999E-2</v>
      </c>
      <c r="O14" s="1488">
        <f t="shared" si="7"/>
        <v>1.11E-2</v>
      </c>
      <c r="P14" s="1488">
        <f t="shared" si="7"/>
        <v>1.77E-2</v>
      </c>
      <c r="Q14" s="1488">
        <f t="shared" si="7"/>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12">B14/(1+N14)</f>
        <v>327.65915576109415</v>
      </c>
      <c r="C15" s="1480">
        <f t="shared" si="12"/>
        <v>273.95905449510434</v>
      </c>
      <c r="D15" s="1480">
        <f t="shared" si="9"/>
        <v>273.95905449510434</v>
      </c>
      <c r="E15" s="1480">
        <f t="shared" ref="E15:F17" si="13">E14/(1+P14)</f>
        <v>451.01699911565294</v>
      </c>
      <c r="F15" s="1480">
        <f t="shared" si="13"/>
        <v>244.38119540681129</v>
      </c>
      <c r="G15" s="3296"/>
      <c r="H15" s="1490">
        <v>3</v>
      </c>
      <c r="I15" s="1490">
        <v>1.65</v>
      </c>
      <c r="J15" s="1490">
        <v>0.92</v>
      </c>
      <c r="K15" s="1490">
        <v>1.88</v>
      </c>
      <c r="L15" s="1491">
        <v>1.26</v>
      </c>
      <c r="N15" s="1475">
        <f t="shared" si="11"/>
        <v>1.6500000000000001E-2</v>
      </c>
      <c r="O15" s="1492">
        <f t="shared" si="7"/>
        <v>9.1999999999999998E-3</v>
      </c>
      <c r="P15" s="1492">
        <f t="shared" si="7"/>
        <v>1.8799999999999997E-2</v>
      </c>
      <c r="Q15" s="1492">
        <f t="shared" si="7"/>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12"/>
        <v>322.34053690220776</v>
      </c>
      <c r="C16" s="1480">
        <f t="shared" si="12"/>
        <v>271.46160770422546</v>
      </c>
      <c r="D16" s="1480">
        <f t="shared" si="9"/>
        <v>271.46160770422546</v>
      </c>
      <c r="E16" s="1480">
        <f t="shared" si="13"/>
        <v>442.69434542172456</v>
      </c>
      <c r="F16" s="1480">
        <f t="shared" si="13"/>
        <v>241.34030753190925</v>
      </c>
      <c r="G16" s="3296"/>
      <c r="H16" s="1468">
        <v>2</v>
      </c>
      <c r="I16" s="1468">
        <v>0.77</v>
      </c>
      <c r="J16" s="1468">
        <v>0.69</v>
      </c>
      <c r="K16" s="1468">
        <v>0.8</v>
      </c>
      <c r="L16" s="1482">
        <v>0.88</v>
      </c>
      <c r="N16" s="1475">
        <f t="shared" si="11"/>
        <v>7.7000000000000002E-3</v>
      </c>
      <c r="O16" s="1492">
        <f t="shared" si="7"/>
        <v>6.8999999999999999E-3</v>
      </c>
      <c r="P16" s="1492">
        <f t="shared" si="7"/>
        <v>8.0000000000000002E-3</v>
      </c>
      <c r="Q16" s="1492">
        <f t="shared" si="7"/>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12"/>
        <v>319.87748030386797</v>
      </c>
      <c r="C17" s="1480">
        <f t="shared" si="12"/>
        <v>269.60135833173649</v>
      </c>
      <c r="D17" s="1480">
        <f t="shared" si="9"/>
        <v>269.60135833173649</v>
      </c>
      <c r="E17" s="1480">
        <f t="shared" si="13"/>
        <v>439.18089823583784</v>
      </c>
      <c r="F17" s="1480">
        <f t="shared" si="13"/>
        <v>239.23503918706311</v>
      </c>
      <c r="G17" s="3297"/>
      <c r="H17" s="1467">
        <v>1</v>
      </c>
      <c r="I17" s="1467">
        <v>0.51</v>
      </c>
      <c r="J17" s="1467">
        <v>0.54</v>
      </c>
      <c r="K17" s="1467">
        <v>0.48</v>
      </c>
      <c r="L17" s="1481">
        <v>0.93</v>
      </c>
      <c r="N17" s="1483">
        <f t="shared" si="11"/>
        <v>5.1000000000000004E-3</v>
      </c>
      <c r="O17" s="1484">
        <f t="shared" si="7"/>
        <v>5.4000000000000003E-3</v>
      </c>
      <c r="P17" s="1484">
        <f t="shared" si="7"/>
        <v>4.7999999999999996E-3</v>
      </c>
      <c r="Q17" s="1484">
        <f t="shared" si="7"/>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9"/>
        <v>268</v>
      </c>
      <c r="E18" s="1493">
        <v>437</v>
      </c>
      <c r="F18" s="1494">
        <v>237</v>
      </c>
      <c r="G18" s="3295">
        <v>2014</v>
      </c>
      <c r="H18" s="1485">
        <v>4</v>
      </c>
      <c r="I18" s="1485">
        <v>0.21</v>
      </c>
      <c r="J18" s="1485">
        <v>0.41</v>
      </c>
      <c r="K18" s="1485">
        <v>0.12</v>
      </c>
      <c r="L18" s="1486">
        <v>0.89</v>
      </c>
      <c r="N18" s="1475">
        <f t="shared" si="11"/>
        <v>2.0999999999999999E-3</v>
      </c>
      <c r="O18" s="1476">
        <f t="shared" si="7"/>
        <v>4.0999999999999995E-3</v>
      </c>
      <c r="P18" s="1476">
        <f t="shared" si="7"/>
        <v>1.1999999999999999E-3</v>
      </c>
      <c r="Q18" s="1476">
        <f t="shared" si="7"/>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14">B18/(1+N18)</f>
        <v>317.33359944117353</v>
      </c>
      <c r="C19" s="1480">
        <f t="shared" si="14"/>
        <v>266.90568668459315</v>
      </c>
      <c r="D19" s="1480">
        <f t="shared" si="9"/>
        <v>266.90568668459315</v>
      </c>
      <c r="E19" s="1480">
        <f t="shared" ref="E19:F21" si="15">E18/(1+P18)</f>
        <v>436.47622852576905</v>
      </c>
      <c r="F19" s="1480">
        <f t="shared" si="15"/>
        <v>234.90930716622066</v>
      </c>
      <c r="G19" s="3296"/>
      <c r="H19" s="1495">
        <v>3</v>
      </c>
      <c r="I19" s="1495">
        <v>0.83</v>
      </c>
      <c r="J19" s="1495">
        <v>1.47</v>
      </c>
      <c r="K19" s="1495">
        <v>0.65</v>
      </c>
      <c r="L19" s="1496">
        <v>0.72</v>
      </c>
      <c r="N19" s="1475">
        <f t="shared" si="11"/>
        <v>8.3000000000000001E-3</v>
      </c>
      <c r="O19" s="1476">
        <f t="shared" si="7"/>
        <v>1.47E-2</v>
      </c>
      <c r="P19" s="1476">
        <f t="shared" si="7"/>
        <v>6.5000000000000006E-3</v>
      </c>
      <c r="Q19" s="1476">
        <f t="shared" si="7"/>
        <v>7.1999999999999998E-3</v>
      </c>
      <c r="R19" s="1477"/>
      <c r="S19" s="1475"/>
      <c r="T19" s="1476"/>
      <c r="U19" s="1476"/>
      <c r="V19" s="1476"/>
      <c r="X19" s="1462">
        <f>ROUND(SUMPRODUCT(PRODUCT(1+N19:N$20)),4)</f>
        <v>1.0325</v>
      </c>
      <c r="Y19" s="1462">
        <f>ROUND(SUMPRODUCT(PRODUCT(1+O19:O$20)),4)</f>
        <v>1.0353000000000001</v>
      </c>
      <c r="Z19" s="1462">
        <f>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14"/>
        <v>314.72141172386546</v>
      </c>
      <c r="C20" s="1480">
        <f t="shared" si="14"/>
        <v>263.03901319069001</v>
      </c>
      <c r="D20" s="1480">
        <f t="shared" si="9"/>
        <v>263.03901319069001</v>
      </c>
      <c r="E20" s="1480">
        <f t="shared" si="15"/>
        <v>433.65745506782821</v>
      </c>
      <c r="F20" s="1480">
        <f t="shared" si="15"/>
        <v>233.23005080045735</v>
      </c>
      <c r="G20" s="3296"/>
      <c r="H20" s="1485">
        <v>2</v>
      </c>
      <c r="I20" s="1485">
        <v>2.4</v>
      </c>
      <c r="J20" s="1485">
        <v>2.0299999999999998</v>
      </c>
      <c r="K20" s="1485">
        <v>2.59</v>
      </c>
      <c r="L20" s="1486">
        <v>1.52</v>
      </c>
      <c r="N20" s="1475">
        <f t="shared" si="11"/>
        <v>2.4E-2</v>
      </c>
      <c r="O20" s="1476">
        <f t="shared" si="7"/>
        <v>2.0299999999999999E-2</v>
      </c>
      <c r="P20" s="1476">
        <f t="shared" si="7"/>
        <v>2.5899999999999999E-2</v>
      </c>
      <c r="Q20" s="1476">
        <f t="shared" si="7"/>
        <v>1.52E-2</v>
      </c>
      <c r="R20" s="1477"/>
      <c r="S20" s="1475"/>
      <c r="T20" s="1476"/>
      <c r="U20" s="1476"/>
      <c r="V20" s="1476"/>
      <c r="X20" s="1462">
        <f>1+N20</f>
        <v>1.024</v>
      </c>
      <c r="Y20" s="1462">
        <f>1+O20</f>
        <v>1.0203</v>
      </c>
      <c r="Z20" s="1462">
        <f>Y20</f>
        <v>1.0203</v>
      </c>
      <c r="AA20" s="1462">
        <f>1+P20</f>
        <v>1.0259</v>
      </c>
      <c r="AB20" s="1462">
        <f>1+Q20</f>
        <v>1.0152000000000001</v>
      </c>
      <c r="AD20" s="1463">
        <f>ROUND(AVERAGE(I20:I$21)/100,4)</f>
        <v>2.69E-2</v>
      </c>
      <c r="AE20" s="1463">
        <f>ROUND(AVERAGE(J20:J$21)/100,4)</f>
        <v>2.1899999999999999E-2</v>
      </c>
      <c r="AF20" s="1463">
        <f>AE20</f>
        <v>2.1899999999999999E-2</v>
      </c>
      <c r="AG20" s="1463">
        <f>ROUND(AVERAGE(K20:K$21)/100,4)</f>
        <v>2.9399999999999999E-2</v>
      </c>
      <c r="AH20" s="1463">
        <f>ROUND(AVERAGE(L20:L$21)/100,4)</f>
        <v>1.44E-2</v>
      </c>
    </row>
    <row r="21" spans="1:34" s="1501" customFormat="1" ht="13.5" thickBot="1">
      <c r="A21" s="1497" t="s">
        <v>144</v>
      </c>
      <c r="B21" s="1498">
        <f t="shared" si="14"/>
        <v>307.34512863658733</v>
      </c>
      <c r="C21" s="1498">
        <f t="shared" si="14"/>
        <v>257.80556031626975</v>
      </c>
      <c r="D21" s="1498">
        <f t="shared" si="9"/>
        <v>257.80556031626975</v>
      </c>
      <c r="E21" s="1498">
        <f t="shared" si="15"/>
        <v>422.70928459677179</v>
      </c>
      <c r="F21" s="1498">
        <f t="shared" si="15"/>
        <v>229.73803270336617</v>
      </c>
      <c r="G21" s="3297"/>
      <c r="H21" s="1499">
        <v>1</v>
      </c>
      <c r="I21" s="1499">
        <v>2.97</v>
      </c>
      <c r="J21" s="1499">
        <v>2.34</v>
      </c>
      <c r="K21" s="1499">
        <v>3.28</v>
      </c>
      <c r="L21" s="1500">
        <v>1.36</v>
      </c>
      <c r="N21" s="1502">
        <f t="shared" si="11"/>
        <v>2.9700000000000001E-2</v>
      </c>
      <c r="O21" s="1503">
        <f t="shared" si="7"/>
        <v>2.3399999999999997E-2</v>
      </c>
      <c r="P21" s="1503">
        <f t="shared" si="7"/>
        <v>3.2799999999999996E-2</v>
      </c>
      <c r="Q21" s="1503">
        <f t="shared" si="7"/>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4" t="s">
        <v>1163</v>
      </c>
      <c r="B22" s="1472">
        <v>299</v>
      </c>
      <c r="C22" s="1472">
        <v>252</v>
      </c>
      <c r="D22" s="1472">
        <f t="shared" si="9"/>
        <v>252</v>
      </c>
      <c r="E22" s="1472">
        <v>409</v>
      </c>
      <c r="F22" s="1473">
        <v>227</v>
      </c>
      <c r="G22" s="3302">
        <v>2013</v>
      </c>
      <c r="H22" s="1509">
        <v>4</v>
      </c>
      <c r="I22" s="1509">
        <v>1.83</v>
      </c>
      <c r="J22" s="1509">
        <v>1.68</v>
      </c>
      <c r="K22" s="1509">
        <v>1.97</v>
      </c>
      <c r="L22" s="1510">
        <v>0.87</v>
      </c>
      <c r="N22" s="1487">
        <f t="shared" si="11"/>
        <v>1.83E-2</v>
      </c>
      <c r="O22" s="1488">
        <f t="shared" si="7"/>
        <v>1.6799999999999999E-2</v>
      </c>
      <c r="P22" s="1488">
        <f t="shared" si="7"/>
        <v>1.9699999999999999E-2</v>
      </c>
      <c r="Q22" s="1488">
        <f t="shared" si="7"/>
        <v>8.6999999999999994E-3</v>
      </c>
      <c r="R22" s="1477"/>
      <c r="S22" s="1478"/>
      <c r="T22" s="1479"/>
      <c r="U22" s="1479"/>
      <c r="V22" s="1479"/>
      <c r="X22" s="1479"/>
      <c r="Y22" s="1479"/>
      <c r="Z22" s="1479"/>
    </row>
    <row r="23" spans="1:34">
      <c r="A23" s="1464" t="s">
        <v>1164</v>
      </c>
      <c r="B23" s="1480">
        <f t="shared" ref="B23:C25" si="16">B22/(1+N22)</f>
        <v>293.62663262299913</v>
      </c>
      <c r="C23" s="1480">
        <f t="shared" si="16"/>
        <v>247.83634933123525</v>
      </c>
      <c r="D23" s="1480">
        <f t="shared" si="9"/>
        <v>247.83634933123525</v>
      </c>
      <c r="E23" s="1480">
        <f t="shared" ref="E23:F25" si="17">E22/(1+P22)</f>
        <v>401.09836226341076</v>
      </c>
      <c r="F23" s="1480">
        <f t="shared" si="17"/>
        <v>225.04213343908003</v>
      </c>
      <c r="G23" s="3303"/>
      <c r="H23" s="1490">
        <v>3</v>
      </c>
      <c r="I23" s="1490">
        <v>1.86</v>
      </c>
      <c r="J23" s="1490">
        <v>1.72</v>
      </c>
      <c r="K23" s="1490">
        <v>1.98</v>
      </c>
      <c r="L23" s="1491">
        <v>0.88</v>
      </c>
      <c r="N23" s="1475">
        <f t="shared" si="11"/>
        <v>1.8600000000000002E-2</v>
      </c>
      <c r="O23" s="1492">
        <f t="shared" si="7"/>
        <v>1.72E-2</v>
      </c>
      <c r="P23" s="1492">
        <f t="shared" si="7"/>
        <v>1.9799999999999998E-2</v>
      </c>
      <c r="Q23" s="1492">
        <f t="shared" si="7"/>
        <v>8.8000000000000005E-3</v>
      </c>
      <c r="R23" s="1477"/>
      <c r="S23" s="1475"/>
      <c r="T23" s="1476"/>
      <c r="U23" s="1476"/>
      <c r="V23" s="1476"/>
    </row>
    <row r="24" spans="1:34">
      <c r="A24" s="1464" t="s">
        <v>1165</v>
      </c>
      <c r="B24" s="1480">
        <f t="shared" si="16"/>
        <v>288.2649053828776</v>
      </c>
      <c r="C24" s="1480">
        <f t="shared" si="16"/>
        <v>243.64564425013293</v>
      </c>
      <c r="D24" s="1480">
        <f t="shared" si="9"/>
        <v>243.64564425013293</v>
      </c>
      <c r="E24" s="1480">
        <f t="shared" si="17"/>
        <v>393.31080825986544</v>
      </c>
      <c r="F24" s="1480">
        <f t="shared" si="17"/>
        <v>223.07903790551154</v>
      </c>
      <c r="G24" s="3303"/>
      <c r="H24" s="1468">
        <v>2</v>
      </c>
      <c r="I24" s="1468">
        <v>2.04</v>
      </c>
      <c r="J24" s="1468">
        <v>2.33</v>
      </c>
      <c r="K24" s="1468">
        <v>2.0699999999999998</v>
      </c>
      <c r="L24" s="1482">
        <v>0.69</v>
      </c>
      <c r="N24" s="1475">
        <f t="shared" si="11"/>
        <v>2.0400000000000001E-2</v>
      </c>
      <c r="O24" s="1492">
        <f t="shared" si="7"/>
        <v>2.3300000000000001E-2</v>
      </c>
      <c r="P24" s="1492">
        <f t="shared" si="7"/>
        <v>2.07E-2</v>
      </c>
      <c r="Q24" s="1492">
        <f t="shared" si="7"/>
        <v>6.8999999999999999E-3</v>
      </c>
      <c r="R24" s="1477"/>
      <c r="S24" s="1475"/>
      <c r="T24" s="1476"/>
      <c r="U24" s="1476"/>
      <c r="V24" s="1476"/>
      <c r="X24" s="1511"/>
      <c r="Y24" s="1512"/>
    </row>
    <row r="25" spans="1:34">
      <c r="A25" s="1464" t="s">
        <v>1166</v>
      </c>
      <c r="B25" s="1480">
        <f t="shared" si="16"/>
        <v>282.50186729015837</v>
      </c>
      <c r="C25" s="1480">
        <f t="shared" si="16"/>
        <v>238.09796174155468</v>
      </c>
      <c r="D25" s="1480">
        <f t="shared" si="9"/>
        <v>238.09796174155468</v>
      </c>
      <c r="E25" s="1480">
        <f t="shared" si="17"/>
        <v>385.33438646014054</v>
      </c>
      <c r="F25" s="1480">
        <f t="shared" si="17"/>
        <v>221.55034055567739</v>
      </c>
      <c r="G25" s="3304"/>
      <c r="H25" s="1467">
        <v>1</v>
      </c>
      <c r="I25" s="1467">
        <v>1.67</v>
      </c>
      <c r="J25" s="1467">
        <v>1.31</v>
      </c>
      <c r="K25" s="1467">
        <v>1.85</v>
      </c>
      <c r="L25" s="1481">
        <v>0.96</v>
      </c>
      <c r="N25" s="1483">
        <f t="shared" si="11"/>
        <v>1.67E-2</v>
      </c>
      <c r="O25" s="1484">
        <f t="shared" si="11"/>
        <v>1.3100000000000001E-2</v>
      </c>
      <c r="P25" s="1484">
        <f t="shared" si="11"/>
        <v>1.8500000000000003E-2</v>
      </c>
      <c r="Q25" s="1484">
        <f t="shared" si="11"/>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9"/>
        <v>234</v>
      </c>
      <c r="E26" s="1514">
        <v>379</v>
      </c>
      <c r="F26" s="1515">
        <v>220</v>
      </c>
      <c r="G26" s="3295">
        <v>2012</v>
      </c>
      <c r="H26" s="1485">
        <v>4</v>
      </c>
      <c r="I26" s="1485">
        <v>0.91</v>
      </c>
      <c r="J26" s="1485">
        <v>0.68</v>
      </c>
      <c r="K26" s="1485">
        <v>0.98</v>
      </c>
      <c r="L26" s="1486">
        <v>0.9</v>
      </c>
      <c r="N26" s="1475">
        <f t="shared" si="11"/>
        <v>9.1000000000000004E-3</v>
      </c>
      <c r="O26" s="1476">
        <f t="shared" si="11"/>
        <v>6.8000000000000005E-3</v>
      </c>
      <c r="P26" s="1476">
        <f t="shared" si="11"/>
        <v>9.7999999999999997E-3</v>
      </c>
      <c r="Q26" s="1476">
        <f t="shared" si="11"/>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9"/>
        <v>232.41954707985698</v>
      </c>
      <c r="E27" s="1480">
        <f t="shared" ref="E27:F29" si="18">E26/(1+P26)</f>
        <v>375.32184591008121</v>
      </c>
      <c r="F27" s="1480">
        <f t="shared" si="18"/>
        <v>218.03766105054513</v>
      </c>
      <c r="G27" s="3296"/>
      <c r="H27" s="1490">
        <v>3</v>
      </c>
      <c r="I27" s="1490">
        <v>0.09</v>
      </c>
      <c r="J27" s="1490">
        <v>0.28999999999999998</v>
      </c>
      <c r="K27" s="1490">
        <v>-0.01</v>
      </c>
      <c r="L27" s="1491">
        <v>0.57999999999999996</v>
      </c>
      <c r="N27" s="1475">
        <f t="shared" si="11"/>
        <v>8.9999999999999998E-4</v>
      </c>
      <c r="O27" s="1476">
        <f t="shared" si="11"/>
        <v>2.8999999999999998E-3</v>
      </c>
      <c r="P27" s="1476">
        <f t="shared" si="11"/>
        <v>-1E-4</v>
      </c>
      <c r="Q27" s="1476">
        <f t="shared" si="11"/>
        <v>5.7999999999999996E-3</v>
      </c>
      <c r="R27" s="1477"/>
      <c r="S27" s="1475"/>
      <c r="T27" s="1476"/>
      <c r="U27" s="1476"/>
      <c r="V27" s="1476"/>
    </row>
    <row r="28" spans="1:34">
      <c r="A28" s="1464" t="s">
        <v>1169</v>
      </c>
      <c r="B28" s="1480">
        <f>B27/(1+N27)</f>
        <v>275.24529281292263</v>
      </c>
      <c r="C28" s="1480">
        <f>C27/(1+O27)</f>
        <v>231.74747938962707</v>
      </c>
      <c r="D28" s="1480">
        <f t="shared" si="9"/>
        <v>231.74747938962707</v>
      </c>
      <c r="E28" s="1480">
        <f t="shared" si="18"/>
        <v>375.35938184826603</v>
      </c>
      <c r="F28" s="1480">
        <f t="shared" si="18"/>
        <v>216.78033510692495</v>
      </c>
      <c r="G28" s="3296"/>
      <c r="H28" s="1468">
        <v>2</v>
      </c>
      <c r="I28" s="1468">
        <v>0.02</v>
      </c>
      <c r="J28" s="1468">
        <v>0.12</v>
      </c>
      <c r="K28" s="1468">
        <v>-0.08</v>
      </c>
      <c r="L28" s="1482">
        <v>1.24</v>
      </c>
      <c r="N28" s="1475">
        <f t="shared" si="11"/>
        <v>2.0000000000000001E-4</v>
      </c>
      <c r="O28" s="1476">
        <f t="shared" si="11"/>
        <v>1.1999999999999999E-3</v>
      </c>
      <c r="P28" s="1476">
        <f t="shared" si="11"/>
        <v>-8.0000000000000004E-4</v>
      </c>
      <c r="Q28" s="1476">
        <f t="shared" si="11"/>
        <v>1.24E-2</v>
      </c>
      <c r="R28" s="1477"/>
      <c r="S28" s="1475"/>
      <c r="T28" s="1476"/>
      <c r="U28" s="1476"/>
      <c r="V28" s="1476"/>
    </row>
    <row r="29" spans="1:34" ht="13.5" thickBot="1">
      <c r="A29" s="1464" t="s">
        <v>1170</v>
      </c>
      <c r="B29" s="1480">
        <f>B28/(1+N28)</f>
        <v>275.19025476197027</v>
      </c>
      <c r="C29" s="1516">
        <v>232</v>
      </c>
      <c r="D29" s="1516">
        <f t="shared" si="9"/>
        <v>232</v>
      </c>
      <c r="E29" s="1480">
        <f t="shared" si="18"/>
        <v>375.65990977608692</v>
      </c>
      <c r="F29" s="1480">
        <f t="shared" si="18"/>
        <v>214.12518283971252</v>
      </c>
      <c r="G29" s="3297"/>
      <c r="H29" s="1467">
        <v>1</v>
      </c>
      <c r="I29" s="1467">
        <v>0.02</v>
      </c>
      <c r="J29" s="1467">
        <v>0.13</v>
      </c>
      <c r="K29" s="1467">
        <v>-0.04</v>
      </c>
      <c r="L29" s="1481">
        <v>0.46</v>
      </c>
      <c r="N29" s="1475">
        <f t="shared" si="11"/>
        <v>2.0000000000000001E-4</v>
      </c>
      <c r="O29" s="1476">
        <f t="shared" si="11"/>
        <v>1.2999999999999999E-3</v>
      </c>
      <c r="P29" s="1476">
        <f t="shared" si="11"/>
        <v>-4.0000000000000002E-4</v>
      </c>
      <c r="Q29" s="1476">
        <f t="shared" si="11"/>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9"/>
        <v>232</v>
      </c>
      <c r="E30" s="1472">
        <v>376</v>
      </c>
      <c r="F30" s="1473">
        <v>213</v>
      </c>
      <c r="G30" s="3295">
        <v>2011</v>
      </c>
      <c r="H30" s="1485">
        <v>4</v>
      </c>
      <c r="I30" s="1485">
        <v>-0.2</v>
      </c>
      <c r="J30" s="1485">
        <v>0.04</v>
      </c>
      <c r="K30" s="1485">
        <v>-0.34</v>
      </c>
      <c r="L30" s="1486">
        <v>0.46</v>
      </c>
      <c r="N30" s="1487">
        <f t="shared" si="11"/>
        <v>-2E-3</v>
      </c>
      <c r="O30" s="1488">
        <f t="shared" si="11"/>
        <v>4.0000000000000002E-4</v>
      </c>
      <c r="P30" s="1488">
        <f t="shared" si="11"/>
        <v>-3.4000000000000002E-3</v>
      </c>
      <c r="Q30" s="1488">
        <f t="shared" si="11"/>
        <v>4.5999999999999999E-3</v>
      </c>
      <c r="R30" s="1477"/>
      <c r="S30" s="1478"/>
      <c r="T30" s="1479"/>
      <c r="U30" s="1479"/>
      <c r="V30" s="1479"/>
      <c r="X30" s="1479"/>
      <c r="Y30" s="1479"/>
      <c r="Z30" s="1479"/>
    </row>
    <row r="31" spans="1:34">
      <c r="A31" s="1464" t="s">
        <v>1172</v>
      </c>
      <c r="B31" s="1480">
        <f t="shared" ref="B31:C33" si="19">B30/(1+N30)</f>
        <v>275.55110220440883</v>
      </c>
      <c r="C31" s="1480">
        <f t="shared" si="19"/>
        <v>231.90723710515795</v>
      </c>
      <c r="D31" s="1480">
        <f t="shared" si="9"/>
        <v>231.90723710515795</v>
      </c>
      <c r="E31" s="1480">
        <f t="shared" ref="E31:F33" si="20">E30/(1+P30)</f>
        <v>377.28276138872161</v>
      </c>
      <c r="F31" s="1480">
        <f t="shared" si="20"/>
        <v>212.02468644236512</v>
      </c>
      <c r="G31" s="3296">
        <v>2011</v>
      </c>
      <c r="H31" s="1490">
        <v>3</v>
      </c>
      <c r="I31" s="1490">
        <v>0.13</v>
      </c>
      <c r="J31" s="1490">
        <v>0.75</v>
      </c>
      <c r="K31" s="1490">
        <v>-0.08</v>
      </c>
      <c r="L31" s="1491">
        <v>0.53</v>
      </c>
      <c r="N31" s="1475">
        <f t="shared" si="11"/>
        <v>1.2999999999999999E-3</v>
      </c>
      <c r="O31" s="1492">
        <f t="shared" si="11"/>
        <v>7.4999999999999997E-3</v>
      </c>
      <c r="P31" s="1492">
        <f t="shared" si="11"/>
        <v>-8.0000000000000004E-4</v>
      </c>
      <c r="Q31" s="1492">
        <f t="shared" si="11"/>
        <v>5.3E-3</v>
      </c>
      <c r="R31" s="1477"/>
      <c r="S31" s="1475"/>
      <c r="T31" s="1476"/>
      <c r="U31" s="1476"/>
      <c r="V31" s="1476"/>
    </row>
    <row r="32" spans="1:34">
      <c r="A32" s="1464" t="s">
        <v>1173</v>
      </c>
      <c r="B32" s="1480">
        <f t="shared" si="19"/>
        <v>275.19335084830601</v>
      </c>
      <c r="C32" s="1480">
        <f t="shared" si="19"/>
        <v>230.18088050139744</v>
      </c>
      <c r="D32" s="1480">
        <f t="shared" si="9"/>
        <v>230.18088050139744</v>
      </c>
      <c r="E32" s="1480">
        <f t="shared" si="20"/>
        <v>377.58482925212331</v>
      </c>
      <c r="F32" s="1480">
        <f t="shared" si="20"/>
        <v>210.90687997847917</v>
      </c>
      <c r="G32" s="3296">
        <v>2011</v>
      </c>
      <c r="H32" s="1468">
        <v>2</v>
      </c>
      <c r="I32" s="1468">
        <v>-0.4</v>
      </c>
      <c r="J32" s="1468">
        <v>0.17</v>
      </c>
      <c r="K32" s="1468">
        <v>-0.57999999999999996</v>
      </c>
      <c r="L32" s="1482">
        <v>-0.2</v>
      </c>
      <c r="N32" s="1475">
        <f t="shared" si="11"/>
        <v>-4.0000000000000001E-3</v>
      </c>
      <c r="O32" s="1492">
        <f t="shared" si="11"/>
        <v>1.7000000000000001E-3</v>
      </c>
      <c r="P32" s="1492">
        <f t="shared" si="11"/>
        <v>-5.7999999999999996E-3</v>
      </c>
      <c r="Q32" s="1492">
        <f t="shared" si="11"/>
        <v>-2E-3</v>
      </c>
      <c r="R32" s="1477"/>
      <c r="S32" s="1475"/>
      <c r="T32" s="1476"/>
      <c r="U32" s="1476"/>
      <c r="V32" s="1476"/>
    </row>
    <row r="33" spans="1:26" ht="13.5" thickBot="1">
      <c r="A33" s="1464" t="s">
        <v>1174</v>
      </c>
      <c r="B33" s="1480">
        <f t="shared" si="19"/>
        <v>276.29854502841971</v>
      </c>
      <c r="C33" s="1480">
        <f t="shared" si="19"/>
        <v>229.79023709833027</v>
      </c>
      <c r="D33" s="1480">
        <f t="shared" si="9"/>
        <v>229.79023709833027</v>
      </c>
      <c r="E33" s="1480">
        <f t="shared" si="20"/>
        <v>379.78759731655936</v>
      </c>
      <c r="F33" s="1480">
        <f t="shared" si="20"/>
        <v>211.32953905659235</v>
      </c>
      <c r="G33" s="3297">
        <v>2011</v>
      </c>
      <c r="H33" s="1467">
        <v>1</v>
      </c>
      <c r="I33" s="1467">
        <v>2.65</v>
      </c>
      <c r="J33" s="1467">
        <v>3.76</v>
      </c>
      <c r="K33" s="1467">
        <v>1.89</v>
      </c>
      <c r="L33" s="1481">
        <v>7.95</v>
      </c>
      <c r="N33" s="1483">
        <f t="shared" si="11"/>
        <v>2.6499999999999999E-2</v>
      </c>
      <c r="O33" s="1484">
        <f t="shared" si="11"/>
        <v>3.7599999999999995E-2</v>
      </c>
      <c r="P33" s="1484">
        <f t="shared" si="11"/>
        <v>1.89E-2</v>
      </c>
      <c r="Q33" s="1484">
        <f t="shared" si="11"/>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9"/>
        <v>221</v>
      </c>
      <c r="E34" s="1472">
        <v>373</v>
      </c>
      <c r="F34" s="1473">
        <v>196</v>
      </c>
      <c r="G34" s="3295">
        <v>2010</v>
      </c>
      <c r="H34" s="1485">
        <v>4</v>
      </c>
      <c r="I34" s="1485">
        <v>5.72</v>
      </c>
      <c r="J34" s="1485">
        <v>6.57</v>
      </c>
      <c r="K34" s="1485">
        <v>5.72</v>
      </c>
      <c r="L34" s="1486">
        <v>2.72</v>
      </c>
      <c r="N34" s="1475">
        <f t="shared" si="11"/>
        <v>5.7200000000000001E-2</v>
      </c>
      <c r="O34" s="1476">
        <f t="shared" si="11"/>
        <v>6.5700000000000008E-2</v>
      </c>
      <c r="P34" s="1476">
        <f t="shared" si="11"/>
        <v>5.7200000000000001E-2</v>
      </c>
      <c r="Q34" s="1476">
        <f t="shared" si="11"/>
        <v>2.7200000000000002E-2</v>
      </c>
      <c r="R34" s="1477"/>
      <c r="S34" s="1478"/>
      <c r="T34" s="1479"/>
      <c r="U34" s="1479"/>
      <c r="V34" s="1479"/>
      <c r="X34" s="1479"/>
      <c r="Y34" s="1479"/>
      <c r="Z34" s="1479"/>
    </row>
    <row r="35" spans="1:26">
      <c r="A35" s="1464" t="s">
        <v>1176</v>
      </c>
      <c r="B35" s="1480">
        <f t="shared" ref="B35:C37" si="21">B34/(1+N34)</f>
        <v>254.44570563753314</v>
      </c>
      <c r="C35" s="1480">
        <f t="shared" si="21"/>
        <v>207.37543398705074</v>
      </c>
      <c r="D35" s="1480">
        <f t="shared" si="9"/>
        <v>207.37543398705074</v>
      </c>
      <c r="E35" s="1480">
        <f t="shared" ref="E35:F37" si="22">E34/(1+P34)</f>
        <v>352.81876655315932</v>
      </c>
      <c r="F35" s="1480">
        <f t="shared" si="22"/>
        <v>190.809968847352</v>
      </c>
      <c r="G35" s="3296">
        <v>2010</v>
      </c>
      <c r="H35" s="1490">
        <v>3</v>
      </c>
      <c r="I35" s="1490">
        <v>4.7300000000000004</v>
      </c>
      <c r="J35" s="1490">
        <v>3.9</v>
      </c>
      <c r="K35" s="1490">
        <v>5.03</v>
      </c>
      <c r="L35" s="1491">
        <v>4.21</v>
      </c>
      <c r="N35" s="1475">
        <f t="shared" si="11"/>
        <v>4.7300000000000002E-2</v>
      </c>
      <c r="O35" s="1476">
        <f t="shared" si="11"/>
        <v>3.9E-2</v>
      </c>
      <c r="P35" s="1476">
        <f t="shared" si="11"/>
        <v>5.0300000000000004E-2</v>
      </c>
      <c r="Q35" s="1476">
        <f t="shared" si="11"/>
        <v>4.2099999999999999E-2</v>
      </c>
      <c r="R35" s="1477"/>
      <c r="S35" s="1475"/>
      <c r="T35" s="1476"/>
      <c r="U35" s="1476"/>
      <c r="V35" s="1476"/>
    </row>
    <row r="36" spans="1:26">
      <c r="A36" s="1464" t="s">
        <v>1177</v>
      </c>
      <c r="B36" s="1480">
        <f t="shared" si="21"/>
        <v>242.95398227588385</v>
      </c>
      <c r="C36" s="1480">
        <f t="shared" si="21"/>
        <v>199.59137053614126</v>
      </c>
      <c r="D36" s="1480">
        <f t="shared" si="9"/>
        <v>199.59137053614126</v>
      </c>
      <c r="E36" s="1480">
        <f t="shared" si="22"/>
        <v>335.92189522342125</v>
      </c>
      <c r="F36" s="1480">
        <f t="shared" si="22"/>
        <v>183.10139991109489</v>
      </c>
      <c r="G36" s="3296">
        <v>2010</v>
      </c>
      <c r="H36" s="1468">
        <v>2</v>
      </c>
      <c r="I36" s="1468">
        <v>4.6900000000000004</v>
      </c>
      <c r="J36" s="1468">
        <v>3.55</v>
      </c>
      <c r="K36" s="1468">
        <v>5.07</v>
      </c>
      <c r="L36" s="1482">
        <v>4.2300000000000004</v>
      </c>
      <c r="N36" s="1475">
        <f t="shared" si="11"/>
        <v>4.6900000000000004E-2</v>
      </c>
      <c r="O36" s="1476">
        <f t="shared" si="11"/>
        <v>3.5499999999999997E-2</v>
      </c>
      <c r="P36" s="1476">
        <f t="shared" si="11"/>
        <v>5.0700000000000002E-2</v>
      </c>
      <c r="Q36" s="1476">
        <f t="shared" si="11"/>
        <v>4.2300000000000004E-2</v>
      </c>
      <c r="R36" s="1477"/>
      <c r="S36" s="1475"/>
      <c r="T36" s="1476"/>
      <c r="U36" s="1476"/>
      <c r="V36" s="1476"/>
    </row>
    <row r="37" spans="1:26" ht="13.5" thickBot="1">
      <c r="A37" s="1464" t="s">
        <v>1178</v>
      </c>
      <c r="B37" s="1480">
        <f t="shared" si="21"/>
        <v>232.06990378821649</v>
      </c>
      <c r="C37" s="1480">
        <f t="shared" si="21"/>
        <v>192.74878854286936</v>
      </c>
      <c r="D37" s="1480">
        <f t="shared" si="9"/>
        <v>192.74878854286936</v>
      </c>
      <c r="E37" s="1480">
        <f t="shared" si="22"/>
        <v>319.71247284992984</v>
      </c>
      <c r="F37" s="1480">
        <f t="shared" si="22"/>
        <v>175.67053622862409</v>
      </c>
      <c r="G37" s="3297">
        <v>2010</v>
      </c>
      <c r="H37" s="1467">
        <v>1</v>
      </c>
      <c r="I37" s="1467">
        <v>5.4</v>
      </c>
      <c r="J37" s="1467">
        <v>3.2</v>
      </c>
      <c r="K37" s="1467">
        <v>6.16</v>
      </c>
      <c r="L37" s="1481">
        <v>4.51</v>
      </c>
      <c r="N37" s="1475">
        <f t="shared" si="11"/>
        <v>5.4000000000000006E-2</v>
      </c>
      <c r="O37" s="1476">
        <f t="shared" si="11"/>
        <v>3.2000000000000001E-2</v>
      </c>
      <c r="P37" s="1476">
        <f t="shared" si="11"/>
        <v>6.1600000000000002E-2</v>
      </c>
      <c r="Q37" s="1476">
        <f t="shared" si="11"/>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9"/>
        <v>187</v>
      </c>
      <c r="E38" s="1472">
        <v>301</v>
      </c>
      <c r="F38" s="1473">
        <v>168</v>
      </c>
      <c r="G38" s="3295">
        <v>2009</v>
      </c>
      <c r="H38" s="1485">
        <v>4</v>
      </c>
      <c r="I38" s="1485">
        <v>2.2999999999999998</v>
      </c>
      <c r="J38" s="1485">
        <v>1.04</v>
      </c>
      <c r="K38" s="1485">
        <v>2.84</v>
      </c>
      <c r="L38" s="1486">
        <v>0.67</v>
      </c>
      <c r="N38" s="1487">
        <f t="shared" si="11"/>
        <v>2.3E-2</v>
      </c>
      <c r="O38" s="1488">
        <f t="shared" si="11"/>
        <v>1.04E-2</v>
      </c>
      <c r="P38" s="1488">
        <f t="shared" si="11"/>
        <v>2.8399999999999998E-2</v>
      </c>
      <c r="Q38" s="1488">
        <f t="shared" si="11"/>
        <v>6.7000000000000002E-3</v>
      </c>
      <c r="R38" s="1477"/>
      <c r="S38" s="1478"/>
      <c r="T38" s="1479"/>
      <c r="U38" s="1479"/>
      <c r="V38" s="1479"/>
      <c r="X38" s="1479"/>
      <c r="Y38" s="1479"/>
      <c r="Z38" s="1479"/>
    </row>
    <row r="39" spans="1:26">
      <c r="A39" s="1464" t="s">
        <v>1180</v>
      </c>
      <c r="B39" s="1480">
        <f t="shared" ref="B39:C41" si="23">B38/(1+N38)</f>
        <v>215.05376344086022</v>
      </c>
      <c r="C39" s="1480">
        <f t="shared" si="23"/>
        <v>185.0752177355503</v>
      </c>
      <c r="D39" s="1480">
        <f t="shared" si="9"/>
        <v>185.0752177355503</v>
      </c>
      <c r="E39" s="1480">
        <f t="shared" ref="E39:F41" si="24">E38/(1+P38)</f>
        <v>292.68767016725008</v>
      </c>
      <c r="F39" s="1480">
        <f t="shared" si="24"/>
        <v>166.88189132810174</v>
      </c>
      <c r="G39" s="3296">
        <v>2009</v>
      </c>
      <c r="H39" s="1490">
        <v>3</v>
      </c>
      <c r="I39" s="1490">
        <v>2.1</v>
      </c>
      <c r="J39" s="1490">
        <v>1.86</v>
      </c>
      <c r="K39" s="1490">
        <v>2.29</v>
      </c>
      <c r="L39" s="1491">
        <v>0.85</v>
      </c>
      <c r="N39" s="1475">
        <f t="shared" si="11"/>
        <v>2.1000000000000001E-2</v>
      </c>
      <c r="O39" s="1492">
        <f t="shared" si="11"/>
        <v>1.8600000000000002E-2</v>
      </c>
      <c r="P39" s="1492">
        <f t="shared" si="11"/>
        <v>2.29E-2</v>
      </c>
      <c r="Q39" s="1492">
        <f t="shared" si="11"/>
        <v>8.5000000000000006E-3</v>
      </c>
      <c r="R39" s="1477"/>
      <c r="S39" s="1475"/>
      <c r="T39" s="1476"/>
      <c r="U39" s="1476"/>
      <c r="V39" s="1476"/>
    </row>
    <row r="40" spans="1:26">
      <c r="A40" s="1464" t="s">
        <v>1181</v>
      </c>
      <c r="B40" s="1480">
        <f t="shared" si="23"/>
        <v>210.630522469011</v>
      </c>
      <c r="C40" s="1480">
        <f t="shared" si="23"/>
        <v>181.69567812247232</v>
      </c>
      <c r="D40" s="1480">
        <f t="shared" si="9"/>
        <v>181.69567812247232</v>
      </c>
      <c r="E40" s="1480">
        <f t="shared" si="24"/>
        <v>286.13517466736738</v>
      </c>
      <c r="F40" s="1480">
        <f t="shared" si="24"/>
        <v>165.47535084591149</v>
      </c>
      <c r="G40" s="3296">
        <v>2009</v>
      </c>
      <c r="H40" s="1468">
        <v>2</v>
      </c>
      <c r="I40" s="1468">
        <v>0.86</v>
      </c>
      <c r="J40" s="1468">
        <v>-1.1299999999999999</v>
      </c>
      <c r="K40" s="1468">
        <v>1.79</v>
      </c>
      <c r="L40" s="1482">
        <v>-2.0699999999999998</v>
      </c>
      <c r="N40" s="1475">
        <f t="shared" si="11"/>
        <v>8.6E-3</v>
      </c>
      <c r="O40" s="1492">
        <f t="shared" si="11"/>
        <v>-1.1299999999999999E-2</v>
      </c>
      <c r="P40" s="1492">
        <f t="shared" si="11"/>
        <v>1.7899999999999999E-2</v>
      </c>
      <c r="Q40" s="1492">
        <f t="shared" si="11"/>
        <v>-2.07E-2</v>
      </c>
      <c r="R40" s="1477"/>
      <c r="S40" s="1475"/>
      <c r="T40" s="1476"/>
      <c r="U40" s="1476"/>
      <c r="V40" s="1476"/>
    </row>
    <row r="41" spans="1:26">
      <c r="A41" s="1464" t="s">
        <v>1182</v>
      </c>
      <c r="B41" s="1480">
        <f t="shared" si="23"/>
        <v>208.83454537875372</v>
      </c>
      <c r="C41" s="1480">
        <f t="shared" si="23"/>
        <v>183.77230517090351</v>
      </c>
      <c r="D41" s="1480">
        <f t="shared" si="9"/>
        <v>183.77230517090351</v>
      </c>
      <c r="E41" s="1480">
        <f t="shared" si="24"/>
        <v>281.10342338870947</v>
      </c>
      <c r="F41" s="1480">
        <f t="shared" si="24"/>
        <v>168.97309388942256</v>
      </c>
      <c r="G41" s="3297">
        <v>2009</v>
      </c>
      <c r="H41" s="1467">
        <v>1</v>
      </c>
      <c r="I41" s="1467">
        <v>-2.64</v>
      </c>
      <c r="J41" s="1467">
        <v>-2.5299999999999998</v>
      </c>
      <c r="K41" s="1467">
        <v>-3.02</v>
      </c>
      <c r="L41" s="1481">
        <v>1.52</v>
      </c>
      <c r="N41" s="1483">
        <f t="shared" si="11"/>
        <v>-2.64E-2</v>
      </c>
      <c r="O41" s="1484">
        <f t="shared" si="11"/>
        <v>-2.53E-2</v>
      </c>
      <c r="P41" s="1484">
        <f t="shared" si="11"/>
        <v>-3.0200000000000001E-2</v>
      </c>
      <c r="Q41" s="1484">
        <f t="shared" si="11"/>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9"/>
        <v>188</v>
      </c>
      <c r="E42" s="1514">
        <v>289</v>
      </c>
      <c r="F42" s="1515">
        <v>166</v>
      </c>
      <c r="G42" s="3295">
        <v>2008</v>
      </c>
      <c r="H42" s="1485">
        <v>4</v>
      </c>
      <c r="I42" s="1485">
        <v>1.73</v>
      </c>
      <c r="J42" s="1485">
        <v>0.03</v>
      </c>
      <c r="K42" s="1485">
        <v>2.59</v>
      </c>
      <c r="L42" s="1486">
        <v>-1.66</v>
      </c>
      <c r="N42" s="1475">
        <f t="shared" si="11"/>
        <v>1.7299999999999999E-2</v>
      </c>
      <c r="O42" s="1476">
        <f t="shared" si="11"/>
        <v>2.9999999999999997E-4</v>
      </c>
      <c r="P42" s="1476">
        <f t="shared" si="11"/>
        <v>2.5899999999999999E-2</v>
      </c>
      <c r="Q42" s="1476">
        <f t="shared" si="11"/>
        <v>-1.66E-2</v>
      </c>
      <c r="R42" s="1477"/>
      <c r="S42" s="1478"/>
      <c r="T42" s="1479"/>
      <c r="U42" s="1479"/>
      <c r="V42" s="1479"/>
      <c r="X42" s="1479"/>
      <c r="Y42" s="1479"/>
      <c r="Z42" s="1479"/>
    </row>
    <row r="43" spans="1:26">
      <c r="A43" s="1464" t="s">
        <v>1184</v>
      </c>
      <c r="B43" s="1480">
        <f t="shared" ref="B43:C45" si="25">B42/(1+N42)</f>
        <v>210.36075887152265</v>
      </c>
      <c r="C43" s="1480">
        <f t="shared" si="25"/>
        <v>187.94361691492554</v>
      </c>
      <c r="D43" s="1480">
        <f t="shared" si="9"/>
        <v>187.94361691492554</v>
      </c>
      <c r="E43" s="1480">
        <f t="shared" ref="E43:F45" si="26">E42/(1+P42)</f>
        <v>281.70386977288234</v>
      </c>
      <c r="F43" s="1480">
        <f t="shared" si="26"/>
        <v>168.80211511083994</v>
      </c>
      <c r="G43" s="3296">
        <v>2008</v>
      </c>
      <c r="H43" s="1490">
        <v>3</v>
      </c>
      <c r="I43" s="1490">
        <v>1.96</v>
      </c>
      <c r="J43" s="1490">
        <v>2.36</v>
      </c>
      <c r="K43" s="1490">
        <v>1.82</v>
      </c>
      <c r="L43" s="1491">
        <v>2.2200000000000002</v>
      </c>
      <c r="N43" s="1475">
        <f t="shared" si="11"/>
        <v>1.9599999999999999E-2</v>
      </c>
      <c r="O43" s="1476">
        <f t="shared" si="11"/>
        <v>2.3599999999999999E-2</v>
      </c>
      <c r="P43" s="1476">
        <f t="shared" si="11"/>
        <v>1.8200000000000001E-2</v>
      </c>
      <c r="Q43" s="1476">
        <f t="shared" si="11"/>
        <v>2.2200000000000001E-2</v>
      </c>
      <c r="R43" s="1477"/>
      <c r="S43" s="1475"/>
      <c r="T43" s="1476"/>
      <c r="U43" s="1476"/>
      <c r="V43" s="1476"/>
    </row>
    <row r="44" spans="1:26">
      <c r="A44" s="1464" t="s">
        <v>1185</v>
      </c>
      <c r="B44" s="1480">
        <f t="shared" si="25"/>
        <v>206.31694671589116</v>
      </c>
      <c r="C44" s="1480">
        <f t="shared" si="25"/>
        <v>183.61041121036101</v>
      </c>
      <c r="D44" s="1480">
        <f t="shared" si="9"/>
        <v>183.61041121036101</v>
      </c>
      <c r="E44" s="1480">
        <f t="shared" si="26"/>
        <v>276.66850301795557</v>
      </c>
      <c r="F44" s="1480">
        <f t="shared" si="26"/>
        <v>165.1360938278614</v>
      </c>
      <c r="G44" s="3296">
        <v>2008</v>
      </c>
      <c r="H44" s="1468">
        <v>2</v>
      </c>
      <c r="I44" s="1468">
        <v>4.93</v>
      </c>
      <c r="J44" s="1468">
        <v>7.38</v>
      </c>
      <c r="K44" s="1468">
        <v>3.98</v>
      </c>
      <c r="L44" s="1482">
        <v>6.86</v>
      </c>
      <c r="N44" s="1475">
        <f t="shared" si="11"/>
        <v>4.9299999999999997E-2</v>
      </c>
      <c r="O44" s="1476">
        <f t="shared" si="11"/>
        <v>7.3800000000000004E-2</v>
      </c>
      <c r="P44" s="1476">
        <f t="shared" si="11"/>
        <v>3.9800000000000002E-2</v>
      </c>
      <c r="Q44" s="1476">
        <f t="shared" si="11"/>
        <v>6.8600000000000008E-2</v>
      </c>
      <c r="R44" s="1477"/>
      <c r="S44" s="1475"/>
      <c r="T44" s="1476"/>
      <c r="U44" s="1476"/>
      <c r="V44" s="1476"/>
    </row>
    <row r="45" spans="1:26" s="1520" customFormat="1" ht="13.5" thickBot="1">
      <c r="A45" s="1464" t="s">
        <v>1186</v>
      </c>
      <c r="B45" s="1517">
        <f t="shared" si="25"/>
        <v>196.62341248059772</v>
      </c>
      <c r="C45" s="1517">
        <f t="shared" si="25"/>
        <v>170.99125648199012</v>
      </c>
      <c r="D45" s="1517">
        <f t="shared" si="9"/>
        <v>170.99125648199012</v>
      </c>
      <c r="E45" s="1517">
        <f t="shared" si="26"/>
        <v>266.07857570490052</v>
      </c>
      <c r="F45" s="1517">
        <f t="shared" si="26"/>
        <v>154.53499328828505</v>
      </c>
      <c r="G45" s="3297">
        <v>2008</v>
      </c>
      <c r="H45" s="1518">
        <v>1</v>
      </c>
      <c r="I45" s="1518">
        <v>4.1399999999999997</v>
      </c>
      <c r="J45" s="1518">
        <v>3.45</v>
      </c>
      <c r="K45" s="1518">
        <v>4.95</v>
      </c>
      <c r="L45" s="1519">
        <v>4.82</v>
      </c>
      <c r="N45" s="1521">
        <f t="shared" si="11"/>
        <v>4.1399999999999999E-2</v>
      </c>
      <c r="O45" s="1522">
        <f t="shared" si="11"/>
        <v>3.4500000000000003E-2</v>
      </c>
      <c r="P45" s="1522">
        <f t="shared" si="11"/>
        <v>4.9500000000000002E-2</v>
      </c>
      <c r="Q45" s="1522">
        <f t="shared" si="11"/>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9"/>
        <v>165</v>
      </c>
      <c r="E46" s="1472">
        <v>254</v>
      </c>
      <c r="F46" s="1473">
        <v>148</v>
      </c>
      <c r="G46" s="3295">
        <v>2007</v>
      </c>
      <c r="H46" s="1525">
        <v>4</v>
      </c>
      <c r="I46" s="1525">
        <v>5.51</v>
      </c>
      <c r="J46" s="1525">
        <v>4.8899999999999997</v>
      </c>
      <c r="K46" s="1525">
        <v>6.43</v>
      </c>
      <c r="L46" s="1526">
        <v>5.36</v>
      </c>
      <c r="N46" s="1527">
        <f t="shared" ref="N46:O49" si="27">B46/B47-1</f>
        <v>4.1339718365245526E-2</v>
      </c>
      <c r="O46" s="1528">
        <f t="shared" si="27"/>
        <v>4.0324492593776018E-2</v>
      </c>
      <c r="P46" s="1528">
        <f t="shared" ref="P46:Q49" si="28">E46/E47-1</f>
        <v>6.1625555347990968E-2</v>
      </c>
      <c r="Q46" s="1528">
        <f t="shared" si="28"/>
        <v>4.6757569250590603E-2</v>
      </c>
      <c r="R46" s="1477"/>
      <c r="S46" s="1478"/>
      <c r="T46" s="1479"/>
      <c r="U46" s="1479"/>
      <c r="V46" s="1479"/>
      <c r="X46" s="1479"/>
      <c r="Y46" s="1479"/>
      <c r="Z46" s="1479"/>
    </row>
    <row r="47" spans="1:26">
      <c r="A47" s="1464" t="s">
        <v>1188</v>
      </c>
      <c r="B47" s="1480">
        <f t="shared" ref="B47:C49" si="29">B48+(B$46-B$50)*I47/SUM(I$46:I$49)</f>
        <v>180.5366651097618</v>
      </c>
      <c r="C47" s="1480">
        <f t="shared" si="29"/>
        <v>158.60435967302453</v>
      </c>
      <c r="D47" s="1480">
        <f t="shared" si="9"/>
        <v>158.60435967302453</v>
      </c>
      <c r="E47" s="1480">
        <f t="shared" ref="E47:F49" si="30">E48+(E$46-E$50)*K47/SUM(K$46:K$49)</f>
        <v>239.25573260785075</v>
      </c>
      <c r="F47" s="1480">
        <f t="shared" si="30"/>
        <v>141.38899430740037</v>
      </c>
      <c r="G47" s="3296">
        <v>2007</v>
      </c>
      <c r="H47" s="1490">
        <v>3</v>
      </c>
      <c r="I47" s="1490">
        <v>8.65</v>
      </c>
      <c r="J47" s="1490">
        <v>8.06</v>
      </c>
      <c r="K47" s="1490">
        <v>9.94</v>
      </c>
      <c r="L47" s="1491">
        <v>5.8</v>
      </c>
      <c r="N47" s="1527">
        <f t="shared" si="27"/>
        <v>6.940217571740015E-2</v>
      </c>
      <c r="O47" s="1528">
        <f t="shared" si="27"/>
        <v>7.1197482471153428E-2</v>
      </c>
      <c r="P47" s="1528">
        <f t="shared" si="28"/>
        <v>0.10529679922579582</v>
      </c>
      <c r="Q47" s="1528">
        <f t="shared" si="28"/>
        <v>5.3292245059512133E-2</v>
      </c>
      <c r="R47" s="1477"/>
      <c r="S47" s="1475"/>
      <c r="T47" s="1476"/>
      <c r="U47" s="1476"/>
      <c r="V47" s="1476"/>
      <c r="X47" s="1529"/>
      <c r="Y47" s="1529"/>
      <c r="Z47" s="1529"/>
    </row>
    <row r="48" spans="1:26">
      <c r="A48" s="1464" t="s">
        <v>1189</v>
      </c>
      <c r="B48" s="1480">
        <f t="shared" si="29"/>
        <v>168.82017748715555</v>
      </c>
      <c r="C48" s="1480">
        <f t="shared" si="29"/>
        <v>148.06267029972753</v>
      </c>
      <c r="D48" s="1480">
        <f t="shared" si="9"/>
        <v>148.06267029972753</v>
      </c>
      <c r="E48" s="1480">
        <f t="shared" si="30"/>
        <v>216.46288379323747</v>
      </c>
      <c r="F48" s="1480">
        <f t="shared" si="30"/>
        <v>134.23529411764704</v>
      </c>
      <c r="G48" s="3296">
        <v>2007</v>
      </c>
      <c r="H48" s="1468">
        <v>2</v>
      </c>
      <c r="I48" s="1468">
        <v>3.67</v>
      </c>
      <c r="J48" s="1468">
        <v>2.3199999999999998</v>
      </c>
      <c r="K48" s="1468">
        <v>5.0199999999999996</v>
      </c>
      <c r="L48" s="1482">
        <v>6.71</v>
      </c>
      <c r="N48" s="1527">
        <f t="shared" si="27"/>
        <v>3.0339138143848032E-2</v>
      </c>
      <c r="O48" s="1528">
        <f t="shared" si="27"/>
        <v>2.0922341588790472E-2</v>
      </c>
      <c r="P48" s="1528">
        <f t="shared" si="28"/>
        <v>5.6164796592717003E-2</v>
      </c>
      <c r="Q48" s="1528">
        <f t="shared" si="28"/>
        <v>6.5704536723887319E-2</v>
      </c>
      <c r="R48" s="1477"/>
      <c r="S48" s="1475"/>
      <c r="T48" s="1476"/>
      <c r="U48" s="1476"/>
      <c r="V48" s="1476"/>
      <c r="X48" s="1529"/>
      <c r="Y48" s="1529"/>
      <c r="Z48" s="1529"/>
    </row>
    <row r="49" spans="1:26">
      <c r="A49" s="1464" t="s">
        <v>1190</v>
      </c>
      <c r="B49" s="1480">
        <f t="shared" si="29"/>
        <v>163.84913591779542</v>
      </c>
      <c r="C49" s="1480">
        <f t="shared" si="29"/>
        <v>145.0283378746594</v>
      </c>
      <c r="D49" s="1480">
        <f t="shared" si="9"/>
        <v>145.0283378746594</v>
      </c>
      <c r="E49" s="1480">
        <f t="shared" si="30"/>
        <v>204.95180722891567</v>
      </c>
      <c r="F49" s="1480">
        <f t="shared" si="30"/>
        <v>125.95920303605313</v>
      </c>
      <c r="G49" s="3297">
        <v>2007</v>
      </c>
      <c r="H49" s="1467">
        <v>1</v>
      </c>
      <c r="I49" s="1467">
        <v>3.58</v>
      </c>
      <c r="J49" s="1467">
        <v>3.08</v>
      </c>
      <c r="K49" s="1467">
        <v>4.34</v>
      </c>
      <c r="L49" s="1481">
        <v>3.21</v>
      </c>
      <c r="N49" s="1530">
        <f t="shared" si="27"/>
        <v>3.0497710174814063E-2</v>
      </c>
      <c r="O49" s="1531">
        <f t="shared" si="27"/>
        <v>2.8569772160704998E-2</v>
      </c>
      <c r="P49" s="1531">
        <f t="shared" si="28"/>
        <v>5.1034908866234296E-2</v>
      </c>
      <c r="Q49" s="1531">
        <f t="shared" si="28"/>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9"/>
        <v>141</v>
      </c>
      <c r="E50" s="1493">
        <v>195</v>
      </c>
      <c r="F50" s="1494">
        <v>122</v>
      </c>
      <c r="G50" s="3295">
        <v>2006</v>
      </c>
      <c r="H50" s="1485">
        <v>4</v>
      </c>
      <c r="I50" s="1485">
        <v>3.79</v>
      </c>
      <c r="J50" s="1485">
        <v>2.21</v>
      </c>
      <c r="K50" s="1485">
        <v>5.65</v>
      </c>
      <c r="L50" s="1486">
        <v>5.41</v>
      </c>
      <c r="N50" s="1527">
        <f t="shared" ref="N50:O53" si="31">I50/SUM(I$50:I$53)*(B$50/B$54-1)</f>
        <v>7.245466462748526E-2</v>
      </c>
      <c r="O50" s="1528">
        <f t="shared" si="31"/>
        <v>2.3237230038062766E-2</v>
      </c>
      <c r="P50" s="1528">
        <f t="shared" ref="P50:Q53" si="32">K50/SUM(K$50:K$53)*(E$50/E$54-1)</f>
        <v>0.16146893866323722</v>
      </c>
      <c r="Q50" s="1528">
        <f t="shared" si="32"/>
        <v>5.0755230321793784E-2</v>
      </c>
      <c r="R50" s="1477"/>
      <c r="S50" s="1478"/>
      <c r="T50" s="1479"/>
      <c r="U50" s="1479"/>
      <c r="V50" s="1479"/>
      <c r="X50" s="1529"/>
      <c r="Y50" s="1529"/>
      <c r="Z50" s="1529"/>
    </row>
    <row r="51" spans="1:26">
      <c r="A51" s="1464" t="s">
        <v>1192</v>
      </c>
      <c r="B51" s="1480">
        <f t="shared" ref="B51:C53" si="33">B52+(B$50-B$54)*I51/SUM(I$50:I$53)</f>
        <v>149.00125628140702</v>
      </c>
      <c r="C51" s="1480">
        <f t="shared" si="33"/>
        <v>137.95592286501378</v>
      </c>
      <c r="D51" s="1480">
        <f t="shared" si="9"/>
        <v>137.95592286501378</v>
      </c>
      <c r="E51" s="1480">
        <f t="shared" ref="E51:F53" si="34">E52+(E$50-E$54)*K51/SUM(K$50:K$53)</f>
        <v>169.97231450719823</v>
      </c>
      <c r="F51" s="1480">
        <f t="shared" si="34"/>
        <v>116.21390374331551</v>
      </c>
      <c r="G51" s="3296">
        <v>2006</v>
      </c>
      <c r="H51" s="1490">
        <v>3</v>
      </c>
      <c r="I51" s="1490">
        <v>0.92</v>
      </c>
      <c r="J51" s="1490">
        <v>1.08</v>
      </c>
      <c r="K51" s="1490">
        <v>0.73</v>
      </c>
      <c r="L51" s="1491">
        <v>1.08</v>
      </c>
      <c r="N51" s="1527">
        <f t="shared" si="31"/>
        <v>1.7587939698492462E-2</v>
      </c>
      <c r="O51" s="1528">
        <f t="shared" si="31"/>
        <v>1.1355750425840628E-2</v>
      </c>
      <c r="P51" s="1528">
        <f t="shared" si="32"/>
        <v>2.0862358446754544E-2</v>
      </c>
      <c r="Q51" s="1528">
        <f t="shared" si="32"/>
        <v>1.0132282578103011E-2</v>
      </c>
      <c r="R51" s="1477"/>
      <c r="S51" s="1475"/>
      <c r="T51" s="1476"/>
      <c r="U51" s="1476"/>
      <c r="V51" s="1476"/>
      <c r="X51" s="1529"/>
      <c r="Y51" s="1529"/>
      <c r="Z51" s="1529"/>
    </row>
    <row r="52" spans="1:26">
      <c r="A52" s="1464" t="s">
        <v>1193</v>
      </c>
      <c r="B52" s="1480">
        <f t="shared" si="33"/>
        <v>146.57412060301507</v>
      </c>
      <c r="C52" s="1480">
        <f t="shared" si="33"/>
        <v>136.46831955922866</v>
      </c>
      <c r="D52" s="1480">
        <f t="shared" si="9"/>
        <v>136.46831955922866</v>
      </c>
      <c r="E52" s="1480">
        <f t="shared" si="34"/>
        <v>166.73864894795128</v>
      </c>
      <c r="F52" s="1480">
        <f t="shared" si="34"/>
        <v>115.05882352941177</v>
      </c>
      <c r="G52" s="3296">
        <v>2006</v>
      </c>
      <c r="H52" s="1468">
        <v>2</v>
      </c>
      <c r="I52" s="1468">
        <v>0.96</v>
      </c>
      <c r="J52" s="1468">
        <v>0.25</v>
      </c>
      <c r="K52" s="1468">
        <v>1.9</v>
      </c>
      <c r="L52" s="1482">
        <v>0.95</v>
      </c>
      <c r="N52" s="1527">
        <f t="shared" si="31"/>
        <v>1.8352632728861701E-2</v>
      </c>
      <c r="O52" s="1528">
        <f t="shared" si="31"/>
        <v>2.6286459319075526E-3</v>
      </c>
      <c r="P52" s="1528">
        <f t="shared" si="32"/>
        <v>5.4299289107991269E-2</v>
      </c>
      <c r="Q52" s="1528">
        <f t="shared" si="32"/>
        <v>8.9126559714794995E-3</v>
      </c>
      <c r="R52" s="1477"/>
      <c r="S52" s="1475"/>
      <c r="T52" s="1476"/>
      <c r="U52" s="1476"/>
      <c r="V52" s="1476"/>
      <c r="X52" s="1529"/>
      <c r="Y52" s="1529"/>
      <c r="Z52" s="1529"/>
    </row>
    <row r="53" spans="1:26">
      <c r="A53" s="1464" t="s">
        <v>1194</v>
      </c>
      <c r="B53" s="1480">
        <f t="shared" si="33"/>
        <v>144.04145728643215</v>
      </c>
      <c r="C53" s="1480">
        <f t="shared" si="33"/>
        <v>136.12396694214877</v>
      </c>
      <c r="D53" s="1480">
        <f t="shared" si="9"/>
        <v>136.12396694214877</v>
      </c>
      <c r="E53" s="1480">
        <f t="shared" si="34"/>
        <v>158.32225913621264</v>
      </c>
      <c r="F53" s="1480">
        <f t="shared" si="34"/>
        <v>114.04278074866311</v>
      </c>
      <c r="G53" s="3297">
        <v>2006</v>
      </c>
      <c r="H53" s="1467">
        <v>1</v>
      </c>
      <c r="I53" s="1467">
        <v>2.29</v>
      </c>
      <c r="J53" s="1467">
        <v>3.72</v>
      </c>
      <c r="K53" s="1467">
        <v>0.75</v>
      </c>
      <c r="L53" s="1481">
        <v>0.04</v>
      </c>
      <c r="N53" s="1530">
        <f t="shared" si="31"/>
        <v>4.3778675988638847E-2</v>
      </c>
      <c r="O53" s="1531">
        <f t="shared" si="31"/>
        <v>3.9114251466784385E-2</v>
      </c>
      <c r="P53" s="1531">
        <f t="shared" si="32"/>
        <v>2.1433929911049188E-2</v>
      </c>
      <c r="Q53" s="1531">
        <f t="shared" si="32"/>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9"/>
        <v>131</v>
      </c>
      <c r="E54" s="1493">
        <v>155</v>
      </c>
      <c r="F54" s="1494">
        <v>114</v>
      </c>
      <c r="G54" s="3295">
        <v>2005</v>
      </c>
      <c r="H54" s="1485">
        <v>4</v>
      </c>
      <c r="I54" s="1485">
        <v>3.29</v>
      </c>
      <c r="J54" s="1485">
        <v>1.44</v>
      </c>
      <c r="K54" s="1485">
        <v>0.66</v>
      </c>
      <c r="L54" s="1486">
        <v>7.78</v>
      </c>
      <c r="N54" s="1527">
        <f t="shared" ref="N54:O57" si="35">I54/SUM(I$54:I$57)*(B$54/B$58-1)</f>
        <v>9.9404603216919935E-2</v>
      </c>
      <c r="O54" s="1528">
        <f t="shared" si="35"/>
        <v>4.7636550760861554E-2</v>
      </c>
      <c r="P54" s="1528">
        <f t="shared" ref="P54:Q57" si="36">K54/SUM(K$54:K$57)*(E$54/E$58-1)</f>
        <v>8.3756345177664976E-2</v>
      </c>
      <c r="Q54" s="1528">
        <f t="shared" si="36"/>
        <v>5.2148766661559584E-2</v>
      </c>
      <c r="R54" s="1477"/>
      <c r="S54" s="1478"/>
      <c r="T54" s="1479"/>
      <c r="U54" s="1479"/>
      <c r="V54" s="1479"/>
      <c r="X54" s="1529"/>
      <c r="Y54" s="1529"/>
      <c r="Z54" s="1529"/>
    </row>
    <row r="55" spans="1:26">
      <c r="A55" s="1464" t="s">
        <v>1196</v>
      </c>
      <c r="B55" s="1480">
        <f t="shared" ref="B55:C57" si="37">B56+(B$54-B$58)*I55/SUM(I$54:I$57)</f>
        <v>125.9720430107527</v>
      </c>
      <c r="C55" s="1480">
        <f t="shared" si="37"/>
        <v>125.1883408071749</v>
      </c>
      <c r="D55" s="1480">
        <f t="shared" si="9"/>
        <v>125.1883408071749</v>
      </c>
      <c r="E55" s="1480">
        <f t="shared" ref="E55:F57" si="38">E56+(E$54-E$58)*K55/SUM(K$54:K$57)</f>
        <v>144.61421319796952</v>
      </c>
      <c r="F55" s="1480">
        <f t="shared" si="38"/>
        <v>108.42008196721311</v>
      </c>
      <c r="G55" s="3296">
        <v>2005</v>
      </c>
      <c r="H55" s="1490">
        <v>3</v>
      </c>
      <c r="I55" s="1490">
        <v>0.46</v>
      </c>
      <c r="J55" s="1490">
        <v>0.32</v>
      </c>
      <c r="K55" s="1490">
        <v>0.42</v>
      </c>
      <c r="L55" s="1491">
        <v>0.64</v>
      </c>
      <c r="N55" s="1527">
        <f t="shared" si="35"/>
        <v>1.3898515951301874E-2</v>
      </c>
      <c r="O55" s="1528">
        <f t="shared" si="35"/>
        <v>1.0585900169080346E-2</v>
      </c>
      <c r="P55" s="1528">
        <f t="shared" si="36"/>
        <v>5.3299492385786795E-2</v>
      </c>
      <c r="Q55" s="1528">
        <f t="shared" si="36"/>
        <v>4.2898728359123568E-3</v>
      </c>
      <c r="R55" s="1477"/>
      <c r="S55" s="1475"/>
      <c r="T55" s="1476"/>
      <c r="U55" s="1476"/>
      <c r="V55" s="1476"/>
      <c r="X55" s="1529"/>
      <c r="Y55" s="1529"/>
      <c r="Z55" s="1529"/>
    </row>
    <row r="56" spans="1:26">
      <c r="A56" s="1464" t="s">
        <v>1197</v>
      </c>
      <c r="B56" s="1480">
        <f t="shared" si="37"/>
        <v>124.29032258064517</v>
      </c>
      <c r="C56" s="1480">
        <f t="shared" si="37"/>
        <v>123.8968609865471</v>
      </c>
      <c r="D56" s="1480">
        <f t="shared" si="9"/>
        <v>123.8968609865471</v>
      </c>
      <c r="E56" s="1480">
        <f t="shared" si="38"/>
        <v>138.00507614213197</v>
      </c>
      <c r="F56" s="1480">
        <f t="shared" si="38"/>
        <v>107.96106557377048</v>
      </c>
      <c r="G56" s="3296">
        <v>2005</v>
      </c>
      <c r="H56" s="1468">
        <v>2</v>
      </c>
      <c r="I56" s="1468">
        <v>0.47</v>
      </c>
      <c r="J56" s="1468">
        <v>0.1</v>
      </c>
      <c r="K56" s="1468">
        <v>0.52</v>
      </c>
      <c r="L56" s="1482">
        <v>0.79</v>
      </c>
      <c r="N56" s="1527">
        <f t="shared" si="35"/>
        <v>1.420065760241713E-2</v>
      </c>
      <c r="O56" s="1528">
        <f t="shared" si="35"/>
        <v>3.3080938028376083E-3</v>
      </c>
      <c r="P56" s="1528">
        <f t="shared" si="36"/>
        <v>6.598984771573603E-2</v>
      </c>
      <c r="Q56" s="1528">
        <f t="shared" si="36"/>
        <v>5.2953117818293153E-3</v>
      </c>
      <c r="R56" s="1477"/>
      <c r="S56" s="1475"/>
      <c r="T56" s="1476"/>
      <c r="U56" s="1476"/>
      <c r="V56" s="1476"/>
      <c r="X56" s="1529"/>
      <c r="Y56" s="1529"/>
      <c r="Z56" s="1529"/>
    </row>
    <row r="57" spans="1:26">
      <c r="A57" s="1464" t="s">
        <v>1198</v>
      </c>
      <c r="B57" s="1480">
        <f t="shared" si="37"/>
        <v>122.57204301075269</v>
      </c>
      <c r="C57" s="1480">
        <f t="shared" si="37"/>
        <v>123.4932735426009</v>
      </c>
      <c r="D57" s="1480">
        <f t="shared" si="9"/>
        <v>123.4932735426009</v>
      </c>
      <c r="E57" s="1480">
        <f t="shared" si="38"/>
        <v>129.82233502538071</v>
      </c>
      <c r="F57" s="1480">
        <f t="shared" si="38"/>
        <v>107.39446721311475</v>
      </c>
      <c r="G57" s="3297">
        <v>2005</v>
      </c>
      <c r="H57" s="1467">
        <v>1</v>
      </c>
      <c r="I57" s="1467">
        <v>0.43</v>
      </c>
      <c r="J57" s="1467">
        <v>0.37</v>
      </c>
      <c r="K57" s="1467">
        <v>0.37</v>
      </c>
      <c r="L57" s="1481">
        <v>0.55000000000000004</v>
      </c>
      <c r="N57" s="1530">
        <f t="shared" si="35"/>
        <v>1.2992090997956099E-2</v>
      </c>
      <c r="O57" s="1531">
        <f t="shared" si="35"/>
        <v>1.2239947070499151E-2</v>
      </c>
      <c r="P57" s="1531">
        <f t="shared" si="36"/>
        <v>4.6954314720812178E-2</v>
      </c>
      <c r="Q57" s="1531">
        <f t="shared" si="36"/>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9"/>
        <v>122</v>
      </c>
      <c r="E58" s="1514">
        <v>124</v>
      </c>
      <c r="F58" s="1515">
        <v>107</v>
      </c>
      <c r="G58" s="3295">
        <v>2004</v>
      </c>
      <c r="H58" s="1485">
        <v>4</v>
      </c>
      <c r="I58" s="1485">
        <v>0.33</v>
      </c>
      <c r="J58" s="1485">
        <v>0.5</v>
      </c>
      <c r="K58" s="1485">
        <v>0.5</v>
      </c>
      <c r="L58" s="1486">
        <v>0</v>
      </c>
      <c r="N58" s="1527">
        <f t="shared" ref="N58:O61" si="39">I58/SUM(I$58:I$61)*(B$58/B$62-1)</f>
        <v>1.3391770148526898E-2</v>
      </c>
      <c r="O58" s="1528">
        <f t="shared" si="39"/>
        <v>1.063264221158958E-2</v>
      </c>
      <c r="P58" s="1528">
        <f t="shared" ref="P58:Q61" si="40">K58/SUM(K$58:K$61)*(E$58/E$62-1)</f>
        <v>2.2244466688911134E-2</v>
      </c>
      <c r="Q58" s="1528">
        <f t="shared" si="40"/>
        <v>0</v>
      </c>
      <c r="R58" s="1477"/>
      <c r="S58" s="1478"/>
      <c r="T58" s="1479"/>
      <c r="U58" s="1479"/>
      <c r="V58" s="1479"/>
      <c r="X58" s="1529"/>
      <c r="Y58" s="1529"/>
      <c r="Z58" s="1529"/>
    </row>
    <row r="59" spans="1:26">
      <c r="A59" s="1464" t="s">
        <v>1200</v>
      </c>
      <c r="B59" s="1480">
        <f t="shared" ref="B59:C61" si="41">B60+(B$58-B$62)*I59/SUM(I$58:I$61)</f>
        <v>119.51351351351352</v>
      </c>
      <c r="C59" s="1480">
        <f t="shared" si="41"/>
        <v>120.7878787878788</v>
      </c>
      <c r="D59" s="1480">
        <f t="shared" si="9"/>
        <v>120.7878787878788</v>
      </c>
      <c r="E59" s="1480">
        <f t="shared" ref="E59:F61" si="42">E60+(E$58-E$62)*K59/SUM(K$58:K$61)</f>
        <v>121.5975975975976</v>
      </c>
      <c r="F59" s="1480">
        <f t="shared" si="42"/>
        <v>107</v>
      </c>
      <c r="G59" s="3296">
        <v>2004</v>
      </c>
      <c r="H59" s="1490">
        <v>3</v>
      </c>
      <c r="I59" s="1490">
        <v>0.56000000000000005</v>
      </c>
      <c r="J59" s="1490">
        <v>0.8</v>
      </c>
      <c r="K59" s="1490">
        <v>0.83</v>
      </c>
      <c r="L59" s="1491">
        <v>0.06</v>
      </c>
      <c r="N59" s="1527">
        <f t="shared" si="39"/>
        <v>2.2725428130833527E-2</v>
      </c>
      <c r="O59" s="1528">
        <f t="shared" si="39"/>
        <v>1.7012227538543329E-2</v>
      </c>
      <c r="P59" s="1528">
        <f t="shared" si="40"/>
        <v>3.6925814703592477E-2</v>
      </c>
      <c r="Q59" s="1528">
        <f t="shared" si="40"/>
        <v>2.8846153846153744E-2</v>
      </c>
      <c r="R59" s="1477"/>
      <c r="S59" s="1475"/>
      <c r="T59" s="1476"/>
      <c r="U59" s="1476"/>
      <c r="V59" s="1476"/>
      <c r="X59" s="1529"/>
      <c r="Y59" s="1529"/>
      <c r="Z59" s="1529"/>
    </row>
    <row r="60" spans="1:26">
      <c r="A60" s="1464" t="s">
        <v>1201</v>
      </c>
      <c r="B60" s="1480">
        <f t="shared" si="41"/>
        <v>116.99099099099099</v>
      </c>
      <c r="C60" s="1480">
        <f t="shared" si="41"/>
        <v>118.84848484848486</v>
      </c>
      <c r="D60" s="1480">
        <f t="shared" si="9"/>
        <v>118.84848484848486</v>
      </c>
      <c r="E60" s="1480">
        <f t="shared" si="42"/>
        <v>117.60960960960961</v>
      </c>
      <c r="F60" s="1480">
        <f t="shared" si="42"/>
        <v>104</v>
      </c>
      <c r="G60" s="3296">
        <v>2004</v>
      </c>
      <c r="H60" s="1468">
        <v>2</v>
      </c>
      <c r="I60" s="1468">
        <v>1</v>
      </c>
      <c r="J60" s="1468">
        <v>1.5</v>
      </c>
      <c r="K60" s="1468">
        <v>1.5</v>
      </c>
      <c r="L60" s="1482">
        <v>0</v>
      </c>
      <c r="N60" s="1527">
        <f t="shared" si="39"/>
        <v>4.0581121662202721E-2</v>
      </c>
      <c r="O60" s="1528">
        <f t="shared" si="39"/>
        <v>3.1897926634768738E-2</v>
      </c>
      <c r="P60" s="1528">
        <f t="shared" si="40"/>
        <v>6.6733400066733395E-2</v>
      </c>
      <c r="Q60" s="1528">
        <f t="shared" si="40"/>
        <v>0</v>
      </c>
      <c r="R60" s="1477"/>
      <c r="S60" s="1475"/>
      <c r="T60" s="1476"/>
      <c r="U60" s="1476"/>
      <c r="V60" s="1476"/>
      <c r="X60" s="1529"/>
      <c r="Y60" s="1529"/>
      <c r="Z60" s="1529"/>
    </row>
    <row r="61" spans="1:26" s="1520" customFormat="1" ht="13.5" thickBot="1">
      <c r="A61" s="1464" t="s">
        <v>1202</v>
      </c>
      <c r="B61" s="1517">
        <f t="shared" si="41"/>
        <v>112.48648648648648</v>
      </c>
      <c r="C61" s="1517">
        <f t="shared" si="41"/>
        <v>115.21212121212122</v>
      </c>
      <c r="D61" s="1517">
        <f t="shared" si="9"/>
        <v>115.21212121212122</v>
      </c>
      <c r="E61" s="1517">
        <f t="shared" si="42"/>
        <v>110.4024024024024</v>
      </c>
      <c r="F61" s="1517">
        <f t="shared" si="42"/>
        <v>104</v>
      </c>
      <c r="G61" s="3297">
        <v>2004</v>
      </c>
      <c r="H61" s="1518">
        <v>1</v>
      </c>
      <c r="I61" s="1518">
        <v>0.33</v>
      </c>
      <c r="J61" s="1518">
        <v>0.5</v>
      </c>
      <c r="K61" s="1518">
        <v>0.5</v>
      </c>
      <c r="L61" s="1519">
        <v>0</v>
      </c>
      <c r="N61" s="1532">
        <f t="shared" si="39"/>
        <v>1.3391770148526898E-2</v>
      </c>
      <c r="O61" s="1533">
        <f t="shared" si="39"/>
        <v>1.063264221158958E-2</v>
      </c>
      <c r="P61" s="1533">
        <f t="shared" si="40"/>
        <v>2.2244466688911134E-2</v>
      </c>
      <c r="Q61" s="1533">
        <f t="shared" si="40"/>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9"/>
        <v>114</v>
      </c>
      <c r="E62" s="1535">
        <v>108</v>
      </c>
      <c r="F62" s="1536">
        <v>104</v>
      </c>
      <c r="G62" s="3295">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43">B64+(B$62-B$66)/4</f>
        <v>109.75</v>
      </c>
      <c r="C63" s="1539">
        <f t="shared" si="43"/>
        <v>112.25</v>
      </c>
      <c r="D63" s="1539">
        <f t="shared" si="9"/>
        <v>112.25</v>
      </c>
      <c r="E63" s="1539">
        <f t="shared" ref="E63:F65" si="44">E64+(E$62-E$66)/4</f>
        <v>107.25</v>
      </c>
      <c r="F63" s="1539">
        <f t="shared" si="44"/>
        <v>103.5</v>
      </c>
      <c r="G63" s="3296">
        <v>2003</v>
      </c>
      <c r="H63" s="1490">
        <v>3</v>
      </c>
      <c r="I63" s="1537"/>
      <c r="J63" s="1537"/>
      <c r="K63" s="1537"/>
      <c r="L63" s="1537"/>
      <c r="X63" s="1529"/>
      <c r="Y63" s="1529"/>
      <c r="Z63" s="1529"/>
    </row>
    <row r="64" spans="1:26">
      <c r="A64" s="1464" t="s">
        <v>1205</v>
      </c>
      <c r="B64" s="1539">
        <f t="shared" si="43"/>
        <v>108.5</v>
      </c>
      <c r="C64" s="1539">
        <f t="shared" si="43"/>
        <v>110.5</v>
      </c>
      <c r="D64" s="1539">
        <f t="shared" si="9"/>
        <v>110.5</v>
      </c>
      <c r="E64" s="1539">
        <f t="shared" si="44"/>
        <v>106.5</v>
      </c>
      <c r="F64" s="1539">
        <f t="shared" si="44"/>
        <v>103</v>
      </c>
      <c r="G64" s="3296">
        <v>2003</v>
      </c>
      <c r="H64" s="1468">
        <v>2</v>
      </c>
      <c r="I64" s="1537"/>
      <c r="J64" s="1537"/>
      <c r="K64" s="1537"/>
      <c r="L64" s="1537"/>
      <c r="X64" s="1529"/>
      <c r="Y64" s="1529"/>
      <c r="Z64" s="1529"/>
    </row>
    <row r="65" spans="1:26" ht="13.5" thickBot="1">
      <c r="A65" s="1464" t="s">
        <v>1206</v>
      </c>
      <c r="B65" s="1539">
        <f t="shared" si="43"/>
        <v>107.25</v>
      </c>
      <c r="C65" s="1539">
        <f t="shared" si="43"/>
        <v>108.75</v>
      </c>
      <c r="D65" s="1539">
        <f t="shared" si="9"/>
        <v>108.75</v>
      </c>
      <c r="E65" s="1539">
        <f t="shared" si="44"/>
        <v>105.75</v>
      </c>
      <c r="F65" s="1539">
        <f t="shared" si="44"/>
        <v>102.5</v>
      </c>
      <c r="G65" s="3297">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9"/>
        <v>107</v>
      </c>
      <c r="E66" s="1541">
        <v>105</v>
      </c>
      <c r="F66" s="1542">
        <v>102</v>
      </c>
      <c r="G66" s="3295">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45">B68+(B$66-B$70)/4</f>
        <v>105</v>
      </c>
      <c r="C67" s="1539">
        <f t="shared" si="45"/>
        <v>106</v>
      </c>
      <c r="D67" s="1539">
        <f t="shared" si="9"/>
        <v>106</v>
      </c>
      <c r="E67" s="1539">
        <f t="shared" ref="E67:F69" si="46">E68+(E$66-E$70)/4</f>
        <v>104.5</v>
      </c>
      <c r="F67" s="1539">
        <f t="shared" si="46"/>
        <v>101.5</v>
      </c>
      <c r="G67" s="3296">
        <v>2002</v>
      </c>
      <c r="H67" s="1490">
        <v>3</v>
      </c>
      <c r="I67" s="1537"/>
      <c r="J67" s="1537"/>
      <c r="K67" s="1537"/>
      <c r="L67" s="1537"/>
      <c r="X67" s="1529"/>
      <c r="Y67" s="1529"/>
      <c r="Z67" s="1529"/>
    </row>
    <row r="68" spans="1:26">
      <c r="A68" s="1464" t="s">
        <v>1209</v>
      </c>
      <c r="B68" s="1539">
        <f t="shared" si="45"/>
        <v>104</v>
      </c>
      <c r="C68" s="1539">
        <f t="shared" si="45"/>
        <v>105</v>
      </c>
      <c r="D68" s="1539">
        <f t="shared" si="9"/>
        <v>105</v>
      </c>
      <c r="E68" s="1539">
        <f t="shared" si="46"/>
        <v>104</v>
      </c>
      <c r="F68" s="1539">
        <f t="shared" si="46"/>
        <v>101</v>
      </c>
      <c r="G68" s="3296">
        <v>2002</v>
      </c>
      <c r="H68" s="1468">
        <v>2</v>
      </c>
      <c r="I68" s="1537"/>
      <c r="J68" s="1537"/>
      <c r="K68" s="1537"/>
      <c r="L68" s="1537"/>
      <c r="X68" s="1529"/>
      <c r="Y68" s="1529"/>
      <c r="Z68" s="1529"/>
    </row>
    <row r="69" spans="1:26" s="1501" customFormat="1" ht="13.5" thickBot="1">
      <c r="A69" s="1497" t="s">
        <v>1210</v>
      </c>
      <c r="B69" s="1543">
        <f t="shared" si="45"/>
        <v>103</v>
      </c>
      <c r="C69" s="1543">
        <f t="shared" si="45"/>
        <v>104</v>
      </c>
      <c r="D69" s="1543">
        <f t="shared" si="9"/>
        <v>104</v>
      </c>
      <c r="E69" s="1543">
        <f t="shared" si="46"/>
        <v>103.5</v>
      </c>
      <c r="F69" s="1543">
        <f t="shared" si="46"/>
        <v>100.5</v>
      </c>
      <c r="G69" s="3297">
        <v>2002</v>
      </c>
      <c r="H69" s="1544">
        <v>1</v>
      </c>
      <c r="I69" s="1545"/>
      <c r="J69" s="1545"/>
      <c r="K69" s="1545"/>
      <c r="L69" s="1545"/>
      <c r="N69" s="1546"/>
      <c r="S69" s="1546"/>
      <c r="X69" s="1547"/>
      <c r="Y69" s="1547"/>
      <c r="Z69" s="1547"/>
    </row>
    <row r="70" spans="1:26" ht="13.5" thickBot="1">
      <c r="B70" s="1548">
        <v>102</v>
      </c>
      <c r="C70" s="1549">
        <v>103</v>
      </c>
      <c r="D70" s="1549">
        <f t="shared" si="9"/>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06" t="s">
        <v>3005</v>
      </c>
      <c r="D1" s="3307"/>
      <c r="E1" s="3307"/>
      <c r="F1" s="3307"/>
      <c r="G1" s="3307"/>
      <c r="H1" s="3307"/>
      <c r="I1" s="3307"/>
      <c r="J1" s="3307"/>
      <c r="K1" s="3307"/>
      <c r="L1" s="3307"/>
      <c r="M1" s="3307"/>
      <c r="N1" s="3307"/>
      <c r="O1" s="3307"/>
      <c r="P1" s="3307"/>
      <c r="Q1" s="3307"/>
      <c r="R1" s="3307"/>
      <c r="S1" s="3308"/>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3008</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3009</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3010</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7">
        <f t="shared" si="4"/>
        <v>100</v>
      </c>
      <c r="G10" s="1727">
        <f t="shared" si="4"/>
        <v>100</v>
      </c>
      <c r="H10" s="1727">
        <f t="shared" si="4"/>
        <v>100</v>
      </c>
      <c r="I10" s="1727">
        <f t="shared" si="4"/>
        <v>100</v>
      </c>
      <c r="J10" s="1727">
        <f t="shared" si="4"/>
        <v>100</v>
      </c>
      <c r="K10" s="1727">
        <f t="shared" si="4"/>
        <v>100</v>
      </c>
      <c r="L10" s="1727">
        <f t="shared" si="4"/>
        <v>100</v>
      </c>
      <c r="M10" s="1727">
        <f t="shared" si="4"/>
        <v>100</v>
      </c>
      <c r="N10" s="1727">
        <f t="shared" si="4"/>
        <v>100</v>
      </c>
      <c r="O10" s="1727">
        <f t="shared" si="4"/>
        <v>100</v>
      </c>
      <c r="P10" s="1727">
        <f t="shared" si="4"/>
        <v>100</v>
      </c>
      <c r="Q10" s="1727">
        <f t="shared" si="4"/>
        <v>100</v>
      </c>
      <c r="R10" s="1727">
        <f t="shared" si="4"/>
        <v>100</v>
      </c>
      <c r="S10" s="1727">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3014</v>
      </c>
      <c r="B17" s="2919"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3016</v>
      </c>
      <c r="E19" s="1794"/>
      <c r="F19" s="1794"/>
      <c r="G19" s="1794"/>
      <c r="H19" s="1283"/>
      <c r="I19" s="168"/>
      <c r="J19" s="168"/>
      <c r="K19" s="168"/>
      <c r="L19" s="168"/>
      <c r="M19" s="168"/>
      <c r="N19" s="168"/>
      <c r="O19" s="168"/>
      <c r="P19" s="168"/>
      <c r="Q19" s="168"/>
      <c r="R19" s="788"/>
      <c r="S19" s="138"/>
    </row>
    <row r="20" spans="1:45" ht="16.5" thickBot="1">
      <c r="A20" s="715" t="s">
        <v>3017</v>
      </c>
      <c r="B20" s="338" t="e">
        <f ca="1">IF(D20="——",S22,S22-F20)</f>
        <v>#REF!</v>
      </c>
      <c r="C20" s="168"/>
      <c r="D20" s="2921" t="s">
        <v>3018</v>
      </c>
      <c r="E20" s="1795"/>
      <c r="F20" s="1207" t="e">
        <f ca="1">SUMIF(INDIRECT("'"&amp;H20&amp;"'"&amp;"!A:A"),"承租人权益价值",INDIRECT("'"&amp;H20&amp;"'"&amp;"!c:c"))</f>
        <v>#REF!</v>
      </c>
      <c r="G20" s="1207" t="s">
        <v>3019</v>
      </c>
      <c r="H20" s="2922"/>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67" t="s">
        <v>33</v>
      </c>
      <c r="D22" s="3168"/>
      <c r="E22" s="3168"/>
      <c r="F22" s="3168"/>
      <c r="G22" s="3168"/>
      <c r="H22" s="3168"/>
      <c r="I22" s="3168"/>
      <c r="J22" s="3168"/>
      <c r="K22" s="3168"/>
      <c r="L22" s="3168"/>
      <c r="M22" s="3168"/>
      <c r="N22" s="3168"/>
      <c r="O22" s="3168"/>
      <c r="P22" s="3168"/>
      <c r="Q22" s="3305"/>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59099</v>
      </c>
      <c r="C2" s="2" t="s">
        <v>133</v>
      </c>
      <c r="D2" s="243"/>
      <c r="E2" s="243"/>
      <c r="F2" s="243"/>
      <c r="G2" s="243"/>
    </row>
    <row r="3" spans="1:7" s="244" customFormat="1" ht="18" customHeight="1" thickBot="1">
      <c r="A3" s="247" t="s">
        <v>85</v>
      </c>
      <c r="B3" s="248">
        <f ca="1">ROUND(B2*10000/'数据-汇总表'!E3,0)</f>
        <v>5819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101555.9</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2031</v>
      </c>
      <c r="D19" s="1039">
        <f>'数据-汇总表'!E3</f>
        <v>101555.9</v>
      </c>
      <c r="E19" s="255">
        <f>'数据-取费表'!B31</f>
        <v>200</v>
      </c>
      <c r="F19" s="275"/>
      <c r="G19" s="1" t="s">
        <v>1074</v>
      </c>
    </row>
    <row r="20" spans="1:7" s="258" customFormat="1" ht="13.5" customHeight="1">
      <c r="A20" s="951" t="s">
        <v>1057</v>
      </c>
      <c r="B20" s="254" t="s">
        <v>104</v>
      </c>
      <c r="C20" s="276">
        <f>ROUND((C5+C19)*F20,0)</f>
        <v>226</v>
      </c>
      <c r="D20" s="276"/>
      <c r="E20" s="276"/>
      <c r="F20" s="277">
        <f>'数据-取费表'!B37</f>
        <v>0.01</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2213</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198</v>
      </c>
      <c r="D24" s="282"/>
      <c r="E24" s="282"/>
      <c r="F24" s="283"/>
      <c r="G24" s="284" t="s">
        <v>109</v>
      </c>
    </row>
    <row r="25" spans="1:7" s="258" customFormat="1" ht="24">
      <c r="A25" s="954" t="s">
        <v>793</v>
      </c>
      <c r="B25" s="259" t="s">
        <v>1058</v>
      </c>
      <c r="C25" s="1358">
        <f ca="1">ROUND(IF('数据-取费表'!B22&lt;=1,C20*F22*'数据-取费表'!B23/2,C20*(POWER((1+F22),'数据-取费表'!B23/2)-1)),0)</f>
        <v>11</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3430</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3430</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30900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23877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20905</v>
      </c>
      <c r="D34" s="261"/>
      <c r="E34" s="264"/>
      <c r="F34" s="301">
        <f>IF('数据-取费表'!B24=0,1,'数据-取费表'!N16)</f>
        <v>1</v>
      </c>
      <c r="G34" s="263" t="s">
        <v>116</v>
      </c>
    </row>
    <row r="35" spans="1:7" ht="13.5" customHeight="1">
      <c r="A35" s="954" t="s">
        <v>796</v>
      </c>
      <c r="B35" s="259" t="s">
        <v>60</v>
      </c>
      <c r="C35" s="264">
        <f>ROUND(C34*F35,0)</f>
        <v>627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2031</v>
      </c>
      <c r="D37" s="261">
        <f>'数据-汇总表'!E3</f>
        <v>101555.9</v>
      </c>
      <c r="E37" s="293">
        <f>'数据-取费表'!B35</f>
        <v>200</v>
      </c>
      <c r="F37" s="303"/>
      <c r="G37" s="305" t="s">
        <v>119</v>
      </c>
    </row>
    <row r="38" spans="1:7" ht="13.5" customHeight="1">
      <c r="A38" s="954" t="s">
        <v>799</v>
      </c>
      <c r="B38" s="259" t="s">
        <v>63</v>
      </c>
      <c r="C38" s="264">
        <f>ROUND(C34*F38,0)</f>
        <v>314</v>
      </c>
      <c r="D38" s="264"/>
      <c r="E38" s="264"/>
      <c r="F38" s="303">
        <f>'数据-取费表'!B36</f>
        <v>1.4999999999999999E-2</v>
      </c>
      <c r="G38" s="263" t="s">
        <v>117</v>
      </c>
    </row>
    <row r="39" spans="1:7" s="258" customFormat="1" ht="13.5" customHeight="1">
      <c r="A39" s="951" t="s">
        <v>783</v>
      </c>
      <c r="B39" s="254" t="s">
        <v>104</v>
      </c>
      <c r="C39" s="276">
        <f>ROUND(C33*F20,0)</f>
        <v>239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1145</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1134</v>
      </c>
      <c r="D42" s="282"/>
      <c r="E42" s="282"/>
      <c r="F42" s="283"/>
      <c r="G42" s="3172" t="s">
        <v>121</v>
      </c>
    </row>
    <row r="43" spans="1:7" ht="13.5" customHeight="1">
      <c r="A43" s="954" t="s">
        <v>792</v>
      </c>
      <c r="B43" s="259" t="s">
        <v>1064</v>
      </c>
      <c r="C43" s="282">
        <f ca="1">ROUND(IF('数据-取费表'!B22&lt;=1,C39*F22*'数据-取费表'!B21/2,C39*(POWER((1+F22),'数据-取费表'!B21/2)-1)),0)</f>
        <v>11</v>
      </c>
      <c r="D43" s="282"/>
      <c r="E43" s="282"/>
      <c r="F43" s="283"/>
      <c r="G43" s="3173"/>
    </row>
    <row r="44" spans="1:7" ht="13.5" customHeight="1">
      <c r="A44" s="954" t="s">
        <v>793</v>
      </c>
      <c r="B44" s="259" t="s">
        <v>1066</v>
      </c>
      <c r="C44" s="282">
        <f ca="1">ROUND(IF('数据-取费表'!B22&lt;=1,C40*F22*'数据-取费表'!B21/2,C40*(POWER((1+F22),'数据-取费表'!B21/2)-1)),4)</f>
        <v>1E-3</v>
      </c>
      <c r="D44" s="282"/>
      <c r="E44" s="282"/>
      <c r="F44" s="283"/>
      <c r="G44" s="3174"/>
    </row>
    <row r="45" spans="1:7" s="258" customFormat="1" ht="13.5" customHeight="1">
      <c r="A45" s="951" t="s">
        <v>786</v>
      </c>
      <c r="B45" s="288" t="s">
        <v>112</v>
      </c>
      <c r="C45" s="289">
        <f>C46</f>
        <v>3617</v>
      </c>
      <c r="D45" s="279">
        <f>C47</f>
        <v>3.0000000000000001E-3</v>
      </c>
      <c r="E45" s="280" t="s">
        <v>129</v>
      </c>
      <c r="F45" s="290"/>
      <c r="G45" s="291" t="s">
        <v>1072</v>
      </c>
    </row>
    <row r="46" spans="1:7" s="258" customFormat="1" ht="13.5" customHeight="1">
      <c r="A46" s="954" t="s">
        <v>794</v>
      </c>
      <c r="B46" s="292" t="s">
        <v>1065</v>
      </c>
      <c r="C46" s="293">
        <f>ROUND((C33+C39)*F27,0)</f>
        <v>3617</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31298</v>
      </c>
      <c r="D49" s="276"/>
      <c r="E49" s="276"/>
      <c r="F49" s="308"/>
      <c r="G49" s="278" t="s">
        <v>1073</v>
      </c>
    </row>
    <row r="50" spans="1:7" s="302" customFormat="1" ht="24">
      <c r="A50" s="951" t="s">
        <v>789</v>
      </c>
      <c r="B50" s="254" t="s">
        <v>124</v>
      </c>
      <c r="C50" s="276"/>
      <c r="D50" s="276"/>
      <c r="E50" s="276"/>
      <c r="F50" s="308">
        <f>IF('数据-取费表'!B24=0,'数据-取费表'!N16,1)</f>
        <v>0.90100000000000002</v>
      </c>
      <c r="G50" s="291" t="s">
        <v>125</v>
      </c>
    </row>
    <row r="51" spans="1:7" ht="16.5" customHeight="1">
      <c r="A51" s="951" t="s">
        <v>790</v>
      </c>
      <c r="B51" s="254" t="s">
        <v>132</v>
      </c>
      <c r="C51" s="276">
        <f ca="1">ROUND(C49*F50,0)</f>
        <v>28199</v>
      </c>
      <c r="D51" s="276"/>
      <c r="E51" s="276"/>
      <c r="F51" s="308"/>
      <c r="G51" s="278" t="s">
        <v>64</v>
      </c>
    </row>
    <row r="52" spans="1:7" s="252" customFormat="1" ht="16.5" thickBot="1">
      <c r="A52" s="309" t="s">
        <v>65</v>
      </c>
      <c r="B52" s="310"/>
      <c r="C52" s="311">
        <f ca="1">C31+C51</f>
        <v>59099</v>
      </c>
      <c r="D52" s="310"/>
      <c r="E52" s="310"/>
      <c r="F52" s="310"/>
      <c r="G52" s="312"/>
    </row>
    <row r="55" spans="1:7" ht="15">
      <c r="B55" s="314" t="s">
        <v>66</v>
      </c>
      <c r="C55" s="315"/>
    </row>
    <row r="56" spans="1:7">
      <c r="B56" s="317" t="s">
        <v>67</v>
      </c>
      <c r="C56" s="318">
        <f ca="1">ROUND(C51/C52,3)</f>
        <v>0.47699999999999998</v>
      </c>
    </row>
    <row r="57" spans="1:7">
      <c r="B57" s="317" t="s">
        <v>68</v>
      </c>
      <c r="C57" s="319">
        <f ca="1">1-C56</f>
        <v>0.52300000000000002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9" t="s">
        <v>156</v>
      </c>
      <c r="B1" s="3309"/>
      <c r="C1" s="3309"/>
      <c r="D1" s="3309"/>
      <c r="E1" s="3309"/>
      <c r="F1" s="330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0" t="s">
        <v>169</v>
      </c>
      <c r="B2" s="3310"/>
      <c r="C2" s="3310"/>
      <c r="D2" s="3310"/>
      <c r="E2" s="3310"/>
      <c r="F2" s="331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9" t="s">
        <v>871</v>
      </c>
      <c r="B1" s="330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43180</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1642</v>
      </c>
      <c r="B2" s="3007" t="s">
        <v>1643</v>
      </c>
      <c r="C2" s="3007" t="s">
        <v>1644</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1"/>
      <c r="B3" s="3001"/>
      <c r="C3" s="3001"/>
      <c r="D3" s="1047" t="s">
        <v>1639</v>
      </c>
      <c r="E3" s="1047" t="s">
        <v>1645</v>
      </c>
      <c r="F3" s="1047" t="s">
        <v>1639</v>
      </c>
      <c r="G3" s="1047" t="s">
        <v>1640</v>
      </c>
      <c r="H3" s="1047" t="s">
        <v>1639</v>
      </c>
      <c r="I3" s="1047" t="s">
        <v>1640</v>
      </c>
    </row>
    <row r="4" spans="1:9" ht="30">
      <c r="A4" s="1975" t="str">
        <f>项目基本情况!S2</f>
        <v>广东省佛山市三水区芦苞镇芦苞大道33号房地产</v>
      </c>
      <c r="B4" s="1047">
        <f>项目基本情况!C17</f>
        <v>101555.9</v>
      </c>
      <c r="C4" s="1047">
        <f>项目基本情况!C18</f>
        <v>172253.55</v>
      </c>
      <c r="D4" s="1047">
        <f ca="1">结果表!D118</f>
        <v>94781</v>
      </c>
      <c r="E4" s="1047">
        <f ca="1">结果表!E118</f>
        <v>9333</v>
      </c>
      <c r="F4" s="1047">
        <f ca="1">结果表!F118</f>
        <v>31090</v>
      </c>
      <c r="G4" s="1047">
        <f ca="1">结果表!G118</f>
        <v>3061</v>
      </c>
      <c r="H4" s="1047">
        <f ca="1">结果表!H118</f>
        <v>125871</v>
      </c>
      <c r="I4" s="1047">
        <f ca="1">结果表!I118</f>
        <v>12394</v>
      </c>
    </row>
    <row r="5" spans="1:9" ht="30" customHeight="1">
      <c r="A5" s="3001" t="s">
        <v>1641</v>
      </c>
      <c r="B5" s="3001"/>
      <c r="C5" s="3001"/>
      <c r="D5" s="3002" t="str">
        <f ca="1">结果表!D119</f>
        <v>玖亿肆仟柒佰捌拾壹万元整</v>
      </c>
      <c r="E5" s="3002"/>
      <c r="F5" s="3002" t="str">
        <f ca="1">结果表!F119</f>
        <v>叁亿壹仟零玖拾万元整</v>
      </c>
      <c r="G5" s="3002"/>
      <c r="H5" s="3002" t="str">
        <f ca="1">结果表!H119</f>
        <v>壹拾贰亿伍仟捌佰柒拾壹万元整</v>
      </c>
      <c r="I5" s="3002"/>
    </row>
    <row r="6" spans="1:9" ht="15.75">
      <c r="A6" s="3000" t="str">
        <f>结果表!A120</f>
        <v>估价师知悉的法定优先受偿款</v>
      </c>
      <c r="B6" s="3000"/>
      <c r="C6" s="3000"/>
      <c r="D6" s="3000">
        <f>结果表!D120</f>
        <v>0</v>
      </c>
      <c r="E6" s="3000"/>
      <c r="F6" s="3000"/>
      <c r="G6" s="3000"/>
      <c r="H6" s="3000"/>
      <c r="I6" s="3000"/>
    </row>
    <row r="7" spans="1:9" ht="15">
      <c r="A7" s="3001" t="s">
        <v>1641</v>
      </c>
      <c r="B7" s="3001"/>
      <c r="C7" s="3001"/>
      <c r="D7" s="3003" t="str">
        <f>结果表!D121</f>
        <v>零元整</v>
      </c>
      <c r="E7" s="3004"/>
      <c r="F7" s="3004"/>
      <c r="G7" s="3004"/>
      <c r="H7" s="3004"/>
      <c r="I7" s="3005"/>
    </row>
    <row r="8" spans="1:9" ht="15.75">
      <c r="A8" s="3000" t="str">
        <f>结果表!A122</f>
        <v/>
      </c>
      <c r="B8" s="3000"/>
      <c r="C8" s="3000"/>
      <c r="D8" s="3000" t="str">
        <f>结果表!D122</f>
        <v>——</v>
      </c>
      <c r="E8" s="3000"/>
      <c r="F8" s="3000"/>
      <c r="G8" s="3000"/>
      <c r="H8" s="3000"/>
      <c r="I8" s="3000"/>
    </row>
    <row r="9" spans="1:9" ht="15">
      <c r="A9" s="3001" t="s">
        <v>1641</v>
      </c>
      <c r="B9" s="3001"/>
      <c r="C9" s="3001"/>
      <c r="D9" s="3002" t="e">
        <f>结果表!D123</f>
        <v>#VALUE!</v>
      </c>
      <c r="E9" s="3002"/>
      <c r="F9" s="3002"/>
      <c r="G9" s="3002"/>
      <c r="H9" s="3002"/>
      <c r="I9" s="3002"/>
    </row>
    <row r="10" spans="1:9" ht="15.75">
      <c r="A10" s="3000" t="str">
        <f>结果表!A124</f>
        <v>抵押担保权已注销时的房地产抵押价值</v>
      </c>
      <c r="B10" s="3000"/>
      <c r="C10" s="3000"/>
      <c r="D10" s="3000">
        <f ca="1">结果表!D124</f>
        <v>125871</v>
      </c>
      <c r="E10" s="3000"/>
      <c r="F10" s="3000"/>
      <c r="G10" s="3000"/>
      <c r="H10" s="3000"/>
      <c r="I10" s="3000"/>
    </row>
    <row r="11" spans="1:9" ht="15">
      <c r="A11" s="3001" t="s">
        <v>1641</v>
      </c>
      <c r="B11" s="3001"/>
      <c r="C11" s="3001"/>
      <c r="D11" s="3002" t="str">
        <f ca="1">结果表!D125</f>
        <v>壹拾贰亿伍仟捌佰柒拾壹万元整</v>
      </c>
      <c r="E11" s="3002"/>
      <c r="F11" s="3002"/>
      <c r="G11" s="3002"/>
      <c r="H11" s="3002"/>
      <c r="I11" s="3002"/>
    </row>
    <row r="12" spans="1:9" ht="15.75">
      <c r="A12" s="3000" t="str">
        <f>结果表!A126</f>
        <v/>
      </c>
      <c r="B12" s="3000"/>
      <c r="C12" s="3000"/>
      <c r="D12" s="3000" t="str">
        <f>结果表!D126</f>
        <v>——</v>
      </c>
      <c r="E12" s="3000"/>
      <c r="F12" s="3000"/>
      <c r="G12" s="3000"/>
      <c r="H12" s="3000"/>
      <c r="I12" s="3000"/>
    </row>
    <row r="13" spans="1:9" ht="15.75" thickBot="1">
      <c r="A13" s="2997" t="s">
        <v>1641</v>
      </c>
      <c r="B13" s="2997"/>
      <c r="C13" s="2997"/>
      <c r="D13" s="2998" t="e">
        <f>结果表!D127</f>
        <v>#VALUE!</v>
      </c>
      <c r="E13" s="2998"/>
      <c r="F13" s="2998"/>
      <c r="G13" s="2998"/>
      <c r="H13" s="2998"/>
      <c r="I13" s="2998"/>
    </row>
    <row r="14" spans="1:9" ht="15" thickTop="1">
      <c r="A14" s="2999" t="s">
        <v>1646</v>
      </c>
      <c r="B14" s="2999"/>
      <c r="C14" s="2999"/>
      <c r="D14" s="2999"/>
      <c r="E14" s="2999"/>
      <c r="F14" s="2999"/>
      <c r="G14" s="2999"/>
      <c r="H14" s="2999"/>
      <c r="I14" s="2999"/>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4" t="s">
        <v>1663</v>
      </c>
      <c r="B1" s="3014"/>
      <c r="C1" s="3014"/>
      <c r="D1" s="3014"/>
    </row>
    <row r="2" spans="1:4" ht="18">
      <c r="A2" s="3015" t="s">
        <v>1647</v>
      </c>
      <c r="B2" s="3015"/>
      <c r="C2" s="3015"/>
      <c r="D2" s="3015"/>
    </row>
    <row r="3" spans="1:4" ht="18.75">
      <c r="A3" s="1979" t="s">
        <v>1648</v>
      </c>
      <c r="B3" s="1979" t="s">
        <v>1649</v>
      </c>
      <c r="C3" s="1979" t="s">
        <v>1650</v>
      </c>
      <c r="D3" s="1979" t="s">
        <v>1651</v>
      </c>
    </row>
    <row r="4" spans="1:4" ht="56.25" customHeight="1">
      <c r="A4" s="1980" t="str">
        <f>项目基本情况!B4</f>
        <v>郑燚</v>
      </c>
      <c r="B4" s="1981">
        <f ca="1">项目基本情况!C4</f>
        <v>1120070131</v>
      </c>
      <c r="C4" s="1982"/>
      <c r="D4" s="1983" t="s">
        <v>1652</v>
      </c>
    </row>
    <row r="5" spans="1:4" ht="56.25" customHeight="1">
      <c r="A5" s="1980" t="str">
        <f>项目基本情况!D4</f>
        <v>王鹏</v>
      </c>
      <c r="B5" s="1981">
        <f ca="1">项目基本情况!E4</f>
        <v>1120050019</v>
      </c>
      <c r="C5" s="1984"/>
      <c r="D5" s="1983" t="s">
        <v>1652</v>
      </c>
    </row>
    <row r="6" spans="1:4" ht="18">
      <c r="A6" s="3015" t="s">
        <v>1653</v>
      </c>
      <c r="B6" s="3015"/>
      <c r="C6" s="3015"/>
      <c r="D6" s="3015"/>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3016" t="s">
        <v>1656</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复印件、《国有土地使用权》复印件，截至价值时点，估价对象已设定抵押。上述抵押权设定日期为，权利人为锦州银行股份有限公司辽阳望京支行，权利范围为，权利价值为人民币441130000元整。</v>
      </c>
      <c r="B15" s="3008"/>
      <c r="C15" s="3008"/>
      <c r="D15" s="3008"/>
    </row>
    <row r="16" spans="1:4" ht="30" customHeight="1">
      <c r="A16" s="3010" t="s">
        <v>1657</v>
      </c>
      <c r="B16" s="3010"/>
      <c r="C16" s="3010"/>
      <c r="D16" s="3010"/>
    </row>
    <row r="17" spans="1:4" ht="144" customHeight="1">
      <c r="A17" s="3010" t="s">
        <v>1658</v>
      </c>
      <c r="B17" s="3010"/>
      <c r="C17" s="3010"/>
      <c r="D17" s="3010"/>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1659</v>
      </c>
      <c r="B22" s="3012"/>
      <c r="C22" s="3012"/>
      <c r="D22" s="3012"/>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22" t="s">
        <v>1670</v>
      </c>
      <c r="B15" s="3017" t="s">
        <v>136</v>
      </c>
      <c r="C15" s="3018"/>
    </row>
    <row r="16" spans="1:7" ht="13.5">
      <c r="A16" s="3023"/>
      <c r="B16" s="3017" t="s">
        <v>69</v>
      </c>
      <c r="C16" s="3018"/>
    </row>
    <row r="17" spans="1:3" ht="13.5">
      <c r="A17" s="3023"/>
      <c r="B17" s="3020" t="s">
        <v>1671</v>
      </c>
      <c r="C17" s="2002" t="s">
        <v>1670</v>
      </c>
    </row>
    <row r="18" spans="1:3" ht="13.5">
      <c r="A18" s="3023"/>
      <c r="B18" s="3020"/>
      <c r="C18" s="2002" t="s">
        <v>1672</v>
      </c>
    </row>
    <row r="19" spans="1:3" ht="13.5">
      <c r="A19" s="3023"/>
      <c r="B19" s="3020"/>
      <c r="C19" s="2002" t="s">
        <v>1673</v>
      </c>
    </row>
    <row r="20" spans="1:3" ht="13.5">
      <c r="A20" s="3024"/>
      <c r="B20" s="3019" t="s">
        <v>1674</v>
      </c>
      <c r="C20" s="3018"/>
    </row>
    <row r="21" spans="1:3" ht="13.5">
      <c r="A21" s="2003" t="s">
        <v>1675</v>
      </c>
      <c r="B21" s="2004"/>
      <c r="C21" s="2005"/>
    </row>
    <row r="22" spans="1:3" ht="13.5">
      <c r="A22" s="3021" t="s">
        <v>1676</v>
      </c>
      <c r="B22" s="3019" t="s">
        <v>1677</v>
      </c>
      <c r="C22" s="3018"/>
    </row>
    <row r="23" spans="1:3" ht="13.5">
      <c r="A23" s="3021"/>
      <c r="B23" s="3019" t="s">
        <v>1678</v>
      </c>
      <c r="C23" s="3018"/>
    </row>
    <row r="24" spans="1:3" ht="13.5">
      <c r="A24" s="3021"/>
      <c r="B24" s="3019" t="s">
        <v>1679</v>
      </c>
      <c r="C24" s="3018"/>
    </row>
    <row r="25" spans="1:3" ht="13.5">
      <c r="A25" s="3021"/>
      <c r="B25" s="3020" t="s">
        <v>1680</v>
      </c>
      <c r="C25" s="2002" t="s">
        <v>1681</v>
      </c>
    </row>
    <row r="26" spans="1:3" ht="13.5">
      <c r="A26" s="3021"/>
      <c r="B26" s="3020"/>
      <c r="C26" s="2002" t="s">
        <v>1682</v>
      </c>
    </row>
    <row r="27" spans="1:3" ht="13.5">
      <c r="A27" s="3021"/>
      <c r="B27" s="3020"/>
      <c r="C27" s="2002" t="s">
        <v>1683</v>
      </c>
    </row>
    <row r="28" spans="1:3" ht="13.5">
      <c r="A28" s="3021"/>
      <c r="B28" s="3020"/>
      <c r="C28" s="2002" t="s">
        <v>1684</v>
      </c>
    </row>
    <row r="29" spans="1:3" ht="13.5">
      <c r="A29" s="3021"/>
      <c r="B29" s="3020"/>
      <c r="C29" s="2002" t="s">
        <v>1685</v>
      </c>
    </row>
    <row r="30" spans="1:3" ht="13.5">
      <c r="A30" s="3021"/>
      <c r="B30" s="3020"/>
      <c r="C30" s="2002" t="s">
        <v>1686</v>
      </c>
    </row>
    <row r="31" spans="1:3" ht="13.5">
      <c r="A31" s="3021"/>
      <c r="B31" s="3020"/>
      <c r="C31" s="2002" t="s">
        <v>1687</v>
      </c>
    </row>
    <row r="32" spans="1:3" ht="13.5">
      <c r="A32" s="3021"/>
      <c r="B32" s="3020"/>
      <c r="C32" s="2002" t="s">
        <v>1688</v>
      </c>
    </row>
    <row r="33" spans="1:3" ht="13.5">
      <c r="A33" s="3021"/>
      <c r="B33" s="3020"/>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43201</v>
      </c>
      <c r="C2" s="1022" t="s">
        <v>826</v>
      </c>
      <c r="D2" s="1022"/>
    </row>
    <row r="3" spans="1:6" ht="24" customHeight="1">
      <c r="A3" s="1023" t="s">
        <v>827</v>
      </c>
      <c r="B3" s="1024" t="s">
        <v>828</v>
      </c>
      <c r="C3" s="2346" t="s">
        <v>829</v>
      </c>
      <c r="D3" s="2349" t="s">
        <v>830</v>
      </c>
      <c r="E3" s="1025" t="s">
        <v>831</v>
      </c>
      <c r="F3" s="1024" t="s">
        <v>829</v>
      </c>
    </row>
    <row r="4" spans="1:6" ht="24" customHeight="1">
      <c r="A4" s="1704" t="s">
        <v>832</v>
      </c>
      <c r="B4" s="1025">
        <f ca="1">IF(C4&lt;B2,"已过期",1119970066)</f>
        <v>1119970066</v>
      </c>
      <c r="C4" s="2347">
        <v>43849</v>
      </c>
      <c r="D4" s="2350" t="s">
        <v>832</v>
      </c>
      <c r="E4" s="1025">
        <f ca="1">IF(F4&lt;B2,"已过期",96010014)</f>
        <v>96010014</v>
      </c>
      <c r="F4" s="1033">
        <v>47118</v>
      </c>
    </row>
    <row r="5" spans="1:6" ht="24" customHeight="1">
      <c r="A5" s="1704" t="s">
        <v>833</v>
      </c>
      <c r="B5" s="1025">
        <f ca="1">IF(C5&lt;B2,"已过期",1119970074)</f>
        <v>1119970074</v>
      </c>
      <c r="C5" s="2347">
        <v>43849</v>
      </c>
      <c r="D5" s="2350" t="s">
        <v>833</v>
      </c>
      <c r="E5" s="1025">
        <f ca="1">IF(F5&lt;B2,"已过期",2002110027)</f>
        <v>2002110027</v>
      </c>
      <c r="F5" s="1033">
        <v>46752</v>
      </c>
    </row>
    <row r="6" spans="1:6" ht="24" customHeight="1">
      <c r="A6" s="1704" t="s">
        <v>834</v>
      </c>
      <c r="B6" s="1025">
        <f ca="1">IF(C6&lt;B2,"已过期",1119970111)</f>
        <v>1119970111</v>
      </c>
      <c r="C6" s="2347">
        <v>43849</v>
      </c>
      <c r="D6" s="2350" t="s">
        <v>834</v>
      </c>
      <c r="E6" s="1025">
        <f ca="1">IF(F6&lt;B2,"已过期",94010078)</f>
        <v>94010078</v>
      </c>
      <c r="F6" s="1033">
        <v>46387</v>
      </c>
    </row>
    <row r="7" spans="1:6" ht="24" customHeight="1">
      <c r="A7" s="1704" t="s">
        <v>835</v>
      </c>
      <c r="B7" s="1025">
        <f ca="1">IF(C7&lt;B2,"已过期",1120050019)</f>
        <v>1120050019</v>
      </c>
      <c r="C7" s="2347">
        <v>43359</v>
      </c>
      <c r="D7" s="2350" t="s">
        <v>835</v>
      </c>
      <c r="E7" s="1025">
        <f ca="1">IF(F7&lt;B2,"已过期",2002110030)</f>
        <v>2002110030</v>
      </c>
      <c r="F7" s="1033">
        <v>46387</v>
      </c>
    </row>
    <row r="8" spans="1:6" ht="24" customHeight="1">
      <c r="A8" s="1704" t="s">
        <v>836</v>
      </c>
      <c r="B8" s="1025">
        <f ca="1">IF(C8&lt;B2,"已过期",1120000080)</f>
        <v>1120000080</v>
      </c>
      <c r="C8" s="2347">
        <v>43849</v>
      </c>
      <c r="D8" s="2350" t="s">
        <v>836</v>
      </c>
      <c r="E8" s="1025">
        <f ca="1">IF(F8&lt;B2,"已过期",2000110082)</f>
        <v>2000110082</v>
      </c>
      <c r="F8" s="1033">
        <v>46387</v>
      </c>
    </row>
    <row r="9" spans="1:6" ht="24" customHeight="1">
      <c r="A9" s="1704" t="s">
        <v>837</v>
      </c>
      <c r="B9" s="1025">
        <f ca="1">IF(C9&lt;B2,"已过期",1419970001)</f>
        <v>1419970001</v>
      </c>
      <c r="C9" s="2347">
        <v>43867</v>
      </c>
      <c r="D9" s="2350" t="s">
        <v>837</v>
      </c>
      <c r="E9" s="1025">
        <f ca="1">IF(F9&lt;B2,"已过期",2002110125)</f>
        <v>2002110125</v>
      </c>
      <c r="F9" s="1033">
        <v>47118</v>
      </c>
    </row>
    <row r="10" spans="1:6" ht="24" customHeight="1">
      <c r="A10" s="1704" t="s">
        <v>838</v>
      </c>
      <c r="B10" s="1025">
        <f ca="1">IF(C10&lt;B2,"已过期",1120060040)</f>
        <v>1120060040</v>
      </c>
      <c r="C10" s="2347">
        <v>43483</v>
      </c>
      <c r="D10" s="2350" t="s">
        <v>838</v>
      </c>
      <c r="E10" s="1025">
        <f ca="1">IF(F10&lt;B2,"已过期",2004110096)</f>
        <v>2004110096</v>
      </c>
      <c r="F10" s="1033">
        <v>47118</v>
      </c>
    </row>
    <row r="11" spans="1:6" ht="24" customHeight="1">
      <c r="A11" s="1704" t="s">
        <v>839</v>
      </c>
      <c r="B11" s="1025">
        <f ca="1">IF(C11&lt;B2,"已过期",1120100036)</f>
        <v>1120100036</v>
      </c>
      <c r="C11" s="2347">
        <v>43622</v>
      </c>
      <c r="D11" s="2350" t="s">
        <v>839</v>
      </c>
      <c r="E11" s="1025">
        <f ca="1">IF(F11&lt;B2,"已过期",2010110070)</f>
        <v>2010110070</v>
      </c>
      <c r="F11" s="1033">
        <v>47907</v>
      </c>
    </row>
    <row r="12" spans="1:6" ht="24" customHeight="1">
      <c r="A12" s="1704"/>
      <c r="B12" s="1025"/>
      <c r="C12" s="2347"/>
      <c r="D12" s="2350"/>
      <c r="E12" s="1025"/>
      <c r="F12" s="1025"/>
    </row>
    <row r="13" spans="1:6" ht="24" customHeight="1">
      <c r="A13" s="1704" t="s">
        <v>840</v>
      </c>
      <c r="B13" s="1025">
        <f ca="1">IF(C13&lt;B2,"已过期",1120070131)</f>
        <v>1120070131</v>
      </c>
      <c r="C13" s="2347">
        <v>43814</v>
      </c>
      <c r="D13" s="2350" t="s">
        <v>840</v>
      </c>
      <c r="E13" s="1025">
        <v>2014110011</v>
      </c>
      <c r="F13" s="1033">
        <v>49302</v>
      </c>
    </row>
    <row r="14" spans="1:6" ht="24" customHeight="1">
      <c r="A14" s="1704" t="s">
        <v>841</v>
      </c>
      <c r="B14" s="1025">
        <f ca="1">IF(C14&lt;B2,"已过期",1120130020)</f>
        <v>1120130020</v>
      </c>
      <c r="C14" s="2347">
        <v>43622</v>
      </c>
      <c r="D14" s="2350"/>
      <c r="E14" s="1025"/>
      <c r="F14" s="1025"/>
    </row>
    <row r="15" spans="1:6" ht="24" customHeight="1">
      <c r="A15" s="1705" t="s">
        <v>1149</v>
      </c>
      <c r="B15" s="1025">
        <v>1120070085</v>
      </c>
      <c r="C15" s="2347">
        <v>43814</v>
      </c>
      <c r="D15" s="2351" t="s">
        <v>1149</v>
      </c>
      <c r="E15" s="1025">
        <v>2004110128</v>
      </c>
      <c r="F15" s="1026">
        <v>47118</v>
      </c>
    </row>
    <row r="16" spans="1:6" ht="24" customHeight="1">
      <c r="A16" s="1704" t="s">
        <v>842</v>
      </c>
      <c r="B16" s="1025">
        <f ca="1">IF(C16&lt;B2,"已过期",1120140022)</f>
        <v>1120140022</v>
      </c>
      <c r="C16" s="2347">
        <v>44029</v>
      </c>
      <c r="D16" s="2350" t="s">
        <v>842</v>
      </c>
      <c r="E16" s="1025">
        <f ca="1">IF(F16&lt;B2,"已过期",2008110059)</f>
        <v>2008110059</v>
      </c>
      <c r="F16" s="1033">
        <v>47177</v>
      </c>
    </row>
    <row r="17" spans="1:7" ht="24" customHeight="1">
      <c r="A17" s="1704"/>
      <c r="B17" s="1025"/>
      <c r="C17" s="2347"/>
      <c r="D17" s="2350"/>
      <c r="E17" s="1025"/>
      <c r="F17" s="1033"/>
    </row>
    <row r="18" spans="1:7" ht="24" customHeight="1">
      <c r="A18" s="1704"/>
      <c r="B18" s="1025"/>
      <c r="C18" s="2347"/>
      <c r="D18" s="2350"/>
      <c r="E18" s="1025"/>
      <c r="F18" s="1033"/>
    </row>
    <row r="19" spans="1:7" ht="24" customHeight="1">
      <c r="A19" s="1704"/>
      <c r="B19" s="1025"/>
      <c r="C19" s="2347"/>
      <c r="D19" s="2350"/>
      <c r="E19" s="1025"/>
      <c r="F19" s="1025"/>
    </row>
    <row r="20" spans="1:7" ht="24" customHeight="1">
      <c r="A20" s="1704"/>
      <c r="B20" s="1025"/>
      <c r="C20" s="2347"/>
      <c r="D20" s="2350"/>
      <c r="E20" s="1025"/>
      <c r="F20" s="1025"/>
    </row>
    <row r="21" spans="1:7" ht="24" customHeight="1">
      <c r="A21" s="1704"/>
      <c r="B21" s="1025"/>
      <c r="C21" s="2347"/>
      <c r="D21" s="2350" t="s">
        <v>843</v>
      </c>
      <c r="E21" s="1025">
        <f ca="1">IF(F21&lt;B2,"已过期",2011110090)</f>
        <v>2011110090</v>
      </c>
      <c r="F21" s="1033">
        <v>48302</v>
      </c>
    </row>
    <row r="22" spans="1:7" ht="24" customHeight="1">
      <c r="A22" s="1704" t="s">
        <v>844</v>
      </c>
      <c r="B22" s="1025">
        <f ca="1">IF(C22&lt;B2,"已过期",1120020033)</f>
        <v>1120020033</v>
      </c>
      <c r="C22" s="2347">
        <v>43304</v>
      </c>
      <c r="D22" s="2350" t="s">
        <v>844</v>
      </c>
      <c r="E22" s="1025">
        <f ca="1">IF(F22&lt;B2,"已过期",2000110137)</f>
        <v>2000110137</v>
      </c>
      <c r="F22" s="1033">
        <v>46387</v>
      </c>
    </row>
    <row r="23" spans="1:7" ht="24" customHeight="1">
      <c r="A23" s="1704" t="s">
        <v>845</v>
      </c>
      <c r="B23" s="1025">
        <f ca="1">IF(C23&lt;B2,"已过期",1120130048)</f>
        <v>1120130048</v>
      </c>
      <c r="C23" s="2347">
        <v>43686</v>
      </c>
      <c r="D23" s="2350"/>
      <c r="E23" s="1025"/>
      <c r="F23" s="1025"/>
    </row>
    <row r="24" spans="1:7" s="1027" customFormat="1" ht="24" customHeight="1">
      <c r="A24" s="1705" t="s">
        <v>1333</v>
      </c>
      <c r="B24" s="1705" t="s">
        <v>1333</v>
      </c>
      <c r="C24" s="2348" t="s">
        <v>1333</v>
      </c>
      <c r="D24" s="2351" t="s">
        <v>1333</v>
      </c>
      <c r="E24" s="1705" t="s">
        <v>1333</v>
      </c>
      <c r="F24" s="1705" t="s">
        <v>1333</v>
      </c>
    </row>
    <row r="25" spans="1:7" ht="24" customHeight="1">
      <c r="A25" s="3025" t="s">
        <v>846</v>
      </c>
      <c r="B25" s="3025"/>
      <c r="C25" s="3025"/>
      <c r="D25" s="3025"/>
      <c r="E25" s="3025"/>
      <c r="F25" s="3025"/>
      <c r="G25" s="3025"/>
    </row>
    <row r="26" spans="1:7" s="1028" customFormat="1" ht="24" customHeight="1">
      <c r="A26" s="3026" t="s">
        <v>847</v>
      </c>
      <c r="B26" s="3026"/>
      <c r="C26" s="3027"/>
      <c r="D26" s="3028" t="s">
        <v>848</v>
      </c>
      <c r="E26" s="3026"/>
      <c r="F26" s="3026"/>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Sheet4</vt:lpstr>
      <vt:lpstr>成本法</vt:lpstr>
      <vt:lpstr>成本法 (元)</vt:lpstr>
      <vt:lpstr>假设开发法</vt:lpstr>
      <vt:lpstr>土地比较法-住宅、综合</vt:lpstr>
      <vt:lpstr>收益法（汇总）</vt:lpstr>
      <vt:lpstr>收益法（奥特莱斯）</vt:lpstr>
      <vt:lpstr>收益法 (元)</vt:lpstr>
      <vt:lpstr>收益法（会所）</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 (元)'!Print_Area</vt:lpstr>
      <vt:lpstr>'收益法（奥特莱斯）'!Print_Area</vt:lpstr>
      <vt:lpstr>'收益法（会所）'!Print_Area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2018-04-11T06:57:33Z</dcterms:modified>
</cp:coreProperties>
</file>