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基准地价修正 (2)" sheetId="79"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地价-分区" sheetId="78"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2">基准地价修正!$A$1:$J$44,基准地价修正!$A$48:$H$102,基准地价修正!$R$1:$V$16</definedName>
    <definedName name="_xlnm.Print_Area" localSheetId="33">'基准地价修正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3">'基准地价修正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79" l="1"/>
  <c r="U2" i="79"/>
  <c r="G63" i="43"/>
  <c r="G64" i="43"/>
  <c r="G65" i="43"/>
  <c r="G66" i="43"/>
  <c r="G67" i="43"/>
  <c r="G68" i="43"/>
  <c r="G69" i="43"/>
  <c r="G70" i="43"/>
  <c r="G62" i="43"/>
  <c r="G52" i="79"/>
  <c r="G53" i="79"/>
  <c r="G54" i="79"/>
  <c r="G55" i="79"/>
  <c r="G56" i="79"/>
  <c r="G57" i="79"/>
  <c r="G58" i="79"/>
  <c r="G59" i="79"/>
  <c r="G51" i="79"/>
  <c r="K51" i="79" s="1"/>
  <c r="D33" i="79"/>
  <c r="I24" i="79"/>
  <c r="I123" i="79"/>
  <c r="J123" i="79" s="1"/>
  <c r="K123" i="79" s="1"/>
  <c r="L123" i="79" s="1"/>
  <c r="M123" i="79" s="1"/>
  <c r="I122" i="79"/>
  <c r="J122" i="79" s="1"/>
  <c r="K122" i="79" s="1"/>
  <c r="L122" i="79" s="1"/>
  <c r="M122" i="79" s="1"/>
  <c r="G122" i="79"/>
  <c r="H122" i="79" s="1"/>
  <c r="I121" i="79"/>
  <c r="J121" i="79" s="1"/>
  <c r="K121" i="79" s="1"/>
  <c r="L121" i="79" s="1"/>
  <c r="M121" i="79" s="1"/>
  <c r="I120" i="79"/>
  <c r="J120" i="79" s="1"/>
  <c r="K120" i="79" s="1"/>
  <c r="L120" i="79" s="1"/>
  <c r="M120" i="79" s="1"/>
  <c r="I119" i="79"/>
  <c r="J119" i="79" s="1"/>
  <c r="K119" i="79" s="1"/>
  <c r="L119" i="79" s="1"/>
  <c r="M119" i="79" s="1"/>
  <c r="F117" i="79"/>
  <c r="B117" i="79"/>
  <c r="D123" i="79" s="1"/>
  <c r="E123" i="79" s="1"/>
  <c r="F123" i="79" s="1"/>
  <c r="G123" i="79" s="1"/>
  <c r="H123"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s="1"/>
  <c r="D102" i="79"/>
  <c r="B102" i="79"/>
  <c r="M101" i="79"/>
  <c r="N101" i="79" s="1"/>
  <c r="K101" i="79"/>
  <c r="J101" i="79"/>
  <c r="D101" i="79"/>
  <c r="B101" i="79"/>
  <c r="N100" i="79"/>
  <c r="M100" i="79"/>
  <c r="K100" i="79"/>
  <c r="J100" i="79" s="1"/>
  <c r="D100" i="79"/>
  <c r="B100" i="79"/>
  <c r="M99" i="79"/>
  <c r="N99" i="79" s="1"/>
  <c r="K99" i="79"/>
  <c r="J99" i="79"/>
  <c r="D99" i="79"/>
  <c r="M98" i="79"/>
  <c r="N98" i="79" s="1"/>
  <c r="K98" i="79"/>
  <c r="J98" i="79"/>
  <c r="D98" i="79"/>
  <c r="B98" i="79"/>
  <c r="N97" i="79"/>
  <c r="M97" i="79"/>
  <c r="K97" i="79"/>
  <c r="J97" i="79" s="1"/>
  <c r="D97" i="79"/>
  <c r="N96" i="79"/>
  <c r="M96" i="79"/>
  <c r="K96" i="79"/>
  <c r="J96" i="79" s="1"/>
  <c r="D96" i="79"/>
  <c r="B96" i="79"/>
  <c r="M95" i="79"/>
  <c r="N95" i="79" s="1"/>
  <c r="K95" i="79"/>
  <c r="J95" i="79"/>
  <c r="D95" i="79"/>
  <c r="B95" i="79"/>
  <c r="N94" i="79"/>
  <c r="M94" i="79"/>
  <c r="K94" i="79"/>
  <c r="J94" i="79" s="1"/>
  <c r="F94" i="79"/>
  <c r="H102" i="79" s="1"/>
  <c r="E94" i="79"/>
  <c r="D94" i="79"/>
  <c r="B92" i="79"/>
  <c r="M91" i="79"/>
  <c r="N91" i="79" s="1"/>
  <c r="K91" i="79"/>
  <c r="J91" i="79"/>
  <c r="D91" i="79"/>
  <c r="B91" i="79"/>
  <c r="N90" i="79"/>
  <c r="M90" i="79"/>
  <c r="K90" i="79"/>
  <c r="J90" i="79" s="1"/>
  <c r="D90" i="79"/>
  <c r="N89" i="79"/>
  <c r="M89" i="79"/>
  <c r="K89" i="79"/>
  <c r="J89" i="79" s="1"/>
  <c r="D89" i="79"/>
  <c r="B89" i="79"/>
  <c r="M88" i="79"/>
  <c r="N88" i="79" s="1"/>
  <c r="K88" i="79"/>
  <c r="J88" i="79"/>
  <c r="D88" i="79"/>
  <c r="B88" i="79"/>
  <c r="N87" i="79"/>
  <c r="M87" i="79"/>
  <c r="K87" i="79"/>
  <c r="J87" i="79" s="1"/>
  <c r="D87" i="79"/>
  <c r="B87" i="79"/>
  <c r="M86" i="79"/>
  <c r="N86" i="79" s="1"/>
  <c r="K86" i="79"/>
  <c r="J86" i="79"/>
  <c r="D86" i="79"/>
  <c r="B86" i="79"/>
  <c r="N85" i="79"/>
  <c r="M85" i="79"/>
  <c r="K85" i="79"/>
  <c r="J85" i="79" s="1"/>
  <c r="D85" i="79"/>
  <c r="B85" i="79"/>
  <c r="M84" i="79"/>
  <c r="N84" i="79" s="1"/>
  <c r="K84" i="79"/>
  <c r="J84" i="79"/>
  <c r="F84" i="79"/>
  <c r="H90" i="79" s="1"/>
  <c r="D84" i="79"/>
  <c r="E84" i="79" s="1"/>
  <c r="B82" i="79" s="1"/>
  <c r="B84" i="79"/>
  <c r="M81" i="79"/>
  <c r="N81" i="79" s="1"/>
  <c r="K81" i="79"/>
  <c r="J81" i="79"/>
  <c r="D81" i="79"/>
  <c r="M80" i="79"/>
  <c r="N80" i="79" s="1"/>
  <c r="K80" i="79"/>
  <c r="J80" i="79"/>
  <c r="D80" i="79"/>
  <c r="B80" i="79"/>
  <c r="N79" i="79"/>
  <c r="M79" i="79"/>
  <c r="K79" i="79"/>
  <c r="J79" i="79" s="1"/>
  <c r="D79" i="79"/>
  <c r="N78" i="79"/>
  <c r="M78" i="79"/>
  <c r="K78" i="79"/>
  <c r="J78" i="79" s="1"/>
  <c r="D78" i="79"/>
  <c r="B78" i="79"/>
  <c r="M77" i="79"/>
  <c r="N77" i="79" s="1"/>
  <c r="K77" i="79"/>
  <c r="J77" i="79"/>
  <c r="D77" i="79"/>
  <c r="B77" i="79"/>
  <c r="N76" i="79"/>
  <c r="M76" i="79"/>
  <c r="K76" i="79"/>
  <c r="J76" i="79" s="1"/>
  <c r="D76" i="79"/>
  <c r="B76" i="79"/>
  <c r="M75" i="79"/>
  <c r="N75" i="79" s="1"/>
  <c r="K75" i="79"/>
  <c r="J75" i="79"/>
  <c r="D75" i="79"/>
  <c r="B75" i="79"/>
  <c r="N74" i="79"/>
  <c r="M74" i="79"/>
  <c r="K74" i="79"/>
  <c r="J74" i="79" s="1"/>
  <c r="D74" i="79"/>
  <c r="B74" i="79"/>
  <c r="M73" i="79"/>
  <c r="N73" i="79" s="1"/>
  <c r="K73" i="79"/>
  <c r="J73" i="79"/>
  <c r="F73" i="79"/>
  <c r="D73" i="79"/>
  <c r="E73" i="79" s="1"/>
  <c r="B73" i="79"/>
  <c r="B71" i="79"/>
  <c r="M70" i="79"/>
  <c r="N70" i="79" s="1"/>
  <c r="K70" i="79"/>
  <c r="J70" i="79"/>
  <c r="D70" i="79"/>
  <c r="B70" i="79"/>
  <c r="N69" i="79"/>
  <c r="M69" i="79"/>
  <c r="K69" i="79"/>
  <c r="J69" i="79" s="1"/>
  <c r="D69" i="79"/>
  <c r="B69" i="79"/>
  <c r="M68" i="79"/>
  <c r="N68" i="79" s="1"/>
  <c r="K68" i="79"/>
  <c r="J68" i="79"/>
  <c r="D68" i="79"/>
  <c r="B68" i="79"/>
  <c r="N67" i="79"/>
  <c r="M67" i="79"/>
  <c r="K67" i="79"/>
  <c r="J67" i="79" s="1"/>
  <c r="D67" i="79"/>
  <c r="N66" i="79"/>
  <c r="M66" i="79"/>
  <c r="K66" i="79"/>
  <c r="J66" i="79" s="1"/>
  <c r="D66" i="79"/>
  <c r="B66" i="79"/>
  <c r="M65" i="79"/>
  <c r="N65" i="79" s="1"/>
  <c r="K65" i="79"/>
  <c r="J65" i="79"/>
  <c r="D65" i="79"/>
  <c r="M64" i="79"/>
  <c r="N64" i="79" s="1"/>
  <c r="K64" i="79"/>
  <c r="J64" i="79"/>
  <c r="D64" i="79"/>
  <c r="B64" i="79"/>
  <c r="N63" i="79"/>
  <c r="M63" i="79"/>
  <c r="K63" i="79"/>
  <c r="J63" i="79" s="1"/>
  <c r="D63" i="79"/>
  <c r="B63" i="79"/>
  <c r="M62" i="79"/>
  <c r="N62" i="79" s="1"/>
  <c r="K62" i="79"/>
  <c r="J62" i="79"/>
  <c r="D62" i="79"/>
  <c r="E62" i="79" s="1"/>
  <c r="B60" i="79" s="1"/>
  <c r="B62" i="79"/>
  <c r="M59" i="79"/>
  <c r="N59" i="79" s="1"/>
  <c r="K59" i="79"/>
  <c r="J59" i="79"/>
  <c r="D59" i="79"/>
  <c r="B59" i="79"/>
  <c r="N58" i="79"/>
  <c r="M58" i="79"/>
  <c r="K58" i="79"/>
  <c r="J58" i="79" s="1"/>
  <c r="D58" i="79" s="1"/>
  <c r="B58" i="79"/>
  <c r="M57" i="79"/>
  <c r="N57" i="79" s="1"/>
  <c r="K57" i="79"/>
  <c r="J57" i="79" s="1"/>
  <c r="D57" i="79" s="1"/>
  <c r="B57" i="79"/>
  <c r="N56" i="79"/>
  <c r="M56" i="79"/>
  <c r="K56" i="79"/>
  <c r="J56" i="79" s="1"/>
  <c r="M55" i="79"/>
  <c r="N55" i="79" s="1"/>
  <c r="K55" i="79"/>
  <c r="J55" i="79" s="1"/>
  <c r="D55" i="79"/>
  <c r="B55" i="79"/>
  <c r="M54" i="79"/>
  <c r="N54" i="79" s="1"/>
  <c r="K54" i="79"/>
  <c r="J54" i="79"/>
  <c r="D54" i="79"/>
  <c r="M53" i="79"/>
  <c r="N53" i="79" s="1"/>
  <c r="K53" i="79"/>
  <c r="J53" i="79"/>
  <c r="D53" i="79"/>
  <c r="B53" i="79"/>
  <c r="N52" i="79"/>
  <c r="M52" i="79"/>
  <c r="K52" i="79"/>
  <c r="J52" i="79" s="1"/>
  <c r="D52" i="79"/>
  <c r="B52" i="79"/>
  <c r="M51" i="79"/>
  <c r="N51" i="79" s="1"/>
  <c r="B51" i="79"/>
  <c r="H42" i="79"/>
  <c r="H41" i="79"/>
  <c r="H40" i="79"/>
  <c r="H39" i="79"/>
  <c r="H38" i="79"/>
  <c r="L37" i="79"/>
  <c r="Q37" i="79" s="1"/>
  <c r="H37" i="79"/>
  <c r="Q36" i="79"/>
  <c r="P36" i="79"/>
  <c r="O36" i="79"/>
  <c r="N36" i="79"/>
  <c r="M36" i="79"/>
  <c r="J26" i="79"/>
  <c r="G26" i="79"/>
  <c r="E26" i="79"/>
  <c r="J24" i="79"/>
  <c r="G24" i="79"/>
  <c r="E44" i="79" s="1"/>
  <c r="C44" i="79" s="1"/>
  <c r="E24" i="79"/>
  <c r="P32" i="79" s="1"/>
  <c r="C24" i="79"/>
  <c r="O23" i="79"/>
  <c r="M23" i="79"/>
  <c r="I23" i="79"/>
  <c r="G23" i="79"/>
  <c r="P29" i="79" s="1"/>
  <c r="C23" i="79"/>
  <c r="C22" i="79"/>
  <c r="L18" i="79"/>
  <c r="I18" i="79"/>
  <c r="L17" i="79"/>
  <c r="G17" i="79"/>
  <c r="C17" i="79"/>
  <c r="C13" i="79"/>
  <c r="Y10" i="79"/>
  <c r="C10" i="79"/>
  <c r="C11" i="79" s="1"/>
  <c r="AJ9" i="79"/>
  <c r="AJ10" i="79" s="1"/>
  <c r="AI9" i="79"/>
  <c r="AI10" i="79" s="1"/>
  <c r="AH9" i="79"/>
  <c r="AH10" i="79" s="1"/>
  <c r="AG9" i="79"/>
  <c r="AG10" i="79" s="1"/>
  <c r="AF9" i="79"/>
  <c r="AF10" i="79" s="1"/>
  <c r="AE9" i="79"/>
  <c r="AE10" i="79" s="1"/>
  <c r="AD9" i="79"/>
  <c r="AD10" i="79" s="1"/>
  <c r="AC9" i="79"/>
  <c r="AC10" i="79" s="1"/>
  <c r="AB9" i="79"/>
  <c r="AB10" i="79" s="1"/>
  <c r="AA9" i="79"/>
  <c r="AA10" i="79" s="1"/>
  <c r="Z9" i="79"/>
  <c r="Z10" i="79" s="1"/>
  <c r="C9" i="79"/>
  <c r="Z7" i="79"/>
  <c r="I2" i="79"/>
  <c r="N12" i="79" s="1"/>
  <c r="G2" i="79"/>
  <c r="H117" i="79" s="1"/>
  <c r="N1" i="79"/>
  <c r="D1" i="79"/>
  <c r="D33" i="43"/>
  <c r="I24" i="43"/>
  <c r="D56" i="79" l="1"/>
  <c r="E51" i="79" s="1"/>
  <c r="B49" i="79" s="1"/>
  <c r="C28" i="79" s="1"/>
  <c r="J51" i="79"/>
  <c r="D51" i="79"/>
  <c r="N4" i="79"/>
  <c r="M10" i="79"/>
  <c r="M11" i="79"/>
  <c r="M1" i="79"/>
  <c r="M2" i="79"/>
  <c r="M6" i="79"/>
  <c r="M3" i="79"/>
  <c r="M5" i="79"/>
  <c r="M7" i="79"/>
  <c r="N8" i="79"/>
  <c r="N9" i="79"/>
  <c r="M12" i="79"/>
  <c r="G18" i="79"/>
  <c r="E17" i="79" s="1"/>
  <c r="F51" i="79"/>
  <c r="H59" i="79" s="1"/>
  <c r="H94" i="79"/>
  <c r="H97" i="79"/>
  <c r="H96" i="79"/>
  <c r="E9" i="79"/>
  <c r="E8" i="79"/>
  <c r="E11" i="79"/>
  <c r="E10" i="79"/>
  <c r="D21" i="79"/>
  <c r="I21" i="79"/>
  <c r="K21" i="79"/>
  <c r="M21" i="79"/>
  <c r="O21" i="79"/>
  <c r="N2" i="79"/>
  <c r="N3" i="79"/>
  <c r="M4" i="79"/>
  <c r="S4" i="79"/>
  <c r="N5" i="79"/>
  <c r="C6" i="79"/>
  <c r="N6" i="79"/>
  <c r="N7" i="79"/>
  <c r="M8" i="79"/>
  <c r="M9" i="79"/>
  <c r="N10" i="79"/>
  <c r="N11" i="79"/>
  <c r="C21" i="79"/>
  <c r="E21" i="79"/>
  <c r="H21" i="79"/>
  <c r="J21" i="79"/>
  <c r="L21" i="79"/>
  <c r="N21" i="79"/>
  <c r="F26" i="79"/>
  <c r="D26" i="79" s="1"/>
  <c r="H26" i="79"/>
  <c r="P26" i="79"/>
  <c r="P27" i="79"/>
  <c r="P28" i="79"/>
  <c r="M32" i="79"/>
  <c r="O32" i="79"/>
  <c r="Q32" i="79"/>
  <c r="F37" i="79"/>
  <c r="N37" i="79"/>
  <c r="P37" i="79"/>
  <c r="F38" i="79"/>
  <c r="F39" i="79"/>
  <c r="F40" i="79"/>
  <c r="F41" i="79"/>
  <c r="F42" i="79"/>
  <c r="H52" i="79"/>
  <c r="H55" i="79"/>
  <c r="H56" i="79"/>
  <c r="H58" i="79"/>
  <c r="F62" i="79"/>
  <c r="S2" i="79"/>
  <c r="S3" i="79"/>
  <c r="S5" i="79"/>
  <c r="S6" i="79"/>
  <c r="X7" i="79"/>
  <c r="M24" i="79"/>
  <c r="P25" i="79"/>
  <c r="C27" i="79"/>
  <c r="N32" i="79"/>
  <c r="M37" i="79"/>
  <c r="O37" i="79"/>
  <c r="H51" i="79"/>
  <c r="H53" i="79"/>
  <c r="H54" i="79"/>
  <c r="H57" i="79"/>
  <c r="H79" i="79"/>
  <c r="H78" i="79"/>
  <c r="H76" i="79"/>
  <c r="H81" i="79"/>
  <c r="H80" i="79"/>
  <c r="H77" i="79"/>
  <c r="H75" i="79"/>
  <c r="H73" i="79"/>
  <c r="H74" i="79"/>
  <c r="H84" i="79"/>
  <c r="H86" i="79"/>
  <c r="H88" i="79"/>
  <c r="H91" i="79"/>
  <c r="H95" i="79"/>
  <c r="H98" i="79"/>
  <c r="H99" i="79"/>
  <c r="H101" i="79"/>
  <c r="B119" i="79"/>
  <c r="C119" i="79" s="1"/>
  <c r="D119" i="79"/>
  <c r="E119" i="79" s="1"/>
  <c r="F119" i="79" s="1"/>
  <c r="G119" i="79" s="1"/>
  <c r="H119" i="79" s="1"/>
  <c r="B120" i="79"/>
  <c r="C120" i="79" s="1"/>
  <c r="D120" i="79"/>
  <c r="E120" i="79" s="1"/>
  <c r="F120" i="79" s="1"/>
  <c r="G120" i="79" s="1"/>
  <c r="H120" i="79" s="1"/>
  <c r="B121" i="79"/>
  <c r="C121" i="79" s="1"/>
  <c r="D121" i="79"/>
  <c r="E121" i="79" s="1"/>
  <c r="F121" i="79" s="1"/>
  <c r="G121" i="79" s="1"/>
  <c r="H121" i="79" s="1"/>
  <c r="B122" i="79"/>
  <c r="C122" i="79" s="1"/>
  <c r="D122" i="79"/>
  <c r="E122" i="79" s="1"/>
  <c r="F122" i="79" s="1"/>
  <c r="B123" i="79"/>
  <c r="C123" i="79" s="1"/>
  <c r="H85" i="79"/>
  <c r="H87" i="79"/>
  <c r="H89" i="79"/>
  <c r="H100" i="79"/>
  <c r="Y6" i="78"/>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C25" i="79" l="1"/>
  <c r="H70" i="79"/>
  <c r="H68" i="79"/>
  <c r="H69" i="79"/>
  <c r="H66" i="79"/>
  <c r="H65" i="79"/>
  <c r="H64" i="79"/>
  <c r="H62" i="79"/>
  <c r="H67" i="79"/>
  <c r="H63" i="79"/>
  <c r="G21" i="79"/>
  <c r="C20" i="79" s="1"/>
  <c r="C7" i="79"/>
  <c r="C5" i="79" s="1"/>
  <c r="D117" i="79"/>
  <c r="D5" i="79"/>
  <c r="Z20" i="78"/>
  <c r="AB20" i="78"/>
  <c r="G20" i="78"/>
  <c r="F20" i="78"/>
  <c r="I20" i="78" s="1"/>
  <c r="E20" i="78"/>
  <c r="H3" i="78"/>
  <c r="G3" i="78"/>
  <c r="F3" i="78"/>
  <c r="I3" i="78" s="1"/>
  <c r="E3" i="78"/>
  <c r="D3" i="78"/>
  <c r="AC3" i="78"/>
  <c r="AB3" i="78"/>
  <c r="AA3" i="78"/>
  <c r="AD3" i="78" s="1"/>
  <c r="Y3" i="78"/>
  <c r="C37" i="79" l="1"/>
  <c r="C42" i="79"/>
  <c r="C41" i="79"/>
  <c r="C40" i="79"/>
  <c r="C39" i="79"/>
  <c r="C38" i="79"/>
  <c r="C33" i="79"/>
  <c r="T7" i="79"/>
  <c r="V7" i="79" s="1"/>
  <c r="T4" i="79"/>
  <c r="V4" i="79" s="1"/>
  <c r="T16" i="79"/>
  <c r="V16" i="79" s="1"/>
  <c r="T15" i="79"/>
  <c r="V15" i="79" s="1"/>
  <c r="T14" i="79"/>
  <c r="V14" i="79" s="1"/>
  <c r="T13" i="79"/>
  <c r="V13" i="79" s="1"/>
  <c r="T9" i="79"/>
  <c r="V9" i="79" s="1"/>
  <c r="T8" i="79"/>
  <c r="V8" i="79" s="1"/>
  <c r="T6" i="79"/>
  <c r="V6" i="79" s="1"/>
  <c r="T5" i="79"/>
  <c r="V5" i="79" s="1"/>
  <c r="T3" i="79"/>
  <c r="V3" i="79" s="1"/>
  <c r="T2" i="79"/>
  <c r="V2" i="79" s="1"/>
  <c r="T12" i="79"/>
  <c r="V12" i="79" s="1"/>
  <c r="T11" i="79"/>
  <c r="V11" i="79" s="1"/>
  <c r="T10" i="79"/>
  <c r="V10" i="79" s="1"/>
  <c r="U29" i="78"/>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G38" i="79" l="1"/>
  <c r="I38" i="79" s="1"/>
  <c r="E38" i="79"/>
  <c r="G40" i="79"/>
  <c r="I40" i="79" s="1"/>
  <c r="E40" i="79"/>
  <c r="G42" i="79"/>
  <c r="I42" i="79" s="1"/>
  <c r="E42" i="79"/>
  <c r="E33" i="79"/>
  <c r="C34" i="79"/>
  <c r="E34" i="79" s="1"/>
  <c r="G39" i="79"/>
  <c r="I39" i="79" s="1"/>
  <c r="E39" i="79"/>
  <c r="G41" i="79"/>
  <c r="I41" i="79" s="1"/>
  <c r="E41" i="79"/>
  <c r="G37" i="79"/>
  <c r="I37" i="79" s="1"/>
  <c r="E37" i="79"/>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C30" i="79" l="1"/>
  <c r="B2" i="79" s="1"/>
  <c r="C31" i="79"/>
  <c r="AA20" i="78"/>
  <c r="AD20" i="78" s="1"/>
  <c r="G17" i="43"/>
  <c r="B3" i="79" l="1"/>
  <c r="C112" i="43"/>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6"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D69" i="43" s="1"/>
  <c r="M68" i="43"/>
  <c r="N68" i="43" s="1"/>
  <c r="K68" i="43"/>
  <c r="J68" i="43" s="1"/>
  <c r="D68" i="43" s="1"/>
  <c r="M67" i="43"/>
  <c r="N67" i="43" s="1"/>
  <c r="K67" i="43"/>
  <c r="D67" i="43" s="1"/>
  <c r="M66" i="43"/>
  <c r="N66" i="43" s="1"/>
  <c r="K66" i="43"/>
  <c r="J66" i="43" s="1"/>
  <c r="M65" i="43"/>
  <c r="N65" i="43" s="1"/>
  <c r="K65" i="43"/>
  <c r="D65" i="43" s="1"/>
  <c r="M64" i="43"/>
  <c r="N64" i="43" s="1"/>
  <c r="K64" i="43"/>
  <c r="J64" i="43" s="1"/>
  <c r="D64" i="43" s="1"/>
  <c r="M63" i="43"/>
  <c r="N63" i="43" s="1"/>
  <c r="K63" i="43"/>
  <c r="J63" i="43" s="1"/>
  <c r="D63" i="43" s="1"/>
  <c r="M62" i="43"/>
  <c r="N62" i="43" s="1"/>
  <c r="K62" i="43"/>
  <c r="J62" i="43" s="1"/>
  <c r="D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s="1"/>
  <c r="C4" i="4"/>
  <c r="B4" i="62" s="1"/>
  <c r="B71" i="72" s="1"/>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D9" i="53"/>
  <c r="B25" i="72"/>
  <c r="B24" i="72"/>
  <c r="K120" i="9"/>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7" i="67"/>
  <c r="M28" i="15"/>
  <c r="F40" i="15"/>
  <c r="D2" i="37"/>
  <c r="F3" i="73"/>
  <c r="AO7" i="1"/>
  <c r="M9" i="15"/>
  <c r="D2" i="34"/>
  <c r="L48" i="15"/>
  <c r="E7" i="76"/>
  <c r="B11" i="76"/>
  <c r="M8" i="15"/>
  <c r="F13" i="67"/>
  <c r="C76" i="15"/>
  <c r="F42" i="15"/>
  <c r="E11" i="76"/>
  <c r="F40" i="67"/>
  <c r="AO11" i="1"/>
  <c r="F4" i="73"/>
  <c r="B9" i="76"/>
  <c r="M23" i="67"/>
  <c r="M22" i="15"/>
  <c r="E13" i="76"/>
  <c r="F5" i="73"/>
  <c r="E12" i="76"/>
  <c r="F6" i="67"/>
  <c r="B13" i="76"/>
  <c r="M27" i="15"/>
  <c r="F38" i="15"/>
  <c r="F16" i="15"/>
  <c r="D20" i="9"/>
  <c r="F8" i="15"/>
  <c r="D7" i="73"/>
  <c r="M6" i="67"/>
  <c r="F20" i="31"/>
  <c r="F38" i="67"/>
  <c r="M23" i="15"/>
  <c r="M8" i="67"/>
  <c r="F37" i="15"/>
  <c r="M6" i="15"/>
  <c r="J15" i="15"/>
  <c r="D5" i="73"/>
  <c r="E8" i="76"/>
  <c r="M29" i="15"/>
  <c r="AO10" i="1"/>
  <c r="F43" i="67"/>
  <c r="AO13" i="1"/>
  <c r="F41" i="15"/>
  <c r="D2" i="36"/>
  <c r="F13" i="15"/>
  <c r="D34" i="9"/>
  <c r="AO12" i="1"/>
  <c r="E62" i="43" l="1"/>
  <c r="B60" i="43" s="1"/>
  <c r="C28" i="43" s="1"/>
  <c r="J65" i="43"/>
  <c r="J67" i="43"/>
  <c r="J70" i="43"/>
  <c r="K4" i="4"/>
  <c r="B46" i="48" s="1"/>
  <c r="B4" i="72" s="1"/>
  <c r="D26" i="43"/>
  <c r="C23"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B3" i="43" l="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M21" i="67"/>
  <c r="M21" i="15"/>
  <c r="F35" i="15"/>
  <c r="F35"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67" i="15" l="1"/>
  <c r="L57" i="15"/>
  <c r="L60" i="15" s="1"/>
  <c r="Q66" i="15" s="1"/>
  <c r="C40" i="15"/>
  <c r="Q69" i="15"/>
  <c r="Q68"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C46" i="15" l="1"/>
  <c r="B2" i="15"/>
  <c r="B3" i="15" s="1"/>
  <c r="Q65" i="15"/>
  <c r="Q75" i="15" s="1"/>
  <c r="C83" i="15"/>
  <c r="C82" i="15" s="1"/>
  <c r="Q56" i="15"/>
  <c r="Q62" i="15" s="1"/>
  <c r="Q47" i="15"/>
  <c r="Q53" i="15" s="1"/>
  <c r="C43" i="15"/>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2" i="9"/>
  <c r="D53" i="9"/>
  <c r="F14" i="74"/>
  <c r="E14" i="74"/>
  <c r="H4" i="52"/>
  <c r="C104" i="9"/>
  <c r="I4" i="52"/>
  <c r="C105" i="9"/>
  <c r="N58" i="9"/>
  <c r="P57" i="9"/>
  <c r="D6" i="74"/>
  <c r="C6" i="74"/>
  <c r="C5" i="74"/>
  <c r="D14" i="74"/>
  <c r="B5" i="74"/>
  <c r="D5" i="74"/>
  <c r="E97" i="9"/>
  <c r="N60" i="9"/>
  <c r="N57" i="9"/>
  <c r="N59" i="9"/>
  <c r="N61" i="9"/>
  <c r="M48" i="9"/>
  <c r="B20" i="72"/>
  <c r="B51" i="72"/>
  <c r="B6" i="74"/>
  <c r="M54" i="9"/>
  <c r="C81" i="9"/>
  <c r="D54" i="9"/>
  <c r="C78" i="9"/>
  <c r="C73" i="9"/>
  <c r="H119" i="9"/>
  <c r="H5" i="52"/>
  <c r="G14" i="74"/>
  <c r="D8" i="52"/>
  <c r="B48" i="72"/>
  <c r="B21" i="72"/>
  <c r="F4" i="52"/>
  <c r="E4" i="52"/>
  <c r="C96" i="9"/>
  <c r="E96" i="9"/>
  <c r="B52" i="72"/>
  <c r="M55" i="9"/>
  <c r="D123" i="9"/>
  <c r="D9" i="52"/>
  <c r="D5" i="53"/>
  <c r="D6" i="53"/>
  <c r="B22" i="72"/>
  <c r="C80" i="9"/>
  <c r="E80" i="9"/>
  <c r="E81" i="9"/>
  <c r="D122" i="9"/>
  <c r="B30" i="72"/>
  <c r="C68" i="9"/>
  <c r="C67" i="9"/>
  <c r="D59" i="9"/>
  <c r="B49" i="72"/>
  <c r="D56" i="9"/>
  <c r="G4" i="52"/>
  <c r="B31" i="72"/>
  <c r="D13" i="53"/>
  <c r="D14" i="53"/>
  <c r="B32" i="72"/>
  <c r="H102" i="9"/>
  <c r="D7" i="53"/>
  <c r="C72" i="9"/>
  <c r="C79" i="9"/>
  <c r="C85" i="9"/>
  <c r="C95" i="9"/>
  <c r="C97" i="9"/>
  <c r="D58" i="9"/>
  <c r="C64" i="9"/>
  <c r="C63" i="9"/>
  <c r="C93" i="9"/>
  <c r="C86" i="9"/>
  <c r="G118" i="9"/>
  <c r="F118" i="9"/>
  <c r="F119" i="9"/>
  <c r="F5" i="52"/>
  <c r="B53" i="72"/>
  <c r="D4" i="52"/>
  <c r="B47" i="72"/>
  <c r="D45" i="9"/>
  <c r="D55" i="9"/>
  <c r="M53" i="9"/>
  <c r="E118" i="9"/>
  <c r="D118" i="9"/>
  <c r="D119" i="9"/>
  <c r="D5" i="52"/>
  <c r="I118" i="9"/>
  <c r="H118" i="9"/>
  <c r="H101" i="9"/>
  <c r="H107" i="9"/>
  <c r="H108" i="9"/>
  <c r="D15" i="5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<sst xmlns="http://schemas.openxmlformats.org/spreadsheetml/2006/main" count="8088" uniqueCount="3114">
  <si>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</si>
  <si>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</si>
  <si>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</si>
  <si>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</si>
  <si>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</si>
  <si>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</si>
  <si>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</si>
  <si>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</si>
  <si>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</si>
  <si>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</si>
  <si>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</si>
  <si>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</si>
  <si>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</si>
  <si>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</si>
  <si>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</si>
  <si>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</si>
  <si>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</si>
  <si>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</si>
  <si>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</si>
  <si>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</si>
  <si>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</si>
  <si>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</si>
  <si>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</si>
  <si>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</si>
  <si>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</si>
  <si>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</si>
  <si>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</si>
  <si>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</si>
  <si>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</si>
  <si>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</si>
  <si>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</si>
  <si>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</si>
  <si>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</si>
  <si>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</si>
  <si>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</si>
  <si>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</si>
  <si>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</si>
  <si>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</si>
  <si>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</si>
  <si>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</si>
  <si>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</si>
  <si>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</si>
  <si>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</si>
  <si>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</si>
  <si>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</si>
  <si>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</si>
  <si>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</si>
  <si>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</si>
  <si>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</si>
  <si>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</si>
  <si>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</si>
  <si>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</si>
  <si>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</si>
  <si>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</si>
  <si>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</si>
  <si>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</si>
  <si>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</si>
  <si>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</si>
  <si>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</si>
  <si>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</si>
  <si>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</si>
  <si>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</si>
  <si>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</si>
  <si>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</si>
  <si>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</si>
  <si>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</si>
  <si>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</si>
  <si>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</si>
  <si>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</si>
  <si>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</si>
  <si>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</si>
  <si>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</si>
  <si>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</si>
  <si>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</si>
  <si>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</si>
  <si>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</si>
  <si>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</si>
  <si>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</si>
  <si>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</si>
  <si>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</si>
  <si>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</si>
  <si>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</si>
  <si>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</si>
  <si>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</si>
  <si>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</si>
  <si>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</si>
  <si>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</si>
  <si>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</si>
  <si>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</si>
  <si>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</si>
  <si>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</si>
  <si>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</si>
  <si>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</si>
  <si>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</si>
  <si>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</si>
  <si>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</si>
  <si>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</si>
  <si>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</si>
  <si>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</si>
  <si>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</si>
  <si>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</si>
  <si>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</si>
  <si>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</si>
  <si>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</si>
  <si>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</si>
  <si>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</si>
  <si>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</si>
  <si>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</si>
  <si>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</si>
  <si>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</si>
  <si>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</si>
  <si>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</si>
  <si>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</si>
  <si>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</si>
  <si>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</si>
  <si>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</si>
  <si>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</si>
  <si>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</si>
  <si>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</si>
  <si>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</si>
  <si>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</si>
  <si>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</si>
  <si>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</si>
  <si>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</si>
  <si>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</si>
  <si>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</si>
  <si>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</si>
  <si>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</si>
  <si>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</si>
  <si>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</si>
  <si>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</si>
  <si>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</si>
  <si>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</si>
  <si>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</si>
  <si>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</si>
  <si>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</si>
  <si>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</si>
  <si>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</si>
  <si>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</si>
  <si>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</si>
  <si>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</si>
  <si>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</si>
  <si>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</si>
  <si>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</si>
  <si>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</si>
  <si>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</si>
  <si>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</si>
  <si>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</si>
  <si>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</si>
  <si>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</si>
  <si>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</si>
  <si>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</si>
  <si>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</si>
  <si>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</si>
  <si>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</si>
  <si>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</si>
  <si>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</si>
  <si>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</si>
  <si>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</si>
  <si>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</si>
  <si>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</si>
  <si>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</si>
  <si>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</si>
  <si>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</si>
  <si>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</si>
  <si>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</si>
  <si>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</si>
  <si>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</si>
  <si>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</si>
  <si>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</si>
  <si>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</si>
  <si>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</si>
  <si>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</si>
  <si>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</si>
  <si>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</si>
  <si>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</si>
  <si>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</si>
  <si>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</si>
  <si>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</si>
  <si>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</si>
  <si>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</si>
  <si>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</si>
  <si>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</si>
  <si>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</si>
  <si>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</si>
  <si>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</si>
  <si>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</si>
  <si>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</si>
  <si>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</si>
  <si>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</si>
  <si>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</si>
  <si>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</si>
  <si>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</si>
  <si>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</si>
  <si>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</si>
  <si>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</si>
  <si>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</si>
  <si>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</si>
  <si>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</si>
  <si>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</si>
  <si>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</si>
  <si>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</si>
  <si>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</si>
  <si>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</si>
  <si>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</si>
  <si>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</si>
  <si>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</si>
  <si>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</si>
  <si>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</si>
  <si>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</si>
  <si>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</si>
  <si>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</si>
  <si>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</si>
  <si>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</si>
  <si>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</si>
  <si>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</si>
  <si>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</si>
  <si>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</si>
  <si>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</si>
  <si>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</si>
  <si>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</si>
  <si>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</si>
  <si>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</si>
  <si>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</si>
  <si>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</si>
  <si>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</si>
  <si>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</si>
  <si>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</si>
  <si>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</si>
  <si>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</si>
  <si>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</si>
  <si>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</si>
  <si>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</si>
  <si>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</si>
  <si>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</si>
  <si>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</si>
  <si>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</si>
  <si>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</si>
  <si>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</si>
  <si>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</si>
  <si>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</si>
  <si>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</si>
  <si>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</si>
  <si>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</si>
  <si>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</si>
  <si>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</si>
  <si>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</si>
  <si>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</si>
  <si>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</si>
  <si>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</si>
  <si>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</si>
  <si>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</si>
  <si>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</si>
  <si>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</si>
  <si>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</si>
  <si>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</si>
  <si>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</si>
  <si>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</si>
  <si>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</si>
  <si>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</si>
  <si>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</si>
  <si>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</si>
  <si>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</si>
  <si>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</si>
  <si>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</si>
  <si>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</si>
  <si>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</si>
  <si>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</si>
  <si>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</si>
  <si>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</si>
  <si>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</si>
  <si>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</si>
  <si>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</si>
  <si>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</si>
  <si>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</si>
  <si>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</si>
  <si>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</si>
  <si>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</si>
  <si>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</si>
  <si>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</si>
  <si>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</si>
  <si>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</si>
  <si>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</si>
  <si>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</si>
  <si>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</si>
  <si>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</si>
  <si>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</si>
  <si>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</si>
  <si>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</si>
  <si>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</si>
  <si>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</si>
  <si>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</si>
  <si>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</si>
  <si>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</si>
  <si>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</si>
  <si>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</si>
  <si>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</si>
  <si>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</si>
  <si>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</si>
  <si>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</si>
  <si>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</si>
  <si>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</si>
  <si>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</si>
  <si>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</si>
  <si>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</si>
  <si>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</si>
  <si>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</si>
  <si>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</si>
  <si>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</si>
  <si>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</si>
  <si>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</si>
  <si>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</si>
  <si>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</si>
  <si>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</si>
  <si>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</si>
  <si>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</si>
  <si>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</si>
  <si>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</si>
  <si>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</si>
  <si>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</si>
  <si>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</si>
  <si>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</si>
  <si>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</si>
  <si>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</si>
  <si>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</si>
  <si>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</si>
  <si>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</si>
  <si>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</si>
  <si>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</si>
  <si>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</si>
  <si>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</si>
  <si>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</si>
  <si>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</si>
  <si>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</si>
  <si>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</si>
  <si>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</si>
  <si>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</si>
  <si>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</si>
  <si>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</si>
  <si>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</si>
  <si>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</si>
  <si>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</si>
  <si>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</si>
  <si>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</si>
  <si>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</si>
  <si>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</si>
  <si>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</si>
  <si>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</si>
  <si>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</si>
  <si>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</si>
  <si>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</si>
  <si>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</si>
  <si>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</si>
  <si>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</si>
  <si>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</si>
  <si>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</si>
  <si>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</si>
  <si>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</si>
  <si>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</si>
  <si>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</si>
  <si>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</si>
  <si>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</si>
  <si>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</si>
  <si>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</si>
  <si>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</si>
  <si>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</si>
  <si>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</si>
  <si>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</si>
  <si>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</si>
  <si>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</si>
  <si>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</si>
  <si>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</si>
  <si>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</si>
  <si>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</si>
  <si>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</si>
  <si>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</si>
  <si>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</si>
  <si>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</si>
  <si>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</si>
  <si>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</si>
  <si>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</si>
  <si>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</si>
  <si>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</si>
  <si>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</si>
  <si>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</si>
  <si>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</si>
  <si>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</si>
  <si>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</si>
  <si>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</si>
  <si>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</si>
  <si>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</si>
  <si>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</si>
  <si>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</si>
  <si>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</si>
  <si>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</si>
  <si>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</si>
  <si>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</si>
  <si>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</si>
  <si>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</si>
  <si>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</si>
  <si>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</si>
  <si>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</si>
  <si>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</si>
  <si>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</si>
  <si>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</si>
  <si>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</si>
  <si>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</si>
  <si>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</si>
  <si>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</si>
  <si>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</si>
  <si>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</si>
  <si>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</si>
  <si>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</si>
  <si>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</si>
  <si>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</si>
  <si>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</si>
  <si>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</si>
  <si>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</si>
  <si>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</si>
  <si>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</si>
  <si>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</si>
  <si>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</si>
  <si>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</si>
  <si>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</si>
  <si>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</si>
  <si>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</si>
  <si>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</si>
  <si>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</si>
  <si>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</si>
  <si>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</si>
  <si>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</si>
  <si>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</si>
  <si>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</si>
  <si>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</si>
  <si>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</si>
  <si>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</si>
  <si>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</si>
  <si>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</si>
  <si>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</si>
  <si>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</si>
  <si>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</si>
  <si>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</si>
  <si>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</si>
  <si>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</si>
  <si>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</si>
  <si>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</si>
  <si>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</si>
  <si>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</si>
  <si>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</si>
  <si>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</si>
  <si>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</si>
  <si>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</si>
  <si>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</si>
  <si>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</si>
  <si>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</si>
  <si>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</si>
  <si>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</si>
  <si>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</si>
  <si>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</si>
  <si>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</si>
  <si>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</si>
  <si>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</si>
  <si>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</si>
  <si>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</si>
  <si>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</si>
  <si>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</si>
  <si>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</si>
  <si>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</si>
  <si>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</si>
  <si>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</si>
  <si>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</si>
  <si>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</si>
  <si>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</si>
  <si>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</si>
  <si>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</si>
  <si>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</si>
  <si>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</si>
  <si>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</si>
  <si>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</si>
  <si>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</si>
  <si>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</si>
  <si>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</si>
  <si>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</si>
  <si>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</si>
  <si>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</si>
  <si>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</si>
  <si>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</si>
  <si>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</si>
  <si>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</si>
  <si>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</si>
  <si>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</si>
  <si>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</si>
  <si>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</si>
  <si>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</si>
  <si>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</si>
  <si>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</si>
  <si>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</si>
  <si>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</si>
  <si>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</si>
  <si>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</si>
  <si>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</si>
  <si>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</si>
  <si>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</si>
  <si>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</si>
  <si>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</si>
  <si>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</si>
  <si>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</si>
  <si>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</si>
  <si>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</si>
  <si>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</si>
  <si>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</si>
  <si>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</si>
  <si>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</si>
  <si>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</si>
  <si>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</si>
  <si>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</si>
  <si>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</si>
  <si>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</si>
  <si>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</si>
  <si>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</si>
  <si>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</si>
  <si>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</si>
  <si>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</si>
  <si>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</si>
  <si>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</si>
  <si>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</si>
  <si>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</si>
  <si>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</si>
  <si>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</si>
  <si>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</si>
  <si>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</si>
  <si>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</si>
  <si>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</si>
  <si>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</si>
  <si>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</si>
  <si>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</si>
  <si>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</si>
  <si>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</si>
  <si>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</si>
  <si>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</si>
  <si>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</si>
  <si>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</si>
  <si>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</si>
  <si>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</si>
  <si>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</si>
  <si>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</si>
  <si>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</si>
  <si>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</si>
  <si>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</si>
  <si>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</si>
  <si>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</si>
  <si>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</si>
  <si>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</si>
  <si>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</si>
  <si>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</si>
  <si>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</si>
  <si>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</si>
  <si>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</si>
  <si>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</si>
  <si>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</si>
  <si>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</si>
  <si>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</si>
  <si>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</si>
  <si>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</si>
  <si>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</si>
  <si>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</si>
  <si>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</si>
  <si>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</si>
  <si>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</si>
  <si>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</si>
  <si>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</si>
  <si>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</si>
  <si>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</si>
  <si>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</si>
  <si>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</si>
  <si>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</si>
  <si>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</si>
  <si>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</si>
  <si>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</si>
  <si>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</si>
  <si>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</si>
  <si>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</si>
  <si>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</si>
  <si>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</si>
  <si>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</si>
  <si>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</si>
  <si>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</si>
  <si>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</si>
  <si>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</si>
  <si>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</si>
  <si>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</si>
  <si>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</si>
  <si>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</si>
  <si>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</si>
  <si>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</si>
  <si>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</si>
  <si>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</si>
  <si>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</si>
  <si>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</si>
  <si>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</si>
  <si>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</si>
  <si>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</si>
  <si>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</si>
  <si>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</si>
  <si>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</si>
  <si>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</si>
  <si>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</si>
  <si>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</si>
  <si>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</si>
  <si>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</si>
  <si>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</si>
  <si>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</si>
  <si>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</si>
  <si>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</si>
  <si>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</si>
  <si>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</si>
  <si>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</si>
  <si>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</si>
  <si>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</si>
  <si>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</si>
  <si>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</si>
  <si>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</si>
  <si>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</si>
  <si>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</si>
  <si>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</si>
  <si>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</si>
  <si>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</si>
  <si>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</si>
  <si>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</si>
  <si>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</si>
  <si>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</si>
  <si>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</si>
  <si>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</si>
  <si>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</si>
  <si>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</si>
  <si>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</si>
  <si>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</si>
  <si>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</si>
  <si>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</si>
  <si>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</si>
  <si>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</si>
  <si>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</si>
  <si>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</si>
  <si>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</si>
  <si>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</si>
  <si>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</si>
  <si>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</si>
  <si>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</si>
  <si>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</si>
  <si>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</si>
  <si>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</si>
  <si>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</si>
  <si>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</si>
  <si>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</si>
  <si>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</si>
  <si>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</si>
  <si>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</si>
  <si>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</si>
  <si>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</si>
  <si>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</si>
  <si>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</si>
  <si>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</si>
  <si>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</si>
  <si>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</si>
  <si>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</si>
  <si>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</si>
  <si>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</si>
  <si>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</si>
  <si>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</si>
  <si>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</si>
  <si>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</si>
  <si>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</si>
  <si>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</si>
  <si>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</si>
  <si>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</si>
  <si>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</si>
  <si>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</si>
  <si>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</si>
  <si>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</si>
  <si>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</si>
  <si>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</si>
  <si>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</si>
  <si>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</si>
  <si>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</si>
  <si>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</si>
  <si>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</si>
  <si>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</si>
  <si>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</si>
  <si>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</si>
  <si>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</si>
  <si>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</si>
  <si>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</si>
  <si>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</si>
  <si>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</si>
  <si>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</si>
  <si>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</si>
  <si>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</si>
  <si>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</si>
  <si>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</si>
  <si>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</si>
  <si>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</si>
  <si>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</si>
  <si>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</si>
  <si>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</si>
  <si>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</si>
  <si>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</si>
  <si>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</si>
  <si>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</si>
  <si>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</si>
  <si>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</si>
  <si>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</si>
  <si>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</si>
  <si>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</si>
  <si>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</si>
  <si>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</si>
  <si>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</si>
  <si>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</si>
  <si>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</si>
  <si>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</si>
  <si>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</si>
  <si>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</si>
  <si>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</si>
  <si>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</si>
  <si>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</si>
  <si>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</si>
  <si>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</si>
  <si>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</si>
  <si>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</si>
  <si>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</si>
  <si>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</si>
  <si>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</si>
  <si>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</si>
  <si>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</si>
  <si>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</si>
  <si>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</si>
  <si>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</si>
  <si>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</si>
  <si>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</si>
  <si>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</si>
  <si>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</si>
  <si>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</si>
  <si>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</si>
  <si>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</si>
  <si>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</si>
  <si>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</si>
  <si>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</si>
  <si>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</si>
  <si>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</si>
  <si>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</si>
  <si>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</si>
  <si>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</si>
  <si>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</si>
  <si>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</si>
  <si>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</si>
  <si>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</si>
  <si>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</si>
  <si>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</si>
  <si>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</si>
  <si>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</si>
  <si>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</si>
  <si>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</si>
  <si>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</si>
  <si>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</si>
  <si>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</si>
  <si>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</si>
  <si>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</si>
  <si>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</si>
  <si>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</si>
  <si>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</si>
  <si>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</si>
  <si>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</si>
  <si>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</si>
  <si>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</si>
  <si>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</si>
  <si>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</si>
  <si>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</si>
  <si>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</si>
  <si>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</si>
  <si>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</si>
  <si>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</si>
  <si>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</si>
  <si>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</si>
  <si>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</si>
  <si>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</si>
  <si>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</si>
  <si>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</si>
  <si>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</si>
  <si>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</si>
  <si>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</si>
  <si>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</si>
  <si>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</si>
  <si>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</si>
  <si>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</si>
  <si>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</si>
  <si>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</si>
  <si>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</si>
  <si>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</si>
  <si>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</si>
  <si>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</si>
  <si>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</si>
  <si>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</si>
  <si>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</si>
  <si>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</si>
  <si>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</si>
  <si>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</si>
  <si>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</si>
  <si>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</si>
  <si>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</si>
  <si>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</si>
  <si>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</si>
  <si>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</si>
  <si>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</si>
  <si>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</si>
  <si>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</si>
  <si>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</si>
  <si>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</si>
  <si>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</si>
  <si>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</si>
  <si>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</si>
  <si>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</si>
  <si>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</si>
  <si>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</si>
  <si>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</si>
  <si>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</si>
  <si>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</si>
  <si>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</si>
  <si>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</si>
  <si>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</si>
  <si>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</si>
  <si>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</si>
  <si>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</si>
  <si>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</si>
  <si>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</si>
  <si>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</si>
  <si>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</si>
  <si>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</si>
  <si>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</si>
  <si>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</si>
  <si>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</si>
  <si>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</si>
  <si>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</si>
  <si>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</si>
  <si>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</si>
  <si>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</si>
  <si>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</si>
  <si>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</si>
  <si>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</si>
  <si>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</si>
  <si>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</si>
  <si>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</si>
  <si>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</si>
  <si>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</si>
  <si>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</si>
  <si>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</si>
  <si>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</si>
  <si>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</si>
  <si>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</si>
  <si>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</si>
  <si>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</si>
  <si>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</si>
  <si>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</si>
  <si>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</si>
  <si>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</si>
  <si>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</si>
  <si>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</si>
  <si>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</si>
  <si>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</si>
  <si>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</si>
  <si>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</si>
  <si>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</si>
  <si>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</si>
  <si>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</si>
  <si>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</si>
  <si>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</si>
  <si>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</si>
  <si>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</si>
  <si>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</si>
  <si>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</si>
  <si>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</si>
  <si>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</si>
  <si>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</si>
  <si>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</si>
  <si>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</si>
  <si>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</si>
  <si>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</si>
  <si>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</si>
  <si>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</si>
  <si>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</si>
  <si>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</si>
  <si>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</si>
  <si>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</si>
  <si>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</si>
  <si>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</si>
  <si>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</si>
  <si>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</si>
  <si>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</si>
  <si>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</si>
  <si>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</si>
  <si>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</si>
  <si>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</si>
  <si>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</si>
  <si>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</si>
  <si>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</si>
  <si>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</si>
  <si>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</si>
  <si>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</si>
  <si>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</si>
  <si>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</si>
  <si>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</si>
  <si>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</si>
  <si>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</si>
  <si>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</si>
  <si>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</si>
  <si>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</si>
  <si>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</si>
  <si>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</si>
  <si>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</si>
  <si>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</si>
  <si>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</si>
  <si>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</si>
  <si>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</si>
  <si>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</si>
  <si>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</si>
  <si>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</si>
  <si>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</si>
  <si>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</si>
  <si>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</si>
  <si>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</si>
  <si>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</si>
  <si>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</si>
  <si>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</si>
  <si>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</si>
  <si>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</si>
  <si>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</si>
  <si>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</si>
  <si>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</si>
  <si>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</si>
  <si>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</si>
  <si>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</si>
  <si>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</si>
  <si>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</si>
  <si>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</si>
  <si>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</si>
  <si>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</si>
  <si>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</si>
  <si>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</si>
  <si>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</si>
  <si>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</si>
  <si>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</si>
  <si>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</si>
  <si>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</si>
  <si>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</si>
  <si>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</si>
  <si>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</si>
  <si>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</si>
  <si>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</si>
  <si>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</si>
  <si>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</si>
  <si>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</si>
  <si>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</si>
  <si>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</si>
  <si>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</si>
  <si>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</si>
  <si>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</si>
  <si>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</si>
  <si>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</si>
  <si>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</si>
  <si>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</si>
  <si>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</si>
  <si>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</si>
  <si>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</si>
  <si>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</si>
  <si>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</si>
  <si>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</si>
  <si>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</si>
  <si>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</si>
  <si>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</si>
  <si>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</si>
  <si>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</si>
  <si>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</si>
  <si>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</si>
  <si>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</si>
  <si>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</si>
  <si>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</si>
  <si>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</si>
  <si>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</si>
  <si>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</si>
  <si>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</si>
  <si>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</si>
  <si>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</si>
  <si>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</si>
  <si>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</si>
  <si>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</si>
  <si>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</si>
  <si>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</si>
  <si>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</si>
  <si>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</si>
  <si>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</si>
  <si>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</si>
  <si>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</si>
  <si>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</si>
  <si>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</si>
  <si>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</si>
  <si>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</si>
  <si>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</si>
  <si>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</si>
  <si>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</si>
  <si>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</si>
  <si>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</si>
  <si>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</si>
  <si>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</si>
  <si>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</si>
  <si>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</si>
  <si>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</si>
  <si>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</si>
  <si>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</si>
  <si>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</si>
  <si>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</si>
  <si>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</si>
  <si>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</si>
  <si>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</si>
  <si>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</si>
  <si>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</si>
  <si>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</si>
  <si>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</si>
  <si>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</si>
  <si>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</si>
  <si>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</si>
  <si>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</si>
  <si>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</si>
  <si>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</si>
  <si>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</si>
  <si>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</si>
  <si>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</si>
  <si>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</si>
  <si>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</si>
  <si>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</si>
  <si>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</si>
  <si>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</si>
  <si>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</si>
  <si>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</si>
  <si>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</si>
  <si>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</si>
  <si>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</si>
  <si>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</si>
  <si>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</si>
  <si>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</si>
  <si>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</si>
  <si>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</si>
  <si>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</si>
  <si>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</si>
  <si>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</si>
  <si>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</si>
  <si>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</si>
  <si>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</si>
  <si>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</si>
  <si>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</si>
  <si>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</si>
  <si>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</si>
  <si>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</si>
  <si>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</si>
  <si>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</si>
  <si>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</si>
  <si>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</si>
  <si>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</si>
  <si>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</si>
  <si>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</si>
  <si>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</si>
  <si>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</si>
  <si>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</si>
  <si>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</si>
  <si>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</si>
  <si>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</si>
  <si>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</si>
  <si>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</si>
  <si>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</si>
  <si>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</si>
  <si>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</si>
  <si>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</si>
  <si>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</si>
  <si>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</si>
  <si>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</si>
  <si>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</si>
  <si>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</si>
  <si>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</si>
  <si>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</si>
  <si>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</si>
  <si>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</si>
  <si>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</si>
  <si>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</si>
  <si>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</si>
  <si>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</si>
  <si>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</si>
  <si>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</si>
  <si>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</si>
  <si>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</si>
  <si>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</si>
  <si>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</si>
  <si>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</si>
  <si>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</si>
  <si>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</si>
  <si>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</si>
  <si>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</si>
  <si>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</si>
  <si>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</si>
  <si>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</si>
  <si>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</si>
  <si>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</si>
  <si>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</si>
  <si>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</si>
  <si>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</si>
  <si>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</si>
  <si>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</si>
  <si>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</si>
  <si>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</si>
  <si>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</si>
  <si>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</si>
  <si>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</si>
  <si>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</si>
  <si>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</si>
  <si>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</si>
  <si>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</si>
  <si>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</si>
  <si>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</si>
  <si>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</si>
  <si>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</si>
  <si>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</si>
  <si>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</si>
  <si>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</si>
  <si>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</si>
  <si>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</si>
  <si>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</si>
  <si>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</si>
  <si>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</si>
  <si>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</si>
  <si>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</si>
  <si>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</si>
  <si>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</si>
  <si>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</si>
  <si>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</si>
  <si>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</si>
  <si>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</si>
  <si>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</si>
  <si>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</si>
  <si>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</si>
  <si>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</si>
  <si>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</si>
  <si>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</si>
  <si>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</si>
  <si>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</si>
  <si>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</si>
  <si>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</si>
  <si>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</si>
  <si>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</si>
  <si>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</si>
  <si>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</si>
  <si>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</si>
  <si>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</si>
  <si>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</si>
  <si>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</si>
  <si>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</si>
  <si>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</si>
  <si>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</si>
  <si>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</si>
  <si>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</si>
  <si>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</si>
  <si>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</si>
  <si>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</si>
  <si>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</si>
  <si>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</si>
  <si>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</si>
  <si>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</si>
  <si>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</si>
  <si>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</si>
  <si>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</si>
  <si>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</si>
  <si>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</si>
  <si>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</si>
  <si>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</si>
  <si>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</si>
  <si>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</si>
  <si>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</si>
  <si>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</si>
  <si>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</si>
  <si>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</si>
  <si>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</si>
  <si>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</si>
  <si>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</si>
  <si>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</si>
  <si>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</si>
  <si>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</si>
  <si>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</si>
  <si>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</si>
  <si>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</si>
  <si>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</si>
  <si>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</si>
  <si>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</si>
  <si>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</si>
  <si>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</si>
  <si>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</si>
  <si>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</si>
  <si>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</si>
  <si>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</si>
  <si>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</si>
  <si>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</si>
  <si>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</si>
  <si>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</si>
  <si>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</si>
  <si>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</si>
  <si>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</si>
  <si>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</si>
  <si>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</si>
  <si>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</si>
  <si>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</si>
  <si>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</si>
  <si>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</si>
  <si>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</si>
  <si>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</si>
  <si>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</si>
  <si>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</si>
  <si>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</si>
  <si>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</si>
  <si>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</si>
  <si>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</si>
  <si>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</si>
  <si>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</si>
  <si>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</si>
  <si>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</si>
  <si>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</si>
  <si>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</si>
  <si>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</si>
  <si>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</si>
  <si>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</si>
  <si>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</si>
  <si>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</si>
  <si>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</si>
  <si>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</si>
  <si>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</si>
  <si>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</si>
  <si>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</si>
  <si>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</si>
  <si>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</si>
  <si>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</si>
  <si>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</si>
  <si>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</si>
  <si>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</si>
  <si>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</si>
  <si>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</si>
  <si>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</si>
  <si>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</si>
  <si>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</si>
  <si>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</si>
  <si>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</si>
  <si>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</si>
  <si>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</si>
  <si>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</si>
  <si>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</si>
  <si>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</si>
  <si>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</si>
  <si>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</si>
  <si>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</si>
  <si>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</si>
  <si>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</si>
  <si>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</si>
  <si>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</si>
  <si>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</si>
  <si>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</si>
  <si>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</si>
  <si>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</si>
  <si>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</si>
  <si>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</si>
  <si>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</si>
  <si>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</si>
  <si>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</si>
  <si>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</si>
  <si>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</si>
  <si>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</si>
  <si>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</si>
  <si>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</si>
  <si>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</si>
  <si>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</si>
  <si>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</si>
  <si>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</si>
  <si>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</si>
  <si>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</si>
  <si>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</si>
  <si>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</si>
  <si>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</si>
  <si>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</si>
  <si>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</si>
  <si>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</si>
  <si>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</si>
  <si>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</si>
  <si>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</si>
  <si>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</si>
  <si>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</si>
  <si>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</si>
  <si>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</si>
  <si>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</si>
  <si>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</si>
  <si>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</si>
  <si>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</si>
  <si>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</si>
  <si>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</si>
  <si>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</si>
  <si>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</si>
  <si>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</si>
  <si>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</si>
  <si>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</si>
  <si>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</si>
  <si>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</si>
  <si>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</si>
  <si>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</si>
  <si>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</si>
  <si>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</si>
  <si>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</si>
  <si>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</si>
  <si>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</si>
  <si>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</si>
  <si>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</si>
  <si>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</si>
  <si>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</si>
  <si>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</si>
  <si>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</si>
  <si>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</si>
  <si>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</si>
  <si>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</si>
  <si>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</si>
  <si>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</si>
  <si>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</si>
  <si>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</si>
  <si>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</si>
  <si>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</si>
  <si>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</si>
  <si>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</si>
  <si>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</si>
  <si>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</si>
  <si>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</si>
  <si>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</si>
  <si>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</si>
  <si>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</si>
  <si>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</si>
  <si>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</si>
  <si>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</si>
  <si>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</si>
  <si>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</si>
  <si>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</si>
  <si>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</si>
  <si>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</si>
  <si>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</si>
  <si>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</si>
  <si>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</si>
  <si>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</si>
  <si>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</si>
  <si>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</si>
  <si>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</si>
  <si>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</si>
  <si>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</si>
  <si>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</si>
  <si>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</si>
  <si>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</si>
  <si>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</si>
  <si>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</si>
  <si>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</si>
  <si>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</si>
  <si>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</si>
  <si>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</si>
  <si>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</si>
  <si>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</si>
  <si>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</si>
  <si>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</si>
  <si>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</si>
  <si>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</si>
  <si>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</si>
  <si>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</si>
  <si>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</si>
  <si>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</si>
  <si>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</si>
  <si>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</si>
  <si>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</si>
  <si>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</si>
  <si>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</si>
  <si>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</si>
  <si>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</si>
  <si>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</si>
  <si>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</si>
  <si>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</si>
  <si>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</si>
  <si>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</si>
  <si>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</si>
  <si>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</si>
  <si>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</si>
  <si>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</si>
  <si>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</si>
  <si>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</si>
  <si>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</si>
  <si>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</si>
  <si>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</si>
  <si>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</si>
  <si>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</si>
  <si>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</si>
  <si>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</si>
  <si>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</si>
  <si>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</si>
  <si>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</si>
  <si>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</si>
  <si>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</si>
  <si>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</si>
  <si>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</si>
  <si>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</si>
  <si>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</si>
  <si>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</si>
  <si>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</si>
  <si>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</si>
  <si>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</si>
  <si>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</si>
  <si>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</si>
  <si>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</si>
  <si>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</si>
  <si>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</si>
  <si>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</si>
  <si>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</si>
  <si>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</si>
  <si>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</si>
  <si>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</si>
  <si>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</si>
  <si>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</si>
  <si>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</si>
  <si>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</si>
  <si>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</si>
  <si>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</si>
  <si>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</si>
  <si>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</si>
  <si>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</si>
  <si>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</si>
  <si>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</si>
  <si>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</si>
  <si>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</si>
  <si>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</si>
  <si>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</si>
  <si>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</si>
  <si>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</si>
  <si>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</si>
  <si>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</si>
  <si>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</si>
  <si>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</si>
  <si>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</si>
  <si>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</si>
  <si>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</si>
  <si>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</si>
  <si>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</si>
  <si>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</si>
  <si>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</si>
  <si>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</si>
  <si>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</si>
  <si>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</si>
  <si>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</si>
  <si>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</si>
  <si>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</si>
  <si>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</si>
  <si>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</si>
  <si>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</si>
  <si>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</si>
  <si>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</si>
  <si>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</si>
  <si>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</si>
  <si>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</si>
  <si>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</si>
  <si>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</si>
  <si>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</si>
  <si>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</si>
  <si>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</si>
  <si>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</si>
  <si>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</si>
  <si>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</si>
  <si>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</si>
  <si>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</si>
  <si>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</si>
  <si>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</si>
  <si>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</si>
  <si>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</si>
  <si>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</si>
  <si>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</si>
  <si>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</si>
  <si>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</si>
  <si>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</si>
  <si>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</si>
  <si>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</si>
  <si>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</si>
  <si>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</si>
  <si>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</si>
  <si>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</si>
  <si>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</si>
  <si>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</si>
  <si>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</si>
  <si>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</si>
  <si>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</si>
  <si>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</si>
  <si>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</si>
  <si>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</si>
  <si>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</si>
  <si>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</si>
  <si>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</si>
  <si>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</si>
  <si>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</si>
  <si>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</si>
  <si>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</si>
  <si>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</si>
  <si>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</si>
  <si>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</si>
  <si>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</si>
  <si>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</si>
  <si>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</si>
  <si>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</si>
  <si>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</si>
  <si>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</si>
  <si>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</si>
  <si>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</si>
  <si>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</si>
  <si>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</si>
  <si>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</si>
  <si>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</si>
  <si>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</si>
  <si>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</si>
  <si>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</si>
  <si>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</si>
  <si>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</si>
  <si>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</si>
  <si>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</si>
  <si>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</si>
  <si>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</si>
  <si>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</si>
  <si>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</si>
  <si>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</si>
  <si>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</si>
  <si>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</si>
  <si>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</si>
  <si>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</si>
  <si>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</si>
  <si>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</si>
  <si>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</si>
  <si>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</si>
  <si>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</si>
  <si>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</si>
  <si>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</si>
  <si>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</si>
  <si>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</si>
  <si>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</si>
  <si>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</si>
  <si>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</si>
  <si>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</si>
  <si>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</si>
  <si>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</si>
  <si>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</si>
  <si>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</si>
  <si>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</si>
  <si>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</si>
  <si>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</si>
  <si>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</si>
  <si>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</si>
  <si>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</si>
  <si>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</si>
  <si>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</si>
  <si>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</si>
  <si>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</si>
  <si>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</si>
  <si>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</si>
  <si>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</si>
  <si>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</si>
  <si>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</si>
  <si>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</si>
  <si>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</si>
  <si>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</si>
  <si>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</si>
  <si>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</si>
  <si>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</si>
  <si>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</si>
  <si>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</si>
  <si>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</si>
  <si>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</si>
  <si>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</si>
  <si>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</si>
  <si>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</si>
  <si>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</si>
  <si>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</si>
  <si>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</si>
  <si>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</si>
  <si>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</si>
  <si>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</si>
  <si>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</si>
  <si>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</si>
  <si>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</si>
  <si>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</si>
  <si>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</si>
  <si>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</si>
  <si>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</si>
  <si>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</si>
  <si>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</si>
  <si>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</si>
  <si>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</si>
  <si>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</si>
  <si>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</si>
  <si>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</si>
  <si>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</si>
  <si>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</si>
  <si>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</si>
  <si>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</si>
  <si>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</si>
  <si>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</si>
  <si>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</si>
  <si>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</si>
  <si>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</si>
  <si>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</si>
  <si>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</si>
  <si>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</si>
  <si>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</si>
  <si>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</si>
  <si>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</si>
  <si>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</si>
  <si>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</si>
  <si>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</si>
  <si>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</si>
  <si>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</si>
  <si>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</si>
  <si>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</si>
  <si>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</si>
  <si>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</si>
  <si>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</si>
  <si>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</si>
  <si>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</si>
  <si>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</si>
  <si>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</si>
  <si>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</si>
  <si>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</si>
  <si>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</si>
  <si>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</si>
  <si>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</si>
  <si>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</si>
  <si>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</si>
  <si>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</si>
  <si>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</si>
  <si>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</si>
  <si>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</si>
  <si>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</si>
  <si>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</si>
  <si>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</si>
  <si>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</si>
  <si>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</si>
  <si>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</si>
  <si>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</si>
  <si>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</si>
  <si>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</si>
  <si>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</si>
  <si>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</si>
  <si>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</si>
  <si>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</si>
  <si>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</si>
  <si>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</si>
  <si>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</si>
  <si>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</si>
  <si>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</si>
  <si>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</si>
  <si>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</si>
  <si>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</si>
  <si>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</si>
  <si>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</si>
  <si>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</si>
  <si>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</si>
  <si>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</si>
  <si>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</si>
  <si>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</si>
  <si>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</si>
  <si>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</si>
  <si>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</si>
  <si>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</si>
  <si>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</si>
  <si>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</si>
  <si>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</si>
  <si>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</si>
  <si>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</si>
  <si>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</si>
  <si>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</si>
  <si>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</si>
  <si>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</si>
  <si>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</si>
  <si>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</si>
  <si>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</si>
  <si>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</si>
  <si>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</si>
  <si>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</si>
  <si>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</si>
  <si>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</si>
  <si>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</si>
  <si>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</si>
  <si>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</si>
  <si>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</si>
  <si>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</si>
  <si>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</si>
  <si>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</si>
  <si>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</si>
  <si>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</si>
  <si>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</si>
  <si>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</si>
  <si>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</si>
  <si>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</si>
  <si>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</si>
  <si>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</si>
  <si>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</si>
  <si>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</si>
  <si>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</si>
  <si>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</si>
  <si>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</si>
  <si>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</si>
  <si>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</si>
  <si>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</si>
  <si>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</si>
  <si>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</si>
  <si>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</si>
  <si>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</si>
  <si>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</si>
  <si>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</si>
  <si>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</si>
  <si>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</si>
  <si>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</si>
  <si>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</si>
  <si>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</si>
  <si>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</si>
  <si>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</si>
  <si>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</si>
  <si>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</si>
  <si>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</si>
  <si>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</si>
  <si>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</si>
  <si>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</si>
  <si>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</si>
  <si>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</si>
  <si>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</si>
  <si>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</si>
  <si>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</si>
  <si>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</si>
  <si>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</si>
  <si>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</si>
  <si>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</si>
  <si>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</si>
  <si>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</si>
  <si>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</si>
  <si>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</si>
  <si>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</si>
  <si>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</si>
  <si>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</si>
  <si>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</si>
  <si>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</si>
  <si>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</si>
  <si>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</si>
  <si>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</si>
  <si>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</si>
  <si>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</si>
  <si>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</si>
  <si>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</si>
  <si>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</si>
  <si>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</si>
  <si>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</si>
  <si>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</si>
  <si>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</si>
  <si>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</si>
  <si>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</si>
  <si>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</si>
  <si>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</si>
  <si>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</si>
  <si>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</si>
  <si>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</si>
  <si>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</si>
  <si>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</si>
  <si>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</si>
  <si>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</si>
  <si>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</si>
  <si>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</si>
  <si>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</si>
  <si>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</si>
  <si>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</si>
  <si>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</si>
  <si>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</si>
  <si>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</si>
  <si>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</si>
  <si>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</si>
  <si>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</si>
  <si>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</si>
  <si>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</si>
  <si>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</si>
  <si>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</si>
  <si>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</si>
  <si>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</si>
  <si>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</si>
  <si>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</si>
  <si>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</si>
  <si>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</si>
  <si>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</si>
  <si>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</si>
  <si>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</si>
  <si>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</si>
  <si>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</si>
  <si>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</si>
  <si>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</si>
  <si>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</si>
  <si>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</si>
  <si>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</si>
  <si>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</si>
  <si>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</si>
  <si>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</si>
  <si>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</si>
  <si>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</si>
  <si>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</si>
  <si>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</si>
  <si>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</si>
  <si>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</si>
  <si>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</si>
  <si>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</si>
  <si>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</si>
  <si>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</si>
  <si>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</si>
  <si>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</si>
  <si>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</si>
  <si>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</si>
  <si>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</si>
  <si>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</si>
  <si>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</si>
  <si>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</si>
  <si>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</si>
  <si>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</si>
  <si>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</si>
  <si>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</si>
  <si>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</si>
  <si>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</si>
  <si>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</si>
  <si>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</si>
  <si>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</si>
  <si>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</si>
  <si>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</si>
  <si>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</si>
  <si>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</si>
  <si>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</si>
  <si>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</si>
  <si>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</si>
  <si>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</si>
  <si>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</si>
  <si>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</si>
  <si>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</si>
  <si>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</si>
  <si>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</si>
  <si>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</si>
  <si>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</si>
  <si>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</si>
  <si>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</si>
  <si>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</si>
  <si>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</si>
  <si>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</si>
  <si>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</si>
  <si>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</si>
  <si>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</si>
  <si>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</si>
  <si>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</si>
  <si>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</si>
  <si>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</si>
  <si>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</si>
  <si>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</si>
  <si>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</si>
  <si>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</si>
  <si>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</si>
  <si>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</si>
  <si>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</si>
  <si>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</si>
  <si>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</si>
  <si>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</si>
  <si>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</si>
  <si>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</si>
  <si>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</si>
  <si>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</si>
  <si>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</si>
  <si>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</si>
  <si>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</si>
  <si>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</si>
  <si>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</si>
  <si>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</si>
  <si>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</si>
  <si>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</si>
  <si>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</si>
  <si>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</si>
  <si>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</si>
  <si>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</si>
  <si>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</si>
  <si>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</si>
  <si>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</si>
  <si>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</si>
  <si>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</si>
  <si>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</si>
  <si>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</si>
  <si>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</si>
  <si>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</si>
  <si>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</si>
  <si>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</si>
  <si>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</si>
  <si>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</si>
  <si>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</si>
  <si>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</si>
  <si>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</si>
  <si>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</si>
  <si>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</si>
  <si>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</si>
  <si>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</si>
  <si>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</si>
  <si>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</si>
  <si>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</si>
  <si>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</si>
  <si>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</si>
  <si>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</si>
  <si>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</si>
  <si>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</si>
  <si>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</si>
  <si>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</si>
  <si>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</si>
  <si>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</si>
  <si>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</si>
  <si>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</si>
  <si>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</si>
  <si>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</si>
  <si>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</si>
  <si>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</si>
  <si>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</si>
  <si>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</si>
  <si>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</si>
  <si>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</si>
  <si>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</si>
  <si>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</si>
  <si>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</si>
  <si>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</si>
  <si>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</si>
  <si>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</si>
  <si>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</si>
  <si>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</si>
  <si>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</si>
  <si>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</si>
  <si>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</si>
  <si>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</si>
  <si>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</si>
  <si>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</si>
  <si>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</si>
  <si>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</si>
  <si>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</si>
  <si>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</si>
  <si>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</si>
  <si>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</si>
  <si>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</si>
  <si>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</si>
  <si>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</si>
  <si>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</si>
  <si>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</si>
  <si>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</si>
  <si>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</si>
  <si>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</si>
  <si>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</si>
  <si>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</si>
  <si>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</si>
  <si>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</si>
  <si>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</si>
  <si>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</si>
  <si>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</si>
  <si>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</si>
  <si>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</si>
  <si>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</si>
  <si>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</si>
  <si>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</si>
  <si>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</si>
  <si>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</si>
  <si>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</si>
  <si>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</si>
  <si>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</si>
  <si>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</si>
  <si>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</si>
  <si>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</si>
  <si>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</si>
  <si>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</si>
  <si>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</si>
  <si>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</si>
  <si>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</si>
  <si>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</si>
  <si>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</si>
  <si>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</si>
  <si>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</si>
  <si>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</si>
  <si>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</si>
  <si>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</si>
  <si>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</si>
  <si>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</si>
  <si>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</si>
  <si>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</si>
  <si>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</si>
  <si>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</si>
  <si>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</si>
  <si>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</si>
  <si>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</si>
  <si>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</si>
  <si>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</si>
  <si>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</si>
  <si>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</si>
  <si>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</si>
  <si>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</si>
  <si>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</si>
  <si>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</si>
  <si>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</si>
  <si>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</si>
  <si>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</si>
  <si>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</si>
  <si>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</si>
  <si>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</si>
  <si>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</si>
  <si>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</si>
  <si>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</si>
  <si>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</si>
  <si>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</si>
  <si>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</si>
  <si>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</si>
  <si>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</si>
  <si>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</si>
  <si>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</si>
  <si>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</si>
  <si>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</si>
  <si>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</si>
  <si>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</si>
  <si>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</si>
  <si>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</si>
  <si>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</si>
  <si>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</si>
  <si>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</si>
  <si>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</si>
  <si>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</si>
  <si>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</si>
  <si>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</si>
  <si>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</si>
  <si>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</si>
  <si>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</si>
  <si>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</si>
  <si>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</si>
  <si>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</si>
  <si>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</si>
  <si>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</si>
  <si>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</si>
  <si>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</si>
  <si>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</si>
  <si>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</si>
  <si>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</si>
  <si>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</si>
  <si>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</si>
  <si>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</si>
  <si>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</si>
  <si>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</si>
  <si>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</si>
  <si>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</si>
  <si>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</si>
  <si>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</si>
  <si>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</si>
  <si>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</si>
  <si>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</si>
  <si>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</si>
  <si>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</si>
  <si>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</si>
  <si>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</si>
  <si>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</si>
  <si>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</si>
  <si>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</si>
  <si>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</si>
  <si>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</si>
  <si>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</si>
  <si>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</si>
  <si>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</si>
  <si>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</si>
  <si>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</si>
  <si>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</si>
  <si>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</si>
  <si>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</si>
  <si>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</si>
  <si>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</si>
  <si>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</si>
  <si>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</si>
  <si>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</si>
  <si>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</si>
  <si>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</si>
  <si>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</si>
  <si>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</si>
  <si>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</si>
  <si>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</si>
  <si>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</si>
  <si>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</si>
  <si>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</si>
  <si>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</si>
  <si>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</si>
  <si>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</si>
  <si>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</si>
  <si>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</si>
  <si>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</si>
  <si>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</si>
  <si>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</si>
  <si>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</si>
  <si>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</si>
  <si>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</si>
  <si>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</si>
  <si>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</si>
  <si>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</si>
  <si>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</si>
  <si>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</si>
  <si>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</si>
  <si>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</si>
  <si>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</si>
  <si>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</si>
  <si>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</si>
  <si>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</si>
  <si>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</si>
  <si>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</si>
  <si>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</si>
  <si>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</si>
  <si>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</si>
  <si>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</si>
  <si>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</si>
  <si>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</si>
  <si>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</si>
  <si>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</si>
  <si>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</si>
  <si>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</si>
  <si>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</si>
  <si>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</si>
  <si>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</si>
  <si>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</si>
  <si>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</si>
  <si>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</si>
  <si>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</si>
  <si>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</si>
  <si>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</si>
  <si>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</si>
  <si>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</si>
  <si>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</si>
  <si>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</si>
  <si>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</si>
  <si>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</si>
  <si>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</si>
  <si>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</si>
  <si>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</si>
  <si>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</si>
  <si>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</si>
  <si>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</si>
  <si>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</si>
  <si>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</si>
  <si>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</si>
  <si>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</si>
  <si>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</si>
  <si>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</si>
  <si>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</si>
  <si>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</si>
  <si>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</si>
  <si>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</si>
  <si>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</si>
  <si>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</si>
  <si>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</si>
  <si>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</si>
  <si>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</si>
  <si>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</si>
  <si>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</si>
  <si>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</si>
  <si>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</si>
  <si>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</si>
  <si>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</si>
  <si>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</si>
  <si>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</si>
  <si>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</si>
  <si>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</si>
  <si>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</si>
  <si>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</si>
  <si>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</si>
  <si>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</si>
  <si>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</si>
  <si>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</si>
  <si>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</si>
  <si>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</si>
  <si>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</si>
  <si>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</si>
  <si>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</si>
  <si>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</si>
  <si>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</si>
  <si>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</si>
  <si>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</si>
  <si>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</si>
  <si>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</si>
  <si>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</si>
  <si>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</si>
  <si>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</si>
  <si>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</si>
  <si>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</si>
  <si>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</si>
  <si>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</si>
  <si>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</si>
  <si>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</si>
  <si>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</si>
  <si>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</si>
  <si>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</si>
  <si>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</si>
  <si>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</si>
  <si>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</si>
  <si>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</si>
  <si>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</si>
  <si>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</si>
  <si>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</si>
  <si>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</si>
  <si>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</si>
  <si>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</si>
  <si>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</si>
  <si>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</si>
  <si>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</si>
  <si>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</si>
  <si>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</si>
  <si>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</si>
  <si>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</si>
  <si>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</si>
  <si>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</si>
  <si>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</si>
  <si>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</si>
  <si>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</si>
  <si>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</si>
  <si>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</si>
  <si>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</si>
  <si>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</si>
  <si>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</si>
  <si>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</si>
  <si>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</si>
  <si>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</si>
  <si>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</si>
  <si>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</si>
  <si>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</si>
  <si>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</si>
  <si>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</si>
  <si>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</si>
  <si>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</si>
  <si>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</si>
  <si>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</si>
  <si>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</si>
  <si>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</si>
  <si>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</si>
  <si>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</si>
  <si>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</si>
  <si>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</si>
  <si>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</si>
  <si>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</si>
  <si>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</si>
  <si>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</si>
  <si>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</si>
  <si>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</si>
  <si>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</si>
  <si>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</si>
  <si>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</si>
  <si>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</si>
  <si>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</si>
  <si>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</si>
  <si>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</si>
  <si>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</si>
  <si>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</si>
  <si>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</si>
  <si>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</si>
  <si>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</si>
  <si>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</si>
  <si>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</si>
  <si>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</si>
  <si>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</si>
  <si>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</si>
  <si>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</si>
  <si>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</si>
  <si>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</si>
  <si>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</si>
  <si>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</si>
  <si>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</si>
  <si>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</si>
  <si>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</si>
  <si>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</si>
  <si>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</si>
  <si>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</si>
  <si>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</si>
  <si>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</si>
  <si>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</si>
  <si>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</si>
  <si>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</si>
  <si>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</si>
  <si>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</si>
  <si>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</si>
  <si>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</si>
  <si>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</si>
  <si>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</si>
  <si>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</si>
  <si>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</si>
  <si>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</si>
  <si>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</si>
  <si>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</si>
  <si>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</si>
  <si>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</si>
  <si>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</si>
  <si>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</si>
  <si>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</si>
  <si>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</si>
  <si>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</si>
  <si>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</si>
  <si>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</si>
  <si>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</si>
  <si>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</si>
  <si>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</si>
  <si>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</si>
  <si>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</si>
  <si>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</si>
  <si>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</si>
  <si>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</si>
  <si>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</si>
  <si>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</si>
  <si>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</si>
  <si>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</si>
  <si>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</si>
  <si>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</si>
  <si>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</si>
  <si>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</si>
  <si>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</si>
  <si>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</si>
  <si>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</si>
  <si>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</si>
  <si>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</si>
  <si>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</si>
  <si>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</si>
  <si>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</si>
  <si>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</si>
  <si>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</si>
  <si>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</si>
  <si>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</si>
  <si>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</si>
  <si>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</si>
  <si>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</si>
  <si>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</si>
  <si>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</si>
  <si>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</si>
  <si>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</si>
  <si>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</si>
  <si>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</si>
  <si>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</si>
  <si>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</si>
  <si>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</si>
  <si>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</si>
  <si>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</si>
  <si>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</si>
  <si>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</si>
  <si>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</si>
  <si>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</si>
  <si>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</si>
  <si>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</si>
  <si>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</si>
  <si>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</si>
  <si>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</si>
  <si>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</si>
  <si>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</si>
  <si>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</si>
  <si>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</si>
  <si>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</si>
  <si>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</si>
  <si>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</si>
  <si>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</si>
  <si>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</si>
  <si>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</si>
  <si>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</si>
  <si>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</si>
  <si>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</si>
  <si>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</si>
  <si>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</si>
  <si>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</si>
  <si>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</si>
  <si>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</si>
  <si>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</si>
  <si>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</si>
  <si>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</si>
  <si>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</si>
  <si>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</si>
  <si>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</si>
  <si>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</si>
  <si>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</si>
  <si>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</si>
  <si>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</si>
  <si>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</si>
  <si>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</si>
  <si>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</si>
  <si>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</si>
  <si>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</si>
  <si>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</si>
  <si>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</si>
  <si>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</si>
  <si>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</si>
  <si>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</si>
  <si>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</si>
  <si>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</si>
  <si>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</si>
  <si>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</si>
  <si>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</si>
  <si>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</si>
  <si>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</si>
  <si>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</si>
  <si>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</si>
  <si>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</si>
  <si>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</si>
  <si>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</si>
  <si>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</si>
  <si>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</si>
  <si>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</si>
  <si>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</si>
  <si>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</si>
  <si>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</si>
  <si>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</si>
  <si>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</si>
  <si>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</si>
  <si>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</si>
  <si>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</si>
  <si>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</si>
  <si>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</si>
  <si>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</si>
  <si>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</si>
  <si>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</si>
  <si>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</si>
  <si>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</si>
  <si>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</si>
  <si>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</si>
  <si>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</si>
  <si>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</si>
  <si>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</si>
  <si>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</si>
  <si>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</si>
  <si>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</si>
  <si>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</si>
  <si>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</si>
  <si>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</si>
  <si>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</si>
  <si>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</si>
  <si>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</si>
  <si>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</si>
  <si>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</si>
  <si>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</si>
  <si>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</si>
  <si>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</si>
  <si>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</si>
  <si>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</si>
  <si>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</si>
  <si>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</si>
  <si>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</si>
  <si>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</si>
  <si>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</si>
  <si>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</si>
  <si>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</si>
  <si>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</si>
  <si>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</si>
  <si>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</si>
  <si>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</si>
  <si>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</si>
  <si>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</si>
  <si>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</si>
  <si>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</si>
  <si>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</si>
  <si>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</si>
  <si>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</si>
  <si>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</si>
  <si>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</si>
  <si>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</si>
  <si>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</si>
  <si>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</si>
  <si>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</si>
  <si>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</si>
  <si>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</si>
  <si>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</si>
  <si>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</si>
  <si>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</si>
  <si>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</si>
  <si>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</si>
  <si>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</si>
  <si>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</si>
  <si>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</si>
  <si>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</si>
  <si>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</si>
  <si>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</si>
  <si>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</si>
  <si>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</si>
  <si>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</si>
  <si>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</si>
  <si>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</si>
  <si>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</si>
  <si>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</si>
  <si>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</si>
  <si>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</si>
  <si>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</si>
  <si>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</si>
  <si>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</si>
  <si>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</si>
  <si>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</si>
  <si>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</si>
  <si>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</si>
  <si>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</si>
  <si>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</si>
  <si>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</si>
  <si>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</si>
  <si>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</si>
  <si>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</si>
  <si>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</si>
  <si>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</si>
  <si>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</si>
  <si>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</si>
  <si>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</si>
  <si>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</si>
  <si>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</si>
  <si>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</si>
  <si>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</si>
  <si>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</si>
  <si>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</si>
  <si>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</si>
  <si>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</si>
  <si>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</si>
  <si>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</si>
  <si>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</si>
  <si>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</si>
  <si>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</si>
  <si>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</si>
  <si>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</si>
  <si>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</si>
  <si>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</si>
  <si>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</si>
  <si>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</si>
  <si>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</si>
  <si>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</si>
  <si>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</si>
  <si>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</si>
  <si>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</si>
  <si>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</si>
  <si>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</si>
  <si>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</si>
  <si>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</si>
  <si>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</si>
  <si>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</si>
  <si>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</si>
  <si>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</si>
  <si>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</si>
  <si>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</si>
  <si>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</si>
  <si>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</si>
  <si>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</si>
  <si>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</si>
  <si>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</si>
  <si>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</si>
  <si>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</si>
  <si>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</si>
  <si>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</si>
  <si>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</si>
  <si>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</si>
  <si>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</si>
  <si>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</si>
  <si>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</si>
  <si>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</si>
  <si>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</si>
  <si>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</si>
  <si>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</si>
  <si>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</si>
  <si>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</si>
  <si>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</si>
  <si>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</si>
  <si>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</si>
  <si>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</si>
  <si>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</si>
  <si>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</si>
  <si>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</si>
  <si>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</si>
  <si>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</si>
  <si>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</si>
  <si>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</si>
  <si>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</si>
  <si>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</si>
  <si>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</si>
  <si>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</si>
  <si>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</si>
  <si>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</si>
  <si>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</si>
  <si>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</si>
  <si>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</si>
  <si>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</si>
  <si>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</si>
  <si>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</si>
  <si>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</si>
  <si>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</si>
  <si>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</si>
  <si>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</si>
  <si>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</si>
  <si>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</si>
  <si>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</si>
  <si>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</si>
  <si>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</si>
  <si>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</si>
  <si>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</si>
  <si>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</si>
  <si>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</si>
  <si>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</si>
  <si>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</si>
  <si>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</si>
  <si>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</si>
  <si>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</si>
  <si>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</si>
  <si>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</si>
  <si>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</si>
  <si>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</si>
  <si>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</si>
  <si>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</si>
  <si>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</si>
  <si>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</si>
  <si>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</si>
  <si>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</si>
  <si>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</si>
  <si>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</si>
  <si>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</si>
  <si>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</si>
  <si>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</si>
  <si>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</si>
  <si>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</si>
  <si>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</si>
  <si>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</si>
  <si>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</si>
  <si>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</si>
  <si>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</si>
  <si>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</si>
  <si>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</si>
  <si>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</si>
  <si>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</si>
  <si>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</si>
  <si>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</si>
  <si>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</si>
  <si>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</si>
  <si>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</si>
  <si>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</si>
  <si>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</si>
  <si>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</si>
  <si>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</si>
  <si>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</si>
  <si>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</si>
  <si>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</si>
  <si>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</si>
  <si>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</si>
  <si>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</si>
  <si>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</si>
  <si>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</si>
  <si>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</si>
  <si>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</si>
  <si>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</si>
  <si>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</si>
  <si>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</si>
  <si>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</si>
  <si>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</si>
  <si>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</si>
  <si>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</si>
  <si>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</si>
  <si>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</si>
  <si>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</si>
  <si>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</si>
  <si>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</si>
  <si>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</si>
  <si>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</si>
  <si>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</si>
  <si>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</si>
  <si>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</si>
  <si>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</si>
  <si>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</si>
  <si>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</si>
  <si>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</si>
  <si>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</si>
  <si>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</si>
  <si>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</si>
  <si>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</si>
  <si>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</si>
  <si>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</si>
  <si>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</si>
  <si>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</si>
  <si>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</si>
  <si>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</si>
  <si>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</si>
  <si>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</si>
  <si>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</si>
  <si>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</si>
  <si>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</si>
  <si>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</si>
  <si>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</si>
  <si>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</si>
  <si>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</si>
  <si>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</si>
  <si>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</si>
  <si>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</si>
  <si>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</si>
  <si>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</si>
  <si>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</si>
  <si>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</si>
  <si>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</si>
  <si>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</si>
  <si>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</si>
  <si>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</si>
  <si>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</si>
  <si>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</si>
  <si>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</si>
  <si>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</si>
  <si>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</si>
  <si>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</si>
  <si>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</si>
  <si>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</si>
  <si>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</si>
  <si>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</si>
  <si>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</si>
  <si>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</si>
  <si>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</si>
  <si>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</si>
  <si>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</si>
  <si>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</si>
  <si>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</si>
  <si>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</si>
  <si>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</si>
  <si>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</si>
  <si>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</si>
  <si>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</si>
  <si>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</si>
  <si>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</si>
  <si>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</si>
  <si>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</si>
  <si>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</si>
  <si>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</si>
  <si>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</si>
  <si>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</si>
  <si>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</si>
  <si>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</si>
  <si>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</si>
  <si>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</si>
  <si>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</si>
  <si>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</si>
  <si>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</si>
  <si>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</si>
  <si>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</si>
  <si>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</si>
  <si>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</si>
  <si>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</si>
  <si>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</si>
  <si>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</si>
  <si>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</si>
  <si>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</si>
  <si>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</si>
  <si>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</si>
  <si>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</si>
  <si>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</si>
  <si>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</si>
  <si>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</si>
  <si>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</si>
  <si>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</si>
  <si>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</si>
  <si>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</si>
  <si>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</si>
  <si>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</si>
  <si>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</si>
  <si>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</si>
  <si>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</si>
  <si>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</si>
  <si>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</si>
  <si>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</si>
  <si>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</si>
  <si>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</si>
  <si>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</si>
  <si>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</si>
  <si>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</si>
  <si>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</si>
  <si>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</si>
  <si>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</si>
  <si>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</si>
  <si>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</si>
  <si>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</si>
  <si>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</si>
  <si>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</si>
  <si>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</si>
  <si>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</si>
  <si>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</si>
  <si>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</si>
  <si>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</si>
  <si>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</si>
  <si>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</si>
  <si>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</si>
  <si>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</si>
  <si>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</si>
  <si>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</si>
  <si>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</si>
  <si>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</si>
  <si>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</si>
  <si>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</si>
  <si>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</si>
  <si>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</si>
  <si>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</si>
  <si>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</si>
  <si>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</si>
  <si>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</si>
  <si>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</si>
  <si>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</si>
  <si>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</si>
  <si>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</si>
  <si>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</si>
  <si>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</si>
  <si>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</si>
  <si>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</si>
  <si>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</si>
  <si>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</si>
  <si>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</si>
  <si>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</si>
  <si>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</si>
  <si>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</si>
  <si>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</si>
  <si>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</si>
  <si>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</si>
  <si>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</si>
  <si>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</si>
  <si>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</si>
  <si>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</si>
  <si>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</si>
  <si>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</si>
  <si>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</si>
  <si>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</si>
  <si>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</si>
  <si>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</si>
  <si>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</si>
  <si>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</si>
  <si>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</si>
  <si>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</si>
  <si>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</si>
  <si>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</si>
  <si>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</si>
  <si>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</si>
  <si>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</si>
  <si>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</si>
  <si>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</si>
  <si>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</si>
  <si>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</si>
  <si>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</si>
  <si>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</si>
  <si>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</si>
  <si>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</si>
  <si>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</si>
  <si>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</si>
  <si>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</si>
  <si>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</si>
  <si>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</si>
  <si>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</si>
  <si>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</si>
  <si>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</si>
  <si>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</si>
  <si>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</si>
  <si>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</si>
  <si>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</si>
  <si>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</si>
  <si>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</si>
  <si>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</si>
  <si>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</si>
  <si>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</si>
  <si>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</si>
  <si>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</si>
  <si>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</si>
  <si>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</si>
  <si>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</si>
  <si>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</si>
  <si>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</si>
  <si>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</si>
  <si>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</si>
  <si>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</si>
  <si>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</si>
  <si>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</si>
  <si>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</si>
  <si>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</si>
  <si>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</si>
  <si>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</si>
  <si>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</si>
  <si>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</si>
  <si>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</si>
  <si>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</si>
  <si>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</si>
  <si>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</si>
  <si>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</si>
  <si>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</si>
  <si>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</si>
  <si>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</si>
  <si>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</si>
  <si>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</si>
  <si>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</si>
  <si>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</si>
  <si>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</si>
  <si>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</si>
  <si>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</si>
  <si>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</si>
  <si>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</si>
  <si>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</si>
  <si>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</si>
  <si>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</si>
  <si>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</si>
  <si>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</si>
  <si>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</si>
  <si>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</si>
  <si>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</si>
  <si>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</si>
  <si>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</si>
  <si>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</si>
  <si>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</si>
  <si>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</si>
  <si>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</si>
  <si>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</si>
  <si>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</si>
  <si>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</si>
  <si>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</si>
  <si>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</si>
  <si>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</si>
  <si>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</si>
  <si>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</si>
  <si>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</si>
  <si>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</si>
  <si>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</si>
  <si>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</si>
  <si>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</si>
  <si>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</si>
  <si>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</si>
  <si>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</si>
  <si>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</si>
  <si>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</si>
  <si>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</si>
  <si>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</si>
  <si>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</si>
  <si>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</si>
  <si>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</si>
  <si>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</si>
  <si>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</si>
  <si>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</si>
  <si>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</si>
  <si>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</si>
  <si>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</si>
  <si>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</si>
  <si>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</si>
  <si>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</si>
  <si>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</si>
  <si>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</si>
  <si>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</si>
  <si>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</si>
  <si>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</si>
  <si>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</si>
  <si>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</si>
  <si>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</si>
  <si>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</si>
  <si>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</si>
  <si>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</si>
  <si>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</si>
  <si>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</si>
  <si>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</si>
  <si>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</si>
  <si>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</si>
  <si>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</si>
  <si>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</si>
  <si>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</si>
  <si>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</si>
  <si>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</si>
  <si>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</si>
  <si>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</si>
  <si>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</si>
  <si>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</si>
  <si>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</si>
  <si>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</si>
  <si>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</si>
  <si>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</si>
  <si>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</si>
  <si>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</si>
  <si>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</si>
  <si>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</si>
  <si>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</si>
  <si>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</si>
  <si>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</si>
  <si>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</si>
  <si>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</si>
  <si>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</si>
  <si>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</si>
  <si>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</si>
  <si>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</si>
  <si>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</si>
  <si>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</si>
  <si>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</si>
  <si>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</si>
  <si>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</si>
  <si>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</si>
  <si>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</si>
  <si>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</si>
  <si>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</si>
  <si>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</si>
  <si>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</si>
  <si>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</si>
  <si>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</si>
  <si>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</si>
  <si>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</si>
  <si>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</si>
  <si>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</si>
  <si>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</si>
  <si>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</si>
  <si>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</si>
  <si>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</si>
  <si>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</si>
  <si>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</si>
  <si>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</si>
  <si>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</si>
  <si>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</si>
  <si>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</si>
  <si>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</si>
  <si>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</si>
  <si>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</si>
  <si>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</si>
  <si>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</si>
  <si>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</si>
  <si>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</si>
  <si>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</si>
  <si>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</si>
  <si>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</si>
  <si>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</si>
  <si>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</si>
  <si>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</si>
  <si>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</si>
  <si>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</si>
  <si>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</si>
  <si>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</si>
  <si>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</si>
  <si>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</si>
  <si>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</si>
  <si>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</si>
  <si>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</si>
  <si>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</si>
  <si>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</si>
  <si>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</si>
  <si>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</si>
  <si>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</si>
  <si>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</si>
  <si>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</si>
  <si>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</si>
  <si>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</si>
  <si>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</si>
  <si>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</si>
  <si>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</si>
  <si>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</si>
  <si>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</si>
  <si>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</si>
  <si>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</si>
  <si>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</si>
  <si>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</si>
  <si>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</si>
  <si>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</si>
  <si>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</si>
  <si>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</si>
  <si>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</si>
  <si>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</si>
  <si>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</si>
  <si>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</si>
  <si>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</si>
  <si>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</si>
  <si>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</si>
  <si>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</si>
  <si>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</si>
  <si>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</si>
  <si>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</si>
  <si>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</si>
  <si>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</si>
  <si>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</si>
  <si>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</si>
  <si>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</si>
  <si>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</si>
  <si>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</si>
  <si>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</si>
  <si>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</si>
  <si>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</si>
  <si>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</si>
  <si>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</si>
  <si>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</si>
  <si>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</si>
  <si>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</si>
  <si>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</si>
  <si>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</si>
  <si>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</si>
  <si>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</si>
  <si>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</si>
  <si>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</si>
  <si>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</si>
  <si>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</si>
  <si>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</si>
  <si>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</si>
  <si>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</si>
  <si>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</si>
  <si>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</si>
  <si>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</si>
  <si>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</si>
  <si>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</si>
  <si>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北京市</t>
  </si>
  <si>
    <t>企业</t>
  </si>
  <si>
    <t>Ⅰ—02</t>
  </si>
  <si>
    <t>商务金融用地</t>
  </si>
  <si>
    <t>宗地容积率</t>
  </si>
  <si>
    <t>通路</t>
  </si>
  <si>
    <t>通电</t>
  </si>
  <si>
    <t>通讯</t>
  </si>
  <si>
    <t>通上水</t>
  </si>
  <si>
    <t>通下水</t>
  </si>
  <si>
    <t>平整</t>
  </si>
  <si>
    <t>按公示增长率计算</t>
  </si>
  <si>
    <t>中心城区</t>
  </si>
  <si>
    <t>不临65条商业街</t>
  </si>
  <si>
    <t>较好</t>
  </si>
  <si>
    <t>一般</t>
  </si>
  <si>
    <t>好</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</si>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</sst>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0" fontId="45"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54" fillId="6" borderId="3" xfId="8" applyNumberFormat="1" applyFont="1" applyFill="1" applyBorder="1" applyAlignment="1" applyProtection="1">
      <alignment horizontal="left" vertical="center" wrapText="1"/>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494;&#23450;&#20399;&#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办公)"/>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1132.3699999999999</v>
          </cell>
          <cell r="G19">
            <v>3041.86</v>
          </cell>
        </row>
        <row r="20">
          <cell r="F20">
            <v>38142.979999999996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2022年9月14日</v>
      </c>
    </row>
    <row r="13" spans="1:2" s="2762" customFormat="1">
      <c r="A13" s="2760" t="s">
        <v>742</v>
      </c>
      <c r="B13" s="2761"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4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828" t="s">
        <v>594</v>
      </c>
      <c r="C54" s="2824" t="s">
        <v>796</v>
      </c>
    </row>
    <row r="55" spans="1:4">
      <c r="A55" s="3040"/>
      <c r="B55" s="2828" t="s">
        <v>595</v>
      </c>
      <c r="C55" s="2824" t="s">
        <v>797</v>
      </c>
    </row>
    <row r="56" spans="1:4">
      <c r="A56" s="3040"/>
      <c r="B56" s="2828" t="s">
        <v>596</v>
      </c>
      <c r="C56" s="2824" t="s">
        <v>801</v>
      </c>
    </row>
    <row r="57" spans="1:4">
      <c r="A57" s="304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7" sqref="D37"/>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48" t="str">
        <f>IF(B10="北京市","北京市",C10)&amp;F10&amp;IF(结果表!G1="在建","出让国有建设用地使用权及在建建筑物",IF(结果表!G1="土地","出让国有建设用地使用权",))&amp;B9&amp;"预评估"</f>
        <v>北京市预评估</v>
      </c>
      <c r="C1" s="3049"/>
      <c r="D1" s="3049"/>
      <c r="E1" s="3049"/>
      <c r="F1" s="3049"/>
      <c r="G1" s="3049"/>
      <c r="H1" s="3049"/>
      <c r="I1" s="305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44818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51" t="s">
        <v>2439</v>
      </c>
      <c r="E8" s="2898"/>
      <c r="F8" s="2899"/>
      <c r="G8" s="2880"/>
      <c r="H8" s="2880"/>
      <c r="I8" s="2880"/>
      <c r="J8" s="862"/>
      <c r="K8" s="2900"/>
      <c r="L8" s="2893"/>
      <c r="M8" s="2893"/>
      <c r="N8" s="862"/>
      <c r="O8" s="2893"/>
      <c r="P8" s="862"/>
      <c r="Q8" s="862"/>
      <c r="R8" s="862"/>
    </row>
    <row r="9" spans="1:28" ht="13.5" thickBot="1">
      <c r="A9" s="2901" t="s">
        <v>2440</v>
      </c>
      <c r="B9" s="2902"/>
      <c r="C9" s="2903"/>
      <c r="D9" s="3052"/>
      <c r="E9" s="2902"/>
      <c r="F9" s="2904"/>
      <c r="G9" s="2905"/>
      <c r="H9" s="2905"/>
      <c r="I9" s="2905"/>
      <c r="J9" s="862"/>
      <c r="K9" s="2892"/>
      <c r="L9" s="2893"/>
      <c r="M9" s="2893"/>
      <c r="N9" s="862"/>
      <c r="O9" s="2893"/>
      <c r="P9" s="862"/>
      <c r="Q9" s="862"/>
      <c r="R9" s="862"/>
    </row>
    <row r="10" spans="1:28" ht="13.5" thickTop="1">
      <c r="A10" s="2906" t="s">
        <v>2441</v>
      </c>
      <c r="B10" s="2907" t="s">
        <v>3096</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3097</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26">
        <v>52462</v>
      </c>
      <c r="F13" s="3326">
        <v>56115</v>
      </c>
      <c r="G13" s="2920"/>
      <c r="H13" s="2920"/>
      <c r="I13" s="2920"/>
      <c r="J13" s="862"/>
      <c r="K13" s="2892"/>
      <c r="L13" s="2893"/>
      <c r="M13" s="2893"/>
      <c r="N13" s="862"/>
      <c r="O13" s="2893"/>
      <c r="P13" s="862"/>
      <c r="Q13" s="862"/>
      <c r="R13" s="862"/>
    </row>
    <row r="14" spans="1:28">
      <c r="A14" s="1360"/>
      <c r="B14" s="2918"/>
      <c r="C14" s="2919" t="s">
        <v>2453</v>
      </c>
      <c r="D14" s="2921"/>
      <c r="E14" s="2921">
        <v>40</v>
      </c>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20.94</v>
      </c>
      <c r="F15" s="459">
        <f>IF(B12="出让",IF(F13="","",ROUNDDOWN(MIN((F13-$D$3)/365,F14),2)),F14)</f>
        <v>30.95</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58"/>
      <c r="C16" s="3059"/>
      <c r="D16" s="3060"/>
      <c r="E16" s="989" t="s">
        <v>2456</v>
      </c>
      <c r="F16" s="3061"/>
      <c r="G16" s="3062"/>
      <c r="H16" s="3062"/>
      <c r="I16" s="3063"/>
      <c r="J16" s="862"/>
      <c r="K16" s="2892"/>
      <c r="L16" s="2893"/>
      <c r="M16" s="2893"/>
      <c r="N16" s="862"/>
      <c r="O16" s="2893"/>
      <c r="P16" s="862"/>
      <c r="Q16" s="862"/>
      <c r="R16" s="862"/>
    </row>
    <row r="17" spans="1:28">
      <c r="A17" s="1337" t="s">
        <v>2457</v>
      </c>
      <c r="B17" s="879" t="s">
        <v>2458</v>
      </c>
      <c r="C17" s="459">
        <f>'数据-汇总表'!E3</f>
        <v>0</v>
      </c>
      <c r="D17" s="2846" t="s">
        <v>2459</v>
      </c>
      <c r="E17" s="3064" t="s">
        <v>2460</v>
      </c>
      <c r="F17" s="3065"/>
      <c r="G17" s="3065"/>
      <c r="H17" s="3065"/>
      <c r="I17" s="306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67" t="s">
        <v>2464</v>
      </c>
      <c r="F18" s="3068"/>
      <c r="G18" s="3068"/>
      <c r="H18" s="3068"/>
      <c r="I18" s="306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54" t="s">
        <v>2468</v>
      </c>
      <c r="C20" s="3055"/>
      <c r="D20" s="3056" t="s">
        <v>2469</v>
      </c>
      <c r="E20" s="3057"/>
      <c r="F20" s="2932" t="s">
        <v>1280</v>
      </c>
      <c r="G20" s="2887"/>
      <c r="H20" s="2887"/>
      <c r="I20" s="2887"/>
      <c r="J20" s="862"/>
      <c r="K20" s="305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5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5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4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4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4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43"/>
      <c r="B30" s="879" t="s">
        <v>2480</v>
      </c>
      <c r="C30" s="3044"/>
      <c r="D30" s="3045"/>
      <c r="E30" s="2887"/>
      <c r="F30" s="2887"/>
      <c r="G30" s="2887"/>
      <c r="H30" s="2887"/>
      <c r="I30" s="2887"/>
      <c r="J30" s="862"/>
      <c r="K30" s="2892"/>
      <c r="L30" s="2893"/>
      <c r="M30" s="2893"/>
      <c r="N30" s="862"/>
      <c r="O30" s="2893"/>
      <c r="P30" s="862"/>
      <c r="Q30" s="862"/>
      <c r="R30" s="862"/>
      <c r="S30" s="862"/>
      <c r="T30" s="862"/>
      <c r="U30" s="862"/>
      <c r="V30" s="862"/>
    </row>
    <row r="31" spans="1:28">
      <c r="A31" s="304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4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4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41" t="s">
        <v>2490</v>
      </c>
      <c r="T34" s="460" t="str">
        <f>NUMBERSTRING(7-K34,1)&amp;"通"</f>
        <v>七通</v>
      </c>
      <c r="U34" s="862"/>
      <c r="V34" s="862"/>
    </row>
    <row r="35" spans="1:30">
      <c r="A35" s="2958"/>
      <c r="B35" s="3041" t="s">
        <v>2491</v>
      </c>
      <c r="C35" s="3041"/>
      <c r="D35" s="3041"/>
      <c r="E35" s="304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4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184</v>
      </c>
      <c r="C37" s="1228" t="s">
        <v>184</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3098</v>
      </c>
      <c r="C38" s="2961" t="s">
        <v>3098</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9" t="s">
        <v>1354</v>
      </c>
      <c r="B2" s="3079"/>
      <c r="C2" s="3079"/>
      <c r="D2" s="705" t="s">
        <v>1330</v>
      </c>
      <c r="E2" s="706" t="s">
        <v>1331</v>
      </c>
      <c r="F2" s="707"/>
      <c r="G2" s="708"/>
      <c r="H2" s="709"/>
      <c r="I2" s="710" t="s">
        <v>1355</v>
      </c>
      <c r="J2" s="707"/>
      <c r="K2" s="707"/>
      <c r="L2" s="707"/>
      <c r="M2" s="707"/>
      <c r="N2" s="472"/>
      <c r="O2" s="707"/>
      <c r="P2" s="707"/>
    </row>
    <row r="3" spans="1:16" ht="15.75" thickBot="1">
      <c r="A3" s="3080" t="s">
        <v>1328</v>
      </c>
      <c r="B3" s="3080"/>
      <c r="C3" s="308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81"/>
      <c r="B4" s="3082"/>
      <c r="C4" s="308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4" t="s">
        <v>1333</v>
      </c>
      <c r="C5" s="308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4" t="s">
        <v>1334</v>
      </c>
      <c r="C6" s="308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6"/>
      <c r="B7" s="3077"/>
      <c r="C7" s="307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3" t="s">
        <v>1358</v>
      </c>
      <c r="L16" s="3074"/>
      <c r="M16" s="3074"/>
      <c r="N16" s="3074"/>
      <c r="O16" s="3074"/>
      <c r="P16" s="3075"/>
    </row>
    <row r="17" spans="1:19" ht="15">
      <c r="A17" s="737" t="s">
        <v>1359</v>
      </c>
      <c r="B17" s="738" t="s">
        <v>1360</v>
      </c>
      <c r="C17" s="739" t="s">
        <v>1361</v>
      </c>
      <c r="D17" s="740" t="s">
        <v>1349</v>
      </c>
      <c r="E17" s="741" t="s">
        <v>1350</v>
      </c>
      <c r="F17" s="742"/>
      <c r="G17" s="743"/>
      <c r="H17" s="744" t="s">
        <v>1362</v>
      </c>
      <c r="I17" s="745" t="s">
        <v>1347</v>
      </c>
      <c r="J17" s="703"/>
      <c r="K17" s="3070" t="s">
        <v>1363</v>
      </c>
      <c r="L17" s="3071"/>
      <c r="M17" s="3072"/>
      <c r="N17" s="3070" t="s">
        <v>1364</v>
      </c>
      <c r="O17" s="3071"/>
      <c r="P17" s="307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5" t="s">
        <v>2548</v>
      </c>
      <c r="B1" s="3086"/>
      <c r="C1" s="3086"/>
      <c r="D1" s="3086"/>
      <c r="E1" s="3086"/>
      <c r="F1" s="3086"/>
      <c r="G1" s="308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9" t="str">
        <f>项目基本情况!S2</f>
        <v>北京市房地产</v>
      </c>
      <c r="B2" s="3120"/>
      <c r="C2" s="3120"/>
      <c r="D2" s="3120"/>
      <c r="E2" s="3120"/>
      <c r="F2" s="3120"/>
      <c r="G2" s="3120"/>
      <c r="H2" s="3120"/>
      <c r="I2" s="3121"/>
    </row>
    <row r="3" spans="1:12" ht="12.75">
      <c r="A3" s="3123" t="s">
        <v>1488</v>
      </c>
      <c r="B3" s="3124"/>
      <c r="C3" s="3124"/>
      <c r="D3" s="3124"/>
      <c r="E3" s="3124"/>
      <c r="F3" s="3124"/>
      <c r="G3" s="3124"/>
      <c r="H3" s="3124"/>
      <c r="I3" s="3124"/>
    </row>
    <row r="4" spans="1:12" ht="14.25">
      <c r="A4" s="872" t="s">
        <v>1489</v>
      </c>
      <c r="B4" s="873" t="s">
        <v>1490</v>
      </c>
      <c r="C4" s="874"/>
      <c r="D4" s="874"/>
      <c r="E4" s="3125" t="s">
        <v>1491</v>
      </c>
      <c r="F4" s="3126"/>
      <c r="G4" s="3126"/>
      <c r="H4" s="3126"/>
      <c r="I4" s="312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0" t="s">
        <v>1492</v>
      </c>
      <c r="B5" s="3088">
        <v>25</v>
      </c>
      <c r="C5" s="3103"/>
      <c r="D5" s="3122"/>
      <c r="E5" s="875" t="s">
        <v>1493</v>
      </c>
      <c r="F5" s="876"/>
      <c r="G5" s="876"/>
      <c r="H5" s="876"/>
      <c r="I5" s="826"/>
    </row>
    <row r="6" spans="1:12" ht="12.75">
      <c r="A6" s="3100"/>
      <c r="B6" s="3088"/>
      <c r="C6" s="3104"/>
      <c r="D6" s="3122"/>
      <c r="E6" s="875" t="s">
        <v>1494</v>
      </c>
      <c r="F6" s="876"/>
      <c r="G6" s="876"/>
      <c r="H6" s="876"/>
      <c r="I6" s="826"/>
    </row>
    <row r="7" spans="1:12" ht="12.75">
      <c r="A7" s="3100"/>
      <c r="B7" s="3088"/>
      <c r="C7" s="3105"/>
      <c r="D7" s="3122"/>
      <c r="E7" s="875" t="s">
        <v>1495</v>
      </c>
      <c r="F7" s="876"/>
      <c r="G7" s="876"/>
      <c r="H7" s="876"/>
      <c r="I7" s="826"/>
    </row>
    <row r="8" spans="1:12" ht="12.75">
      <c r="A8" s="3100" t="s">
        <v>1496</v>
      </c>
      <c r="B8" s="3088">
        <v>15</v>
      </c>
      <c r="C8" s="3103"/>
      <c r="D8" s="3122"/>
      <c r="E8" s="875" t="s">
        <v>1497</v>
      </c>
      <c r="F8" s="876"/>
      <c r="G8" s="876"/>
      <c r="H8" s="876"/>
      <c r="I8" s="826"/>
    </row>
    <row r="9" spans="1:12" ht="12.75">
      <c r="A9" s="3100"/>
      <c r="B9" s="3088"/>
      <c r="C9" s="3105"/>
      <c r="D9" s="3122"/>
      <c r="E9" s="875" t="s">
        <v>1498</v>
      </c>
      <c r="F9" s="876"/>
      <c r="G9" s="876"/>
      <c r="H9" s="876"/>
      <c r="I9" s="826"/>
    </row>
    <row r="10" spans="1:12" ht="12.75">
      <c r="A10" s="3100" t="s">
        <v>1499</v>
      </c>
      <c r="B10" s="3088">
        <v>15</v>
      </c>
      <c r="C10" s="3103"/>
      <c r="D10" s="3122"/>
      <c r="E10" s="875" t="s">
        <v>1500</v>
      </c>
      <c r="F10" s="876"/>
      <c r="G10" s="876"/>
      <c r="H10" s="876"/>
      <c r="I10" s="826"/>
    </row>
    <row r="11" spans="1:12" ht="12.75">
      <c r="A11" s="3100"/>
      <c r="B11" s="3088"/>
      <c r="C11" s="3105"/>
      <c r="D11" s="3122"/>
      <c r="E11" s="875" t="s">
        <v>1501</v>
      </c>
      <c r="F11" s="876"/>
      <c r="G11" s="876"/>
      <c r="H11" s="876"/>
      <c r="I11" s="826"/>
    </row>
    <row r="12" spans="1:12" ht="12.75">
      <c r="A12" s="3100" t="s">
        <v>1502</v>
      </c>
      <c r="B12" s="3088">
        <v>15</v>
      </c>
      <c r="C12" s="3103"/>
      <c r="D12" s="3122"/>
      <c r="E12" s="875" t="s">
        <v>1503</v>
      </c>
      <c r="F12" s="876"/>
      <c r="G12" s="876"/>
      <c r="H12" s="876"/>
      <c r="I12" s="826"/>
    </row>
    <row r="13" spans="1:12" ht="12.75">
      <c r="A13" s="3100"/>
      <c r="B13" s="3088"/>
      <c r="C13" s="3105"/>
      <c r="D13" s="3122"/>
      <c r="E13" s="875" t="s">
        <v>1504</v>
      </c>
      <c r="F13" s="876"/>
      <c r="G13" s="876"/>
      <c r="H13" s="876"/>
      <c r="I13" s="826"/>
    </row>
    <row r="14" spans="1:12" ht="12.75">
      <c r="A14" s="3100" t="s">
        <v>1505</v>
      </c>
      <c r="B14" s="3088">
        <v>30</v>
      </c>
      <c r="C14" s="3103"/>
      <c r="D14" s="3122"/>
      <c r="E14" s="875" t="s">
        <v>1506</v>
      </c>
      <c r="F14" s="876"/>
      <c r="G14" s="876"/>
      <c r="H14" s="876"/>
      <c r="I14" s="826"/>
    </row>
    <row r="15" spans="1:12" ht="12.75">
      <c r="A15" s="3100"/>
      <c r="B15" s="3088"/>
      <c r="C15" s="3104"/>
      <c r="D15" s="3122"/>
      <c r="E15" s="875" t="s">
        <v>1507</v>
      </c>
      <c r="F15" s="876"/>
      <c r="G15" s="876"/>
      <c r="H15" s="876"/>
      <c r="I15" s="826"/>
    </row>
    <row r="16" spans="1:12" ht="12.75">
      <c r="A16" s="3100"/>
      <c r="B16" s="3088"/>
      <c r="C16" s="3105"/>
      <c r="D16" s="312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10" t="s">
        <v>2389</v>
      </c>
      <c r="F18" s="3111"/>
      <c r="G18" s="3111"/>
      <c r="H18" s="3111"/>
      <c r="I18" s="311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95" t="s">
        <v>1523</v>
      </c>
      <c r="B24" s="884" t="s">
        <v>1515</v>
      </c>
      <c r="C24" s="887">
        <f>IF(B30=0,0,D30)</f>
        <v>0</v>
      </c>
      <c r="D24" s="903"/>
      <c r="E24" s="677"/>
      <c r="F24" s="677"/>
      <c r="G24" s="677"/>
      <c r="H24" s="677"/>
      <c r="I24" s="677"/>
    </row>
    <row r="25" spans="1:36" ht="14.25">
      <c r="A25" s="309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13" t="s">
        <v>1536</v>
      </c>
      <c r="B36" s="938" t="s">
        <v>1537</v>
      </c>
      <c r="C36" s="939"/>
      <c r="D36" s="940"/>
      <c r="E36" s="941"/>
      <c r="F36" s="942"/>
      <c r="G36" s="677"/>
      <c r="H36" s="677"/>
      <c r="I36" s="677"/>
    </row>
    <row r="37" spans="1:15" ht="15.75" thickBot="1">
      <c r="A37" s="3114"/>
      <c r="B37" s="784" t="s">
        <v>1538</v>
      </c>
      <c r="C37" s="943"/>
      <c r="D37" s="703"/>
      <c r="E37" s="703"/>
      <c r="F37" s="942"/>
      <c r="G37" s="677"/>
      <c r="H37" s="677"/>
      <c r="I37" s="677"/>
    </row>
    <row r="38" spans="1:15" ht="15.75" thickBot="1">
      <c r="A38" s="311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92" t="s">
        <v>1550</v>
      </c>
      <c r="B45" s="3093"/>
      <c r="C45" s="3094"/>
      <c r="D45" s="965" t="e">
        <f ca="1">ROUND(H101*F45,0)</f>
        <v>#REF!</v>
      </c>
      <c r="E45" s="966" t="s">
        <v>1551</v>
      </c>
      <c r="F45" s="967">
        <v>1</v>
      </c>
      <c r="G45" s="968" t="s">
        <v>1552</v>
      </c>
      <c r="H45" s="677"/>
      <c r="I45" s="677"/>
      <c r="J45" s="3167" t="s">
        <v>1553</v>
      </c>
      <c r="K45" s="3167"/>
      <c r="L45" s="3167"/>
      <c r="M45" s="3167"/>
      <c r="N45" s="3167"/>
      <c r="O45" s="3167"/>
    </row>
    <row r="46" spans="1:15" ht="14.25" customHeight="1">
      <c r="A46" s="3089" t="s">
        <v>1554</v>
      </c>
      <c r="B46" s="3090"/>
      <c r="C46" s="3090"/>
      <c r="D46" s="3090"/>
      <c r="E46" s="3090"/>
      <c r="F46" s="3090"/>
      <c r="G46" s="3091"/>
      <c r="H46" s="678"/>
      <c r="I46" s="678"/>
      <c r="J46" s="499">
        <v>1</v>
      </c>
      <c r="K46" s="3148" t="s">
        <v>1555</v>
      </c>
      <c r="L46" s="3148"/>
      <c r="M46" s="3168"/>
      <c r="N46" s="3168"/>
      <c r="O46" s="3168"/>
    </row>
    <row r="47" spans="1:15" ht="12" customHeight="1">
      <c r="A47" s="969" t="s">
        <v>1556</v>
      </c>
      <c r="B47" s="970"/>
      <c r="C47" s="971"/>
      <c r="D47" s="972" t="s">
        <v>1557</v>
      </c>
      <c r="E47" s="879" t="s">
        <v>1558</v>
      </c>
      <c r="F47" s="973" t="s">
        <v>1559</v>
      </c>
      <c r="G47" s="974" t="s">
        <v>1560</v>
      </c>
      <c r="H47" s="975"/>
      <c r="I47" s="678"/>
      <c r="J47" s="499">
        <v>2</v>
      </c>
      <c r="K47" s="3148" t="s">
        <v>1561</v>
      </c>
      <c r="L47" s="3148"/>
      <c r="M47" s="3169">
        <f>'数据-取费表'!B2</f>
        <v>44818</v>
      </c>
      <c r="N47" s="3169"/>
      <c r="O47" s="3169"/>
    </row>
    <row r="48" spans="1:15" ht="25.5">
      <c r="A48" s="3118" t="s">
        <v>1562</v>
      </c>
      <c r="B48" s="3102"/>
      <c r="C48" s="310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48" t="s">
        <v>1564</v>
      </c>
      <c r="L48" s="3148"/>
      <c r="M48" s="3169" t="e">
        <f ca="1">H101</f>
        <v>#REF!</v>
      </c>
      <c r="N48" s="3169"/>
      <c r="O48" s="3169"/>
    </row>
    <row r="49" spans="1:35" ht="25.5" customHeight="1">
      <c r="A49" s="981" t="s">
        <v>1565</v>
      </c>
      <c r="B49" s="3087" t="s">
        <v>1566</v>
      </c>
      <c r="C49" s="3087"/>
      <c r="D49" s="982">
        <v>0</v>
      </c>
      <c r="E49" s="983" t="s">
        <v>1567</v>
      </c>
      <c r="F49" s="984" t="s">
        <v>31</v>
      </c>
      <c r="G49" s="3154"/>
      <c r="H49" s="985" t="s">
        <v>2392</v>
      </c>
      <c r="I49" s="986"/>
      <c r="J49" s="499">
        <v>4</v>
      </c>
      <c r="K49" s="3148" t="str">
        <f>IF(项目基本情况!E8="房地产抵押价值","房地产抵押价值","抵押担保权已注销时的房地产抵押价值")</f>
        <v>抵押担保权已注销时的房地产抵押价值</v>
      </c>
      <c r="L49" s="3148"/>
      <c r="M49" s="3169" t="str">
        <f>IF(项目基本情况!E8="房地产抵押价值",H107,H109)</f>
        <v>——</v>
      </c>
      <c r="N49" s="3169"/>
      <c r="O49" s="3169"/>
    </row>
    <row r="50" spans="1:35" ht="25.5" customHeight="1">
      <c r="A50" s="987"/>
      <c r="B50" s="3087" t="s">
        <v>1568</v>
      </c>
      <c r="C50" s="3087"/>
      <c r="D50" s="988"/>
      <c r="E50" s="989"/>
      <c r="F50" s="984"/>
      <c r="G50" s="3155"/>
      <c r="H50" s="986" t="s">
        <v>2393</v>
      </c>
      <c r="I50" s="986"/>
      <c r="J50" s="3167" t="s">
        <v>1569</v>
      </c>
      <c r="K50" s="3167"/>
      <c r="L50" s="3167"/>
      <c r="M50" s="3167"/>
      <c r="N50" s="3167"/>
      <c r="O50" s="3167"/>
    </row>
    <row r="51" spans="1:35" ht="20.45" customHeight="1">
      <c r="A51" s="990"/>
      <c r="B51" s="3087" t="s">
        <v>1570</v>
      </c>
      <c r="C51" s="3087"/>
      <c r="D51" s="972"/>
      <c r="E51" s="991"/>
      <c r="F51" s="984"/>
      <c r="G51" s="3156"/>
      <c r="H51" s="986" t="s">
        <v>2394</v>
      </c>
      <c r="I51" s="986"/>
      <c r="J51" s="992" t="s">
        <v>1571</v>
      </c>
      <c r="K51" s="3148" t="s">
        <v>1572</v>
      </c>
      <c r="L51" s="3148"/>
      <c r="M51" s="992" t="s">
        <v>1573</v>
      </c>
      <c r="N51" s="992" t="s">
        <v>1574</v>
      </c>
      <c r="O51" s="992" t="s">
        <v>1575</v>
      </c>
    </row>
    <row r="52" spans="1:35" ht="24" customHeight="1">
      <c r="A52" s="993" t="s">
        <v>1576</v>
      </c>
      <c r="B52" s="3087" t="s">
        <v>1577</v>
      </c>
      <c r="C52" s="3087"/>
      <c r="D52" s="972" t="e">
        <f ca="1">ROUND(D45*'数据-取费表'!B41/(1+'数据-取费表'!C42),0)</f>
        <v>#REF!</v>
      </c>
      <c r="E52" s="977" t="s">
        <v>1578</v>
      </c>
      <c r="F52" s="879">
        <f>'数据-取费表'!B41</f>
        <v>0</v>
      </c>
      <c r="G52" s="974"/>
      <c r="H52" s="975"/>
      <c r="I52" s="678"/>
      <c r="J52" s="499">
        <v>1</v>
      </c>
      <c r="K52" s="3149" t="s">
        <v>1579</v>
      </c>
      <c r="L52" s="3149"/>
      <c r="M52" s="994" t="b">
        <f>D48</f>
        <v>0</v>
      </c>
      <c r="N52" s="499" t="str">
        <f>E48</f>
        <v>销售额×税（费）率</v>
      </c>
      <c r="O52" s="995">
        <f>F48</f>
        <v>0</v>
      </c>
    </row>
    <row r="53" spans="1:35" ht="12" customHeight="1">
      <c r="A53" s="993" t="s">
        <v>1580</v>
      </c>
      <c r="B53" s="3097" t="s">
        <v>2553</v>
      </c>
      <c r="C53" s="3112"/>
      <c r="D53" s="972" t="e">
        <f ca="1">ROUND(D45*'数据-取费表'!B41/(1+'数据-取费表'!C42),0)</f>
        <v>#REF!</v>
      </c>
      <c r="E53" s="977" t="s">
        <v>1578</v>
      </c>
      <c r="F53" s="879">
        <f>'数据-取费表'!B41</f>
        <v>0</v>
      </c>
      <c r="G53" s="974"/>
      <c r="H53" s="975"/>
      <c r="I53" s="678"/>
      <c r="J53" s="499">
        <v>2</v>
      </c>
      <c r="K53" s="3149" t="s">
        <v>1581</v>
      </c>
      <c r="L53" s="3149"/>
      <c r="M53" s="994" t="e">
        <f t="shared" ref="M53:O54" ca="1" si="0">D55</f>
        <v>#REF!</v>
      </c>
      <c r="N53" s="499" t="str">
        <f t="shared" si="0"/>
        <v>销售额×税（费）率</v>
      </c>
      <c r="O53" s="995" t="str">
        <f t="shared" si="0"/>
        <v>免征</v>
      </c>
    </row>
    <row r="54" spans="1:35" ht="12" customHeight="1">
      <c r="A54" s="993" t="s">
        <v>1582</v>
      </c>
      <c r="B54" s="3097" t="s">
        <v>2554</v>
      </c>
      <c r="C54" s="3112"/>
      <c r="D54" s="972" t="e">
        <f ca="1">C68</f>
        <v>#REF!</v>
      </c>
      <c r="E54" s="991" t="s">
        <v>1583</v>
      </c>
      <c r="F54" s="879">
        <f>'数据-取费表'!B41</f>
        <v>0</v>
      </c>
      <c r="G54" s="974"/>
      <c r="H54" s="996"/>
      <c r="I54" s="678"/>
      <c r="J54" s="499">
        <v>3</v>
      </c>
      <c r="K54" s="3149" t="s">
        <v>1584</v>
      </c>
      <c r="L54" s="3149"/>
      <c r="M54" s="994" t="e">
        <f t="shared" ca="1" si="0"/>
        <v>#REF!</v>
      </c>
      <c r="N54" s="499" t="str">
        <f t="shared" si="0"/>
        <v>增值额×税（费）率</v>
      </c>
      <c r="O54" s="995" t="str">
        <f t="shared" si="0"/>
        <v>免征</v>
      </c>
    </row>
    <row r="55" spans="1:35" ht="24" customHeight="1">
      <c r="A55" s="3101" t="s">
        <v>1585</v>
      </c>
      <c r="B55" s="3102"/>
      <c r="C55" s="3102"/>
      <c r="D55" s="976" t="e">
        <f ca="1">IF(H55="个人住宅",0,ROUND(D45*I55,0))</f>
        <v>#REF!</v>
      </c>
      <c r="E55" s="977" t="s">
        <v>1586</v>
      </c>
      <c r="F55" s="879" t="str">
        <f>IF(H55="正常",I55,"免征")</f>
        <v>免征</v>
      </c>
      <c r="G55" s="974"/>
      <c r="H55" s="980"/>
      <c r="I55" s="997">
        <f>'数据-取费表'!B49</f>
        <v>0</v>
      </c>
      <c r="J55" s="499">
        <f>IF(H59="非个人房产","",4)</f>
        <v>4</v>
      </c>
      <c r="K55" s="3149" t="str">
        <f>IF(H59="非个人房产","——","个人所得税")</f>
        <v>个人所得税</v>
      </c>
      <c r="L55" s="3149"/>
      <c r="M55" s="998" t="e">
        <f ca="1">D59</f>
        <v>#REF!</v>
      </c>
      <c r="N55" s="999" t="str">
        <f>E59</f>
        <v>差额计税</v>
      </c>
      <c r="O55" s="1000">
        <f>F59</f>
        <v>0.01</v>
      </c>
    </row>
    <row r="56" spans="1:35" ht="24.75">
      <c r="A56" s="3101" t="s">
        <v>1587</v>
      </c>
      <c r="B56" s="3102"/>
      <c r="C56" s="3102"/>
      <c r="D56" s="976" t="e">
        <f ca="1">IF(H56="个人住宅",D57,D58)</f>
        <v>#REF!</v>
      </c>
      <c r="E56" s="977" t="s">
        <v>1588</v>
      </c>
      <c r="F56" s="879" t="str">
        <f>IF(H56="正常",F58,"免征")</f>
        <v>免征</v>
      </c>
      <c r="G56" s="1001" t="s">
        <v>1589</v>
      </c>
      <c r="H56" s="1002"/>
      <c r="I56" s="1003"/>
      <c r="J56" s="499" t="str">
        <f>IF(项目基本情况!K6="上海银行",IF(J55="",4,J55+1),"")</f>
        <v/>
      </c>
      <c r="K56" s="3171" t="str">
        <f>IF(项目基本情况!K6="上海银行","其他处置费用","")</f>
        <v/>
      </c>
      <c r="L56" s="3172"/>
      <c r="M56" s="994" t="str">
        <f>IF(项目基本情况!K6="上海银行",M69,"")</f>
        <v/>
      </c>
      <c r="N56" s="3171" t="str">
        <f>IF(项目基本情况!K6="上海银行","包含处置中涉及的律师、诉讼、拍卖、评估等费用","")</f>
        <v/>
      </c>
      <c r="O56" s="3174"/>
    </row>
    <row r="57" spans="1:35" ht="12.75">
      <c r="A57" s="993" t="s">
        <v>1565</v>
      </c>
      <c r="B57" s="3097" t="s">
        <v>1590</v>
      </c>
      <c r="C57" s="3112"/>
      <c r="D57" s="982">
        <v>0</v>
      </c>
      <c r="E57" s="983" t="s">
        <v>1567</v>
      </c>
      <c r="F57" s="879"/>
      <c r="G57" s="974"/>
      <c r="H57" s="1004"/>
      <c r="I57" s="1003"/>
      <c r="J57" s="3149">
        <f>IF(AND(J55="",J56=""),4,IF(项目基本情况!K6="上海银行",结果表!J56+1,结果表!J55+1))</f>
        <v>5</v>
      </c>
      <c r="K57" s="3149" t="s">
        <v>1591</v>
      </c>
      <c r="L57" s="1005" t="s">
        <v>1592</v>
      </c>
      <c r="M57" s="1006"/>
      <c r="N57" s="1007">
        <f ca="1">SUMIF(M52:M56,"&lt;9e307")</f>
        <v>0</v>
      </c>
      <c r="O57" s="1008"/>
      <c r="P57" s="677" t="e">
        <f ca="1">N57/M49</f>
        <v>#VALUE!</v>
      </c>
    </row>
    <row r="58" spans="1:35" ht="24.75">
      <c r="A58" s="993" t="s">
        <v>1576</v>
      </c>
      <c r="B58" s="3097" t="s">
        <v>1593</v>
      </c>
      <c r="C58" s="3087"/>
      <c r="D58" s="976" t="e">
        <f ca="1">IF(H58="转让取得",C81,C97)</f>
        <v>#REF!</v>
      </c>
      <c r="E58" s="977" t="s">
        <v>1588</v>
      </c>
      <c r="F58" s="879" t="s">
        <v>31</v>
      </c>
      <c r="G58" s="974"/>
      <c r="H58" s="1002"/>
      <c r="I58" s="1003"/>
      <c r="J58" s="3149"/>
      <c r="K58" s="3149"/>
      <c r="L58" s="1005" t="s">
        <v>1594</v>
      </c>
      <c r="M58" s="1009"/>
      <c r="N58" s="1010" t="str">
        <f ca="1">NUMBERSTRING(INT(N57*10000),2)&amp;"元整"</f>
        <v>零元整</v>
      </c>
      <c r="O58" s="1011"/>
    </row>
    <row r="59" spans="1:35" ht="24.75" thickBot="1">
      <c r="A59" s="3152" t="s">
        <v>1595</v>
      </c>
      <c r="B59" s="3153"/>
      <c r="C59" s="315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50">
        <f>J57+1</f>
        <v>6</v>
      </c>
      <c r="K59" s="3149" t="s">
        <v>1596</v>
      </c>
      <c r="L59" s="499" t="s">
        <v>1592</v>
      </c>
      <c r="M59" s="1018"/>
      <c r="N59" s="1019" t="e">
        <f ca="1">M49-N57</f>
        <v>#VALUE!</v>
      </c>
      <c r="O59" s="1020"/>
    </row>
    <row r="60" spans="1:35" ht="12" customHeight="1">
      <c r="A60" s="1021"/>
      <c r="B60" s="865"/>
      <c r="C60" s="865"/>
      <c r="D60" s="865"/>
      <c r="E60" s="1022"/>
      <c r="F60" s="1003"/>
      <c r="G60" s="1003"/>
      <c r="H60" s="1023"/>
      <c r="I60" s="677"/>
      <c r="J60" s="3151"/>
      <c r="K60" s="3149"/>
      <c r="L60" s="1005" t="s">
        <v>1594</v>
      </c>
      <c r="M60" s="1009"/>
      <c r="N60" s="1010" t="e">
        <f ca="1">NUMBERSTRING(INT(N59*10000),2)&amp;"元整"</f>
        <v>#VALUE!</v>
      </c>
      <c r="O60" s="1011"/>
    </row>
    <row r="61" spans="1:35" ht="13.5" thickBot="1">
      <c r="A61" s="3099" t="s">
        <v>1597</v>
      </c>
      <c r="B61" s="3099"/>
      <c r="C61" s="3099"/>
      <c r="D61" s="3099"/>
      <c r="E61" s="3099"/>
      <c r="F61" s="1003"/>
      <c r="G61" s="1003"/>
      <c r="H61" s="1023"/>
      <c r="I61" s="677"/>
      <c r="J61" s="499">
        <f>J59+1</f>
        <v>7</v>
      </c>
      <c r="K61" s="3149" t="s">
        <v>1598</v>
      </c>
      <c r="L61" s="3149"/>
      <c r="M61" s="1024"/>
      <c r="N61" s="1025" t="e">
        <f ca="1">ROUND(N59*10000/'数据-汇总表'!E3,0)</f>
        <v>#VALUE!</v>
      </c>
      <c r="O61" s="1026"/>
    </row>
    <row r="62" spans="1:35" ht="12.75">
      <c r="A62" s="3116" t="s">
        <v>1599</v>
      </c>
      <c r="B62" s="311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7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7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7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7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7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7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7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6" t="s">
        <v>1618</v>
      </c>
      <c r="B70" s="3137"/>
      <c r="C70" s="3137"/>
      <c r="D70" s="3137"/>
      <c r="E70" s="3137"/>
      <c r="F70" s="3137"/>
      <c r="G70" s="3137"/>
      <c r="H70" s="313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16" t="s">
        <v>1599</v>
      </c>
      <c r="B71" s="311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97" t="s">
        <v>1626</v>
      </c>
      <c r="F76" s="3087"/>
      <c r="G76" s="3087"/>
      <c r="H76" s="310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97" t="s">
        <v>1630</v>
      </c>
      <c r="F78" s="3087"/>
      <c r="G78" s="3087"/>
      <c r="H78" s="310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6" t="s">
        <v>1634</v>
      </c>
      <c r="B83" s="3137"/>
      <c r="C83" s="3137"/>
      <c r="D83" s="3137"/>
      <c r="E83" s="3137"/>
      <c r="F83" s="3137"/>
      <c r="G83" s="3137"/>
      <c r="H83" s="313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16" t="s">
        <v>1599</v>
      </c>
      <c r="B84" s="311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75" t="s">
        <v>2387</v>
      </c>
      <c r="H90" s="310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97" t="s">
        <v>1643</v>
      </c>
      <c r="F91" s="3087"/>
      <c r="G91" s="308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97" t="s">
        <v>1646</v>
      </c>
      <c r="F92" s="3087"/>
      <c r="G92" s="3087"/>
      <c r="H92" s="310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97" t="s">
        <v>1630</v>
      </c>
      <c r="F93" s="3087"/>
      <c r="G93" s="3087"/>
      <c r="H93" s="310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07" t="s">
        <v>1650</v>
      </c>
      <c r="F94" s="3108"/>
      <c r="G94" s="3108"/>
      <c r="H94" s="310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1" t="s">
        <v>1652</v>
      </c>
      <c r="B100" s="3082"/>
      <c r="C100" s="3082"/>
      <c r="D100" s="3098"/>
      <c r="E100" s="3082" t="s">
        <v>1653</v>
      </c>
      <c r="F100" s="3082"/>
      <c r="G100" s="3082"/>
      <c r="H100" s="3098"/>
      <c r="I100" s="677"/>
    </row>
    <row r="101" spans="1:35" ht="18.75" customHeight="1">
      <c r="A101" s="3157" t="s">
        <v>1654</v>
      </c>
      <c r="B101" s="3158"/>
      <c r="C101" s="1088">
        <f>C4</f>
        <v>0</v>
      </c>
      <c r="D101" s="1089">
        <f>D4</f>
        <v>0</v>
      </c>
      <c r="E101" s="3170" t="s">
        <v>1655</v>
      </c>
      <c r="F101" s="3129"/>
      <c r="G101" s="1090" t="s">
        <v>1656</v>
      </c>
      <c r="H101" s="1091" t="e">
        <f ca="1">H118</f>
        <v>#REF!</v>
      </c>
      <c r="I101" s="677"/>
    </row>
    <row r="102" spans="1:35" ht="18.75" customHeight="1">
      <c r="A102" s="3131" t="s">
        <v>1657</v>
      </c>
      <c r="B102" s="1092" t="s">
        <v>1656</v>
      </c>
      <c r="C102" s="1088" t="e">
        <f ca="1">C19</f>
        <v>#REF!</v>
      </c>
      <c r="D102" s="1089" t="e">
        <f ca="1">D19</f>
        <v>#REF!</v>
      </c>
      <c r="E102" s="3170"/>
      <c r="F102" s="3129"/>
      <c r="G102" s="1090" t="s">
        <v>1658</v>
      </c>
      <c r="H102" s="974" t="e">
        <f ca="1">I118</f>
        <v>#REF!</v>
      </c>
      <c r="I102" s="677"/>
    </row>
    <row r="103" spans="1:35" ht="42.75" customHeight="1">
      <c r="A103" s="3131"/>
      <c r="B103" s="1092" t="s">
        <v>1658</v>
      </c>
      <c r="C103" s="1093" t="e">
        <f ca="1">C20</f>
        <v>#REF!</v>
      </c>
      <c r="D103" s="1094" t="e">
        <f ca="1">D20</f>
        <v>#REF!</v>
      </c>
      <c r="E103" s="3165" t="s">
        <v>1659</v>
      </c>
      <c r="F103" s="3166"/>
      <c r="G103" s="1095" t="s">
        <v>1660</v>
      </c>
      <c r="H103" s="1091">
        <f>IF(D36="正常操作",H104+H105+H106,H105+H106)</f>
        <v>0</v>
      </c>
      <c r="I103" s="677"/>
    </row>
    <row r="104" spans="1:35" ht="18.75" customHeight="1">
      <c r="A104" s="313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8" t="str">
        <f>IF(项目基本情况!E8="已注销","——","3.房地产抵押价值")</f>
        <v>3.房地产抵押价值</v>
      </c>
      <c r="F107" s="3129"/>
      <c r="G107" s="1090" t="s">
        <v>1656</v>
      </c>
      <c r="H107" s="1091" t="e">
        <f ca="1">IF(E107="——","——",H101-H103)</f>
        <v>#REF!</v>
      </c>
      <c r="I107" s="677"/>
    </row>
    <row r="108" spans="1:35" ht="18.75" customHeight="1">
      <c r="A108" s="677"/>
      <c r="B108" s="677"/>
      <c r="C108" s="677"/>
      <c r="D108" s="677"/>
      <c r="E108" s="3128"/>
      <c r="F108" s="3129"/>
      <c r="G108" s="1090" t="s">
        <v>1658</v>
      </c>
      <c r="H108" s="974" t="e">
        <f ca="1">ROUND(H107*10000/'数据-汇总表'!E3,0)</f>
        <v>#REF!</v>
      </c>
      <c r="I108" s="677"/>
    </row>
    <row r="109" spans="1:35" ht="18.75" customHeight="1">
      <c r="A109" s="677"/>
      <c r="B109" s="677"/>
      <c r="C109" s="677"/>
      <c r="D109" s="677"/>
      <c r="E109" s="3128" t="str">
        <f>IF(项目基本情况!E8="已注销及未注销","4.抵押担保权已注销时的房地产抵押价值",IF(项目基本情况!E8="已注销","3.抵押担保权已注销时的房地产抵押价值","——"))</f>
        <v>——</v>
      </c>
      <c r="F109" s="3129"/>
      <c r="G109" s="1090" t="s">
        <v>1656</v>
      </c>
      <c r="H109" s="1105" t="str">
        <f>IF(E109="——","——",H101-H105-H106)</f>
        <v>——</v>
      </c>
      <c r="I109" s="677"/>
    </row>
    <row r="110" spans="1:35" ht="18.75" customHeight="1">
      <c r="A110" s="677"/>
      <c r="B110" s="677"/>
      <c r="C110" s="677"/>
      <c r="D110" s="677"/>
      <c r="E110" s="3128"/>
      <c r="F110" s="3129"/>
      <c r="G110" s="1090" t="s">
        <v>1658</v>
      </c>
      <c r="H110" s="974" t="str">
        <f>IF(H109="——","——",ROUND(H109*10000/'数据-汇总表'!E3,0))</f>
        <v>——</v>
      </c>
      <c r="I110" s="677"/>
    </row>
    <row r="111" spans="1:35" ht="18.75" customHeight="1">
      <c r="A111" s="677"/>
      <c r="B111" s="677"/>
      <c r="C111" s="677"/>
      <c r="D111" s="677"/>
      <c r="E111" s="3159" t="str">
        <f>IF(项目基本情况!E9="抵押净值",IF(OR(项目基本情况!E8="已注销",项目基本情况!E8="房地产抵押价值"),"4.抵押净值","5.抵押净值"),"——")</f>
        <v>——</v>
      </c>
      <c r="F111" s="3130"/>
      <c r="G111" s="1090" t="s">
        <v>1656</v>
      </c>
      <c r="H111" s="1091" t="str">
        <f>IF(E111="——","——",N59)</f>
        <v>——</v>
      </c>
      <c r="I111" s="677"/>
    </row>
    <row r="112" spans="1:35" ht="18.75" customHeight="1" thickBot="1">
      <c r="A112" s="677"/>
      <c r="B112" s="677"/>
      <c r="C112" s="677"/>
      <c r="D112" s="677"/>
      <c r="E112" s="3160"/>
      <c r="F112" s="3161"/>
      <c r="G112" s="1106" t="s">
        <v>1658</v>
      </c>
      <c r="H112" s="1107" t="str">
        <f>IF(E111="——","——",N61)</f>
        <v>——</v>
      </c>
      <c r="I112" s="677"/>
    </row>
    <row r="113" spans="1:27" ht="18.75" customHeight="1">
      <c r="A113" s="677"/>
      <c r="B113" s="677"/>
      <c r="C113" s="677"/>
      <c r="D113" s="677"/>
      <c r="E113" s="3133" t="s">
        <v>1664</v>
      </c>
      <c r="F113" s="3133"/>
      <c r="G113" s="3133"/>
      <c r="H113" s="3133"/>
      <c r="I113" s="677"/>
    </row>
    <row r="114" spans="1:27" ht="3.75" customHeight="1">
      <c r="A114" s="865"/>
      <c r="B114" s="865"/>
      <c r="C114" s="865"/>
      <c r="D114" s="865"/>
      <c r="E114" s="1021"/>
      <c r="F114" s="1021"/>
      <c r="G114" s="1021"/>
      <c r="H114" s="1021"/>
      <c r="I114" s="865"/>
    </row>
    <row r="115" spans="1:27" ht="18.75" customHeight="1">
      <c r="A115" s="3142" t="s">
        <v>1666</v>
      </c>
      <c r="B115" s="3143"/>
      <c r="C115" s="3143"/>
      <c r="D115" s="3143"/>
      <c r="E115" s="3143"/>
      <c r="F115" s="3143"/>
      <c r="G115" s="3143"/>
      <c r="H115" s="3143"/>
      <c r="I115" s="3144"/>
    </row>
    <row r="116" spans="1:27" ht="27" customHeight="1">
      <c r="A116" s="3100" t="s">
        <v>1667</v>
      </c>
      <c r="B116" s="3134" t="s">
        <v>1668</v>
      </c>
      <c r="C116" s="3134" t="s">
        <v>1669</v>
      </c>
      <c r="D116" s="3146" t="s">
        <v>1670</v>
      </c>
      <c r="E116" s="3147"/>
      <c r="F116" s="3141" t="s">
        <v>1671</v>
      </c>
      <c r="G116" s="3141"/>
      <c r="H116" s="3100" t="s">
        <v>1672</v>
      </c>
      <c r="I116" s="3100"/>
    </row>
    <row r="117" spans="1:27" ht="18.75" customHeight="1">
      <c r="A117" s="3100"/>
      <c r="B117" s="3135"/>
      <c r="C117" s="313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0" t="s">
        <v>1676</v>
      </c>
      <c r="B119" s="3100"/>
      <c r="C119" s="3100"/>
      <c r="D119" s="3138" t="e">
        <f ca="1">NUMBERSTRING(INT(D118*10000),2)&amp;"元整"</f>
        <v>#REF!</v>
      </c>
      <c r="E119" s="3140"/>
      <c r="F119" s="3138" t="e">
        <f ca="1">NUMBERSTRING(INT(F118*10000),2)&amp;"元整"</f>
        <v>#REF!</v>
      </c>
      <c r="G119" s="3140"/>
      <c r="H119" s="3138" t="e">
        <f ca="1">NUMBERSTRING(INT(H118*10000),2)&amp;"元整"</f>
        <v>#REF!</v>
      </c>
      <c r="I119" s="3140"/>
    </row>
    <row r="120" spans="1:27" ht="18.75" customHeight="1">
      <c r="A120" s="3162" t="str">
        <f>IF(项目基本情况!B9="房地产市场价值","",MID(E103,3,LEN(E103)-2))</f>
        <v>估价师知悉的法定优先受偿款</v>
      </c>
      <c r="B120" s="3163"/>
      <c r="C120" s="3164"/>
      <c r="D120" s="3162">
        <f>H103</f>
        <v>0</v>
      </c>
      <c r="E120" s="3163"/>
      <c r="F120" s="3163"/>
      <c r="G120" s="3163"/>
      <c r="H120" s="3163"/>
      <c r="I120" s="316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38" t="s">
        <v>1676</v>
      </c>
      <c r="B121" s="3139"/>
      <c r="C121" s="3140"/>
      <c r="D121" s="3138" t="str">
        <f>IF(D120=0,"零元整",NUMBERSTRING(INT(D120*10000),2)&amp;"元整")</f>
        <v>零元整</v>
      </c>
      <c r="E121" s="3139"/>
      <c r="F121" s="3139"/>
      <c r="G121" s="3139"/>
      <c r="H121" s="3139"/>
      <c r="I121" s="3140"/>
      <c r="AA121" s="590"/>
    </row>
    <row r="122" spans="1:27" ht="18.75" customHeight="1">
      <c r="A122" s="3130" t="str">
        <f>IF(项目基本情况!B9="房地产市场价值","",MID(E107,3,LEN(E107)-2))</f>
        <v>房地产抵押价值</v>
      </c>
      <c r="B122" s="3130"/>
      <c r="C122" s="3130"/>
      <c r="D122" s="3162" t="e">
        <f ca="1">H107</f>
        <v>#REF!</v>
      </c>
      <c r="E122" s="3163"/>
      <c r="F122" s="3163"/>
      <c r="G122" s="3163"/>
      <c r="H122" s="3163"/>
      <c r="I122" s="3164"/>
      <c r="AA122" s="590"/>
    </row>
    <row r="123" spans="1:27" ht="18.75" customHeight="1">
      <c r="A123" s="3100" t="s">
        <v>1676</v>
      </c>
      <c r="B123" s="3100"/>
      <c r="C123" s="3100"/>
      <c r="D123" s="3138" t="e">
        <f ca="1">NUMBERSTRING(INT(D122*10000),2)&amp;"元整"</f>
        <v>#REF!</v>
      </c>
      <c r="E123" s="3139"/>
      <c r="F123" s="3139"/>
      <c r="G123" s="3139"/>
      <c r="H123" s="3139"/>
      <c r="I123" s="3140"/>
      <c r="AA123" s="590"/>
    </row>
    <row r="124" spans="1:27" ht="18.75" customHeight="1">
      <c r="A124" s="3130" t="str">
        <f>IF(项目基本情况!B9="房地产市场价值","",MID(E109,3,LEN(E109)-2))</f>
        <v/>
      </c>
      <c r="B124" s="3130"/>
      <c r="C124" s="3130"/>
      <c r="D124" s="3162" t="str">
        <f>H109</f>
        <v>——</v>
      </c>
      <c r="E124" s="3163"/>
      <c r="F124" s="3163"/>
      <c r="G124" s="3163"/>
      <c r="H124" s="3163"/>
      <c r="I124" s="3164"/>
      <c r="AA124" s="590"/>
    </row>
    <row r="125" spans="1:27" ht="18.75" customHeight="1">
      <c r="A125" s="3100" t="s">
        <v>1676</v>
      </c>
      <c r="B125" s="3100"/>
      <c r="C125" s="3100"/>
      <c r="D125" s="3138" t="e">
        <f>NUMBERSTRING(INT(D124*10000),2)&amp;"元整"</f>
        <v>#VALUE!</v>
      </c>
      <c r="E125" s="3139"/>
      <c r="F125" s="3139"/>
      <c r="G125" s="3139"/>
      <c r="H125" s="3139"/>
      <c r="I125" s="3140"/>
      <c r="AA125" s="590"/>
    </row>
    <row r="126" spans="1:27" ht="18.75" customHeight="1">
      <c r="A126" s="3130" t="str">
        <f>IF(项目基本情况!B9="房地产市场价值","",MID(E111,3,LEN(E111)-2))</f>
        <v/>
      </c>
      <c r="B126" s="3130"/>
      <c r="C126" s="3130"/>
      <c r="D126" s="3162" t="str">
        <f>H111</f>
        <v>——</v>
      </c>
      <c r="E126" s="3163"/>
      <c r="F126" s="3163"/>
      <c r="G126" s="3163"/>
      <c r="H126" s="3163"/>
      <c r="I126" s="3164"/>
      <c r="AA126" s="590"/>
    </row>
    <row r="127" spans="1:27" ht="18.75" customHeight="1">
      <c r="A127" s="3100" t="s">
        <v>1676</v>
      </c>
      <c r="B127" s="3100"/>
      <c r="C127" s="3100"/>
      <c r="D127" s="3138" t="e">
        <f>NUMBERSTRING(INT(D126*10000),2)&amp;"元整"</f>
        <v>#VALUE!</v>
      </c>
      <c r="E127" s="3139"/>
      <c r="F127" s="3139"/>
      <c r="G127" s="3139"/>
      <c r="H127" s="3139"/>
      <c r="I127" s="3140"/>
      <c r="AA127" s="590"/>
    </row>
    <row r="128" spans="1:27" ht="21.75" customHeight="1">
      <c r="A128" s="3145" t="s">
        <v>1677</v>
      </c>
      <c r="B128" s="3145"/>
      <c r="C128" s="3145"/>
      <c r="D128" s="3145"/>
      <c r="E128" s="3145"/>
      <c r="F128" s="3145"/>
      <c r="G128" s="3145"/>
      <c r="H128" s="3145"/>
      <c r="I128" s="314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6" t="s">
        <v>1768</v>
      </c>
    </row>
    <row r="43" spans="1:7" ht="13.5" customHeight="1">
      <c r="A43" s="1179" t="s">
        <v>555</v>
      </c>
      <c r="B43" s="1155" t="s">
        <v>1769</v>
      </c>
      <c r="C43" s="1180" t="e">
        <f ca="1">ROUND(IF('数据-取费表'!B22&lt;=1,C39*F22*'数据-取费表'!B21/2,C39*(POWER((1+F22),'数据-取费表'!B21/2)-1)),0)</f>
        <v>#VALUE!</v>
      </c>
      <c r="D43" s="1180"/>
      <c r="E43" s="1180"/>
      <c r="F43" s="1181"/>
      <c r="G43" s="3177"/>
    </row>
    <row r="44" spans="1:7" ht="13.5" customHeight="1">
      <c r="A44" s="1179" t="s">
        <v>556</v>
      </c>
      <c r="B44" s="1155" t="s">
        <v>1770</v>
      </c>
      <c r="C44" s="1180" t="e">
        <f ca="1">ROUND(IF('数据-取费表'!B22&lt;=1,C40*F22*'数据-取费表'!B21/2,C40*(POWER((1+F22),'数据-取费表'!B21/2)-1)),4)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6" t="s">
        <v>1815</v>
      </c>
    </row>
    <row r="43" spans="1:7" ht="13.5" customHeight="1">
      <c r="A43" s="1179" t="s">
        <v>555</v>
      </c>
      <c r="B43" s="1155" t="s">
        <v>1769</v>
      </c>
      <c r="C43" s="1180" t="e">
        <f ca="1">ROUND(IF('数据-取费表'!B22&lt;=1,C39*F22*'数据-取费表'!B20/2,C39*(POWER((1+F22),'数据-取费表'!B20/2)-1)),0)</f>
        <v>#VALUE!</v>
      </c>
      <c r="D43" s="1180"/>
      <c r="E43" s="1180"/>
      <c r="F43" s="1181"/>
      <c r="G43" s="3177"/>
    </row>
    <row r="44" spans="1:7" ht="13.5" customHeight="1">
      <c r="A44" s="1179" t="s">
        <v>556</v>
      </c>
      <c r="B44" s="1155" t="s">
        <v>1770</v>
      </c>
      <c r="C44" s="1180" t="e">
        <f ca="1">ROUND(IF('数据-取费表'!B22&lt;=1,C40*F22*'数据-取费表'!B20/2,C40*(POWER((1+F22),'数据-取费表'!B20/2)-1)),4)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00" t="str">
        <f>项目基本情况!B1</f>
        <v>北京市预评估</v>
      </c>
      <c r="C37" s="3000"/>
      <c r="D37" s="3000"/>
      <c r="E37" s="3000"/>
      <c r="F37" s="3000"/>
      <c r="G37" s="3000"/>
      <c r="H37" s="3000"/>
      <c r="I37" s="300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1" t="s">
        <v>907</v>
      </c>
      <c r="C6" s="1329">
        <f ca="1">ROUND(F6*F8*F7*(1-F9)/10000,0)</f>
        <v>0</v>
      </c>
      <c r="D6" s="965" t="s">
        <v>2367</v>
      </c>
      <c r="E6" s="879" t="s">
        <v>909</v>
      </c>
      <c r="F6" s="1330">
        <f ca="1">INDIRECT("'数据-取费表'!u"&amp;$G$1)</f>
        <v>0</v>
      </c>
      <c r="G6" s="1312"/>
      <c r="H6" s="1328" t="s">
        <v>615</v>
      </c>
      <c r="I6" s="3181" t="s">
        <v>907</v>
      </c>
      <c r="J6" s="1331">
        <f ca="1">ROUND(M6*M8*M7*(1-M9)/10000,0)</f>
        <v>0</v>
      </c>
      <c r="K6" s="965" t="s">
        <v>2366</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1" t="s">
        <v>907</v>
      </c>
      <c r="C6" s="1329">
        <f ca="1">ROUND(F6*F8*F7*(1-F9),0)</f>
        <v>0</v>
      </c>
      <c r="D6" s="965" t="s">
        <v>2364</v>
      </c>
      <c r="E6" s="879" t="s">
        <v>909</v>
      </c>
      <c r="F6" s="1330">
        <f ca="1">INDIRECT("'数据-取费表'!u"&amp;$G$1)</f>
        <v>0</v>
      </c>
      <c r="G6" s="1312"/>
      <c r="H6" s="1328" t="s">
        <v>615</v>
      </c>
      <c r="I6" s="3181" t="s">
        <v>907</v>
      </c>
      <c r="J6" s="1331">
        <f ca="1">ROUND(M6*M8*M7*(1-M9),0)</f>
        <v>0</v>
      </c>
      <c r="K6" s="1538" t="s">
        <v>2365</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90" t="s">
        <v>2583</v>
      </c>
      <c r="K2" s="319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92" t="s">
        <v>2593</v>
      </c>
      <c r="K3" s="319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92" t="s">
        <v>2595</v>
      </c>
      <c r="K4" s="319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98" t="s">
        <v>2599</v>
      </c>
      <c r="B6" s="3199"/>
      <c r="C6" s="3200"/>
      <c r="D6" s="1582"/>
      <c r="E6" s="1583"/>
      <c r="F6" s="1584"/>
      <c r="G6" s="1585"/>
      <c r="H6" s="1560"/>
      <c r="I6" s="1561"/>
      <c r="J6" s="3184">
        <v>1</v>
      </c>
      <c r="K6" s="318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4"/>
      <c r="K7" s="318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201" t="s">
        <v>2613</v>
      </c>
      <c r="C8" s="3202"/>
      <c r="D8" s="1598" t="s">
        <v>2614</v>
      </c>
      <c r="E8" s="1598" t="s">
        <v>2615</v>
      </c>
      <c r="F8" s="1599" t="s">
        <v>2616</v>
      </c>
      <c r="G8" s="1593"/>
      <c r="H8" s="1560"/>
      <c r="I8" s="1561"/>
      <c r="J8" s="3184"/>
      <c r="K8" s="318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201" t="s">
        <v>2619</v>
      </c>
      <c r="C9" s="3202"/>
      <c r="D9" s="1598">
        <f>ROUND(D6*E9,0)</f>
        <v>0</v>
      </c>
      <c r="E9" s="1562"/>
      <c r="F9" s="1600" t="s">
        <v>2620</v>
      </c>
      <c r="G9" s="1585"/>
      <c r="H9" s="1560"/>
      <c r="I9" s="1561"/>
      <c r="J9" s="3184"/>
      <c r="K9" s="3186"/>
      <c r="L9" s="1594" t="s">
        <v>2621</v>
      </c>
      <c r="M9" s="1595"/>
      <c r="N9" s="1572"/>
      <c r="O9" s="1572"/>
      <c r="P9" s="1572"/>
      <c r="Q9" s="1572">
        <v>365</v>
      </c>
      <c r="R9" s="1596">
        <f t="shared" si="0"/>
        <v>0</v>
      </c>
      <c r="S9" s="1554"/>
      <c r="T9" s="1554"/>
      <c r="U9" s="1554"/>
      <c r="V9" s="1561"/>
    </row>
    <row r="10" spans="1:22" s="1565" customFormat="1" ht="13.15" customHeight="1">
      <c r="A10" s="1597">
        <v>2</v>
      </c>
      <c r="B10" s="3201" t="s">
        <v>2622</v>
      </c>
      <c r="C10" s="3202"/>
      <c r="D10" s="1598">
        <f>ROUND(D6*E10,0)</f>
        <v>0</v>
      </c>
      <c r="E10" s="1562"/>
      <c r="F10" s="1600" t="s">
        <v>2623</v>
      </c>
      <c r="G10" s="1585"/>
      <c r="H10" s="1560"/>
      <c r="I10" s="1561"/>
      <c r="J10" s="3184"/>
      <c r="K10" s="3186"/>
      <c r="L10" s="1594" t="s">
        <v>2624</v>
      </c>
      <c r="M10" s="1595"/>
      <c r="N10" s="1572"/>
      <c r="O10" s="1572"/>
      <c r="P10" s="1572"/>
      <c r="Q10" s="1572">
        <v>365</v>
      </c>
      <c r="R10" s="1596">
        <f t="shared" si="0"/>
        <v>0</v>
      </c>
      <c r="S10" s="1554"/>
      <c r="T10" s="1554"/>
      <c r="U10" s="1554"/>
      <c r="V10" s="1561"/>
    </row>
    <row r="11" spans="1:22" s="1565" customFormat="1" ht="13.15" customHeight="1">
      <c r="A11" s="1597">
        <v>3</v>
      </c>
      <c r="B11" s="3201" t="s">
        <v>2625</v>
      </c>
      <c r="C11" s="3202"/>
      <c r="D11" s="1598">
        <f>D12+D14+D15+D16</f>
        <v>0</v>
      </c>
      <c r="E11" s="1598" t="e">
        <f>D11/D6</f>
        <v>#DIV/0!</v>
      </c>
      <c r="F11" s="1599"/>
      <c r="G11" s="1593"/>
      <c r="H11" s="1560"/>
      <c r="I11" s="1561"/>
      <c r="J11" s="3184"/>
      <c r="K11" s="318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4" t="s">
        <v>2628</v>
      </c>
      <c r="C12" s="3195"/>
      <c r="D12" s="1602">
        <f>ROUND(D13*1.2%*(1-30%),0)</f>
        <v>0</v>
      </c>
      <c r="E12" s="1602">
        <v>1.2E-2</v>
      </c>
      <c r="F12" s="1599" t="s">
        <v>2629</v>
      </c>
      <c r="G12" s="1593"/>
      <c r="H12" s="1560"/>
      <c r="I12" s="1561"/>
      <c r="J12" s="3184"/>
      <c r="K12" s="318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4"/>
      <c r="K13" s="318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4" t="s">
        <v>2634</v>
      </c>
      <c r="C14" s="3195"/>
      <c r="D14" s="1602">
        <f>ROUND(E14*B5/10000,0)</f>
        <v>0</v>
      </c>
      <c r="E14" s="1572"/>
      <c r="F14" s="1599" t="s">
        <v>2635</v>
      </c>
      <c r="G14" s="1593"/>
      <c r="H14" s="1560"/>
      <c r="I14" s="1561"/>
      <c r="J14" s="3184"/>
      <c r="K14" s="318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4" t="s">
        <v>2638</v>
      </c>
      <c r="C15" s="3195"/>
      <c r="D15" s="1602">
        <f>ROUND(D6*E15,0)</f>
        <v>0</v>
      </c>
      <c r="E15" s="1602">
        <v>5.5E-2</v>
      </c>
      <c r="F15" s="1599" t="s">
        <v>2639</v>
      </c>
      <c r="G15" s="1585"/>
      <c r="H15" s="1560"/>
      <c r="I15" s="1561"/>
      <c r="J15" s="3184">
        <v>2</v>
      </c>
      <c r="K15" s="318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4" t="s">
        <v>2647</v>
      </c>
      <c r="C16" s="3195"/>
      <c r="D16" s="1572">
        <f>D6*E16</f>
        <v>0</v>
      </c>
      <c r="E16" s="1572"/>
      <c r="F16" s="1600" t="s">
        <v>2648</v>
      </c>
      <c r="G16" s="1585"/>
      <c r="H16" s="1560"/>
      <c r="I16" s="1561"/>
      <c r="J16" s="3184"/>
      <c r="K16" s="318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6" t="s">
        <v>2650</v>
      </c>
      <c r="C17" s="3197"/>
      <c r="D17" s="1610">
        <f>ROUND(D6*E17,0)</f>
        <v>0</v>
      </c>
      <c r="E17" s="1611"/>
      <c r="F17" s="1612" t="s">
        <v>2651</v>
      </c>
      <c r="G17" s="1585"/>
      <c r="H17" s="1560"/>
      <c r="I17" s="1561"/>
      <c r="J17" s="3184"/>
      <c r="K17" s="318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4"/>
      <c r="K18" s="318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4"/>
      <c r="K19" s="318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4">
        <v>3</v>
      </c>
      <c r="K20" s="318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4"/>
      <c r="K21" s="318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4"/>
      <c r="K22" s="318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4"/>
      <c r="K23" s="318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4"/>
      <c r="K24" s="318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8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90" t="s">
        <v>2583</v>
      </c>
      <c r="K32" s="319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92" t="s">
        <v>2593</v>
      </c>
      <c r="K33" s="319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92" t="s">
        <v>2595</v>
      </c>
      <c r="K34" s="319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4">
        <v>1</v>
      </c>
      <c r="K36" s="318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4"/>
      <c r="K37" s="318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4"/>
      <c r="K38" s="318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4"/>
      <c r="K39" s="318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4"/>
      <c r="K40" s="318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8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3" t="s">
        <v>1881</v>
      </c>
      <c r="C5" s="320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3" t="s">
        <v>1895</v>
      </c>
      <c r="D4" s="3224"/>
      <c r="E4" s="3225" t="s">
        <v>1896</v>
      </c>
      <c r="F4" s="3226"/>
      <c r="G4" s="3223" t="s">
        <v>1897</v>
      </c>
      <c r="H4" s="3224"/>
      <c r="I4" s="3223" t="s">
        <v>1898</v>
      </c>
      <c r="J4" s="3224"/>
      <c r="K4" s="1740" t="s">
        <v>1899</v>
      </c>
      <c r="L4" s="1741"/>
      <c r="M4" s="1742"/>
      <c r="N4" s="1742"/>
      <c r="O4" s="1742"/>
      <c r="P4" s="3227" t="s">
        <v>1900</v>
      </c>
      <c r="Q4" s="3228"/>
      <c r="R4" s="3233" t="s">
        <v>1896</v>
      </c>
      <c r="S4" s="3234"/>
      <c r="T4" s="3233" t="s">
        <v>1897</v>
      </c>
      <c r="U4" s="3234"/>
      <c r="V4" s="3209" t="s">
        <v>1898</v>
      </c>
      <c r="W4" s="3209"/>
      <c r="X4" s="1743"/>
      <c r="Y4" s="3233" t="s">
        <v>1900</v>
      </c>
      <c r="Z4" s="3234"/>
      <c r="AA4" s="3220" t="s">
        <v>1896</v>
      </c>
      <c r="AB4" s="3220" t="s">
        <v>1897</v>
      </c>
      <c r="AC4" s="3220" t="s">
        <v>1898</v>
      </c>
    </row>
    <row r="5" spans="1:29" ht="15">
      <c r="A5" s="1745"/>
      <c r="B5" s="1746"/>
      <c r="C5" s="3241" t="s">
        <v>1901</v>
      </c>
      <c r="D5" s="3242"/>
      <c r="E5" s="3248" t="s">
        <v>1902</v>
      </c>
      <c r="F5" s="3249"/>
      <c r="G5" s="3241" t="s">
        <v>1903</v>
      </c>
      <c r="H5" s="3242"/>
      <c r="I5" s="3241" t="s">
        <v>1904</v>
      </c>
      <c r="J5" s="3242"/>
      <c r="K5" s="1747"/>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1747"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44818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43" t="s">
        <v>1908</v>
      </c>
      <c r="Q7" s="3245"/>
      <c r="R7" s="463" t="s">
        <v>20</v>
      </c>
      <c r="S7" s="1758">
        <f t="shared" ref="S7:S15" si="0">F7</f>
        <v>0</v>
      </c>
      <c r="T7" s="463" t="s">
        <v>20</v>
      </c>
      <c r="U7" s="1758">
        <f t="shared" ref="U7:U15" si="1">H7</f>
        <v>0</v>
      </c>
      <c r="V7" s="463" t="s">
        <v>20</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43" t="s">
        <v>1911</v>
      </c>
      <c r="Q8" s="3244"/>
      <c r="R8" s="463" t="s">
        <v>20</v>
      </c>
      <c r="S8" s="1758">
        <f t="shared" si="0"/>
        <v>0</v>
      </c>
      <c r="T8" s="463" t="s">
        <v>20</v>
      </c>
      <c r="U8" s="1758">
        <f t="shared" si="1"/>
        <v>0</v>
      </c>
      <c r="V8" s="463" t="s">
        <v>20</v>
      </c>
      <c r="W8" s="1758">
        <f t="shared" si="2"/>
        <v>0</v>
      </c>
      <c r="X8" s="1759"/>
      <c r="Y8" s="3243" t="s">
        <v>1911</v>
      </c>
      <c r="Z8" s="324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9"/>
      <c r="Q11" s="1769" t="str">
        <f t="shared" si="6"/>
        <v>容积率</v>
      </c>
      <c r="R11" s="463" t="s">
        <v>18</v>
      </c>
      <c r="S11" s="1758" t="e">
        <f t="shared" si="0"/>
        <v>#N/A</v>
      </c>
      <c r="T11" s="463" t="s">
        <v>18</v>
      </c>
      <c r="U11" s="1758" t="e">
        <f t="shared" si="1"/>
        <v>#N/A</v>
      </c>
      <c r="V11" s="463" t="s">
        <v>18</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9"/>
      <c r="Q12" s="1769">
        <f t="shared" si="6"/>
        <v>111</v>
      </c>
      <c r="R12" s="463" t="s">
        <v>18</v>
      </c>
      <c r="S12" s="1758">
        <f t="shared" si="0"/>
        <v>100</v>
      </c>
      <c r="T12" s="463" t="s">
        <v>18</v>
      </c>
      <c r="U12" s="1758">
        <f t="shared" si="1"/>
        <v>100</v>
      </c>
      <c r="V12" s="463" t="s">
        <v>18</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9"/>
      <c r="Q13" s="1769">
        <f t="shared" si="6"/>
        <v>111</v>
      </c>
      <c r="R13" s="463" t="s">
        <v>18</v>
      </c>
      <c r="S13" s="1758">
        <f t="shared" si="0"/>
        <v>100</v>
      </c>
      <c r="T13" s="463" t="s">
        <v>18</v>
      </c>
      <c r="U13" s="1758">
        <f t="shared" si="1"/>
        <v>100</v>
      </c>
      <c r="V13" s="463" t="s">
        <v>18</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9"/>
      <c r="Q14" s="1769">
        <f t="shared" si="6"/>
        <v>111</v>
      </c>
      <c r="R14" s="463" t="s">
        <v>18</v>
      </c>
      <c r="S14" s="1758">
        <f t="shared" si="0"/>
        <v>100</v>
      </c>
      <c r="T14" s="463" t="s">
        <v>18</v>
      </c>
      <c r="U14" s="1758">
        <f t="shared" si="1"/>
        <v>100</v>
      </c>
      <c r="V14" s="463" t="s">
        <v>18</v>
      </c>
      <c r="W14" s="1758">
        <f t="shared" si="2"/>
        <v>100</v>
      </c>
      <c r="X14" s="1759"/>
      <c r="Y14" s="308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17" t="s">
        <v>1919</v>
      </c>
      <c r="Q15" s="1803" t="str">
        <f t="shared" si="6"/>
        <v>居住社区成熟度</v>
      </c>
      <c r="R15" s="1804" t="s">
        <v>18</v>
      </c>
      <c r="S15" s="1805">
        <f t="shared" si="0"/>
        <v>100</v>
      </c>
      <c r="T15" s="1804" t="s">
        <v>18</v>
      </c>
      <c r="U15" s="1805">
        <f t="shared" si="1"/>
        <v>100</v>
      </c>
      <c r="V15" s="1804" t="s">
        <v>18</v>
      </c>
      <c r="W15" s="1805">
        <f t="shared" si="2"/>
        <v>100</v>
      </c>
      <c r="X15" s="1743"/>
      <c r="Y15" s="321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18"/>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18"/>
      <c r="Q17" s="1803" t="str">
        <f>B17</f>
        <v>交通便捷度</v>
      </c>
      <c r="R17" s="1804" t="s">
        <v>18</v>
      </c>
      <c r="S17" s="1805">
        <f>F17</f>
        <v>100</v>
      </c>
      <c r="T17" s="1804" t="s">
        <v>18</v>
      </c>
      <c r="U17" s="1805">
        <f>H17</f>
        <v>100</v>
      </c>
      <c r="V17" s="1804" t="s">
        <v>18</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18"/>
      <c r="Q18" s="1803"/>
      <c r="R18" s="1804"/>
      <c r="S18" s="1805"/>
      <c r="T18" s="1804"/>
      <c r="U18" s="1805"/>
      <c r="V18" s="1804"/>
      <c r="W18" s="1805"/>
      <c r="X18" s="1743"/>
      <c r="Y18" s="321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18"/>
      <c r="Q19" s="1803" t="str">
        <f>B19</f>
        <v>公共配套设施</v>
      </c>
      <c r="R19" s="1804" t="s">
        <v>18</v>
      </c>
      <c r="S19" s="1805">
        <f>F19</f>
        <v>100</v>
      </c>
      <c r="T19" s="1804" t="s">
        <v>18</v>
      </c>
      <c r="U19" s="1805">
        <f>H19</f>
        <v>100</v>
      </c>
      <c r="V19" s="1804" t="s">
        <v>18</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18"/>
      <c r="Q20" s="1803"/>
      <c r="R20" s="1804"/>
      <c r="S20" s="1805"/>
      <c r="T20" s="1804"/>
      <c r="U20" s="1805"/>
      <c r="V20" s="1804"/>
      <c r="W20" s="1805"/>
      <c r="X20" s="1743"/>
      <c r="Y20" s="321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18"/>
      <c r="Q22" s="1803"/>
      <c r="R22" s="1804"/>
      <c r="S22" s="1805"/>
      <c r="T22" s="1804"/>
      <c r="U22" s="1805"/>
      <c r="V22" s="1804"/>
      <c r="W22" s="1805"/>
      <c r="X22" s="1743"/>
      <c r="Y22" s="321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18"/>
      <c r="Q23" s="1803" t="str">
        <f>B23</f>
        <v>自然及人文环境</v>
      </c>
      <c r="R23" s="1804" t="s">
        <v>18</v>
      </c>
      <c r="S23" s="1805">
        <f>F23</f>
        <v>100</v>
      </c>
      <c r="T23" s="1804" t="s">
        <v>18</v>
      </c>
      <c r="U23" s="1805">
        <f>H23</f>
        <v>100</v>
      </c>
      <c r="V23" s="1804" t="s">
        <v>18</v>
      </c>
      <c r="W23" s="1805">
        <f>J23</f>
        <v>100</v>
      </c>
      <c r="X23" s="1743"/>
      <c r="Y23" s="321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18"/>
      <c r="Q24" s="1803"/>
      <c r="R24" s="1804"/>
      <c r="S24" s="1805"/>
      <c r="T24" s="1804"/>
      <c r="U24" s="1805"/>
      <c r="V24" s="1804"/>
      <c r="W24" s="1805"/>
      <c r="X24" s="1743"/>
      <c r="Y24" s="321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1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1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18"/>
      <c r="Q26" s="1803" t="str">
        <f t="shared" si="11"/>
        <v>朝向</v>
      </c>
      <c r="R26" s="1804" t="s">
        <v>18</v>
      </c>
      <c r="S26" s="1805">
        <f t="shared" si="12"/>
        <v>100</v>
      </c>
      <c r="T26" s="1804" t="s">
        <v>18</v>
      </c>
      <c r="U26" s="1805">
        <f t="shared" si="13"/>
        <v>100</v>
      </c>
      <c r="V26" s="1804" t="s">
        <v>18</v>
      </c>
      <c r="W26" s="1805">
        <f t="shared" si="14"/>
        <v>100</v>
      </c>
      <c r="X26" s="1743"/>
      <c r="Y26" s="321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18"/>
      <c r="Q27" s="1769">
        <f t="shared" si="11"/>
        <v>111</v>
      </c>
      <c r="R27" s="463" t="s">
        <v>18</v>
      </c>
      <c r="S27" s="1758">
        <f t="shared" si="12"/>
        <v>100</v>
      </c>
      <c r="T27" s="463" t="s">
        <v>18</v>
      </c>
      <c r="U27" s="1758">
        <f t="shared" si="13"/>
        <v>100</v>
      </c>
      <c r="V27" s="463" t="s">
        <v>18</v>
      </c>
      <c r="W27" s="1758">
        <f t="shared" si="14"/>
        <v>100</v>
      </c>
      <c r="X27" s="1759"/>
      <c r="Y27" s="321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18"/>
      <c r="Q28" s="1803">
        <f t="shared" si="11"/>
        <v>111</v>
      </c>
      <c r="R28" s="1804" t="s">
        <v>18</v>
      </c>
      <c r="S28" s="1805">
        <f t="shared" si="12"/>
        <v>100</v>
      </c>
      <c r="T28" s="1804" t="s">
        <v>18</v>
      </c>
      <c r="U28" s="1805">
        <f t="shared" si="13"/>
        <v>100</v>
      </c>
      <c r="V28" s="1804" t="s">
        <v>18</v>
      </c>
      <c r="W28" s="1805">
        <f t="shared" si="14"/>
        <v>100</v>
      </c>
      <c r="X28" s="1743"/>
      <c r="Y28" s="321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18"/>
      <c r="Q29" s="1803">
        <f t="shared" si="11"/>
        <v>111</v>
      </c>
      <c r="R29" s="1804" t="s">
        <v>18</v>
      </c>
      <c r="S29" s="1805">
        <f t="shared" si="12"/>
        <v>100</v>
      </c>
      <c r="T29" s="1804" t="s">
        <v>18</v>
      </c>
      <c r="U29" s="1805">
        <f t="shared" si="13"/>
        <v>100</v>
      </c>
      <c r="V29" s="1804" t="s">
        <v>18</v>
      </c>
      <c r="W29" s="1805">
        <f t="shared" si="14"/>
        <v>100</v>
      </c>
      <c r="X29" s="1743"/>
      <c r="Y29" s="321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18"/>
      <c r="Q30" s="1803">
        <f t="shared" si="11"/>
        <v>111</v>
      </c>
      <c r="R30" s="1804" t="s">
        <v>18</v>
      </c>
      <c r="S30" s="1805">
        <f t="shared" si="12"/>
        <v>100</v>
      </c>
      <c r="T30" s="1804" t="s">
        <v>18</v>
      </c>
      <c r="U30" s="1805">
        <f t="shared" si="13"/>
        <v>100</v>
      </c>
      <c r="V30" s="1804" t="s">
        <v>18</v>
      </c>
      <c r="W30" s="1805">
        <f t="shared" si="14"/>
        <v>100</v>
      </c>
      <c r="X30" s="1743"/>
      <c r="Y30" s="321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18"/>
      <c r="Q31" s="1803">
        <f t="shared" si="11"/>
        <v>111</v>
      </c>
      <c r="R31" s="1804" t="s">
        <v>18</v>
      </c>
      <c r="S31" s="1805">
        <f t="shared" si="12"/>
        <v>100</v>
      </c>
      <c r="T31" s="1804" t="s">
        <v>18</v>
      </c>
      <c r="U31" s="1805">
        <f t="shared" si="13"/>
        <v>100</v>
      </c>
      <c r="V31" s="1804" t="s">
        <v>18</v>
      </c>
      <c r="W31" s="1805">
        <f t="shared" si="14"/>
        <v>100</v>
      </c>
      <c r="X31" s="1743"/>
      <c r="Y31" s="321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12" t="s">
        <v>1924</v>
      </c>
      <c r="Q32" s="1803" t="str">
        <f t="shared" si="11"/>
        <v>建筑类型</v>
      </c>
      <c r="R32" s="1804" t="s">
        <v>18</v>
      </c>
      <c r="S32" s="1805">
        <f t="shared" si="12"/>
        <v>100</v>
      </c>
      <c r="T32" s="1804" t="s">
        <v>18</v>
      </c>
      <c r="U32" s="1805">
        <f t="shared" si="13"/>
        <v>100</v>
      </c>
      <c r="V32" s="1804" t="s">
        <v>18</v>
      </c>
      <c r="W32" s="1805">
        <f t="shared" si="14"/>
        <v>100</v>
      </c>
      <c r="X32" s="1743"/>
      <c r="Y32" s="321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13"/>
      <c r="Q33" s="1839" t="str">
        <f t="shared" si="11"/>
        <v>项目建筑规模</v>
      </c>
      <c r="R33" s="1840" t="s">
        <v>18</v>
      </c>
      <c r="S33" s="1841" t="e">
        <f t="shared" si="12"/>
        <v>#N/A</v>
      </c>
      <c r="T33" s="1840" t="s">
        <v>18</v>
      </c>
      <c r="U33" s="1841" t="e">
        <f t="shared" si="13"/>
        <v>#N/A</v>
      </c>
      <c r="V33" s="1840" t="s">
        <v>18</v>
      </c>
      <c r="W33" s="1841" t="e">
        <f t="shared" si="14"/>
        <v>#N/A</v>
      </c>
      <c r="X33" s="1842"/>
      <c r="Y33" s="321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13"/>
      <c r="Q34" s="1803" t="str">
        <f t="shared" si="11"/>
        <v>建筑结构</v>
      </c>
      <c r="R34" s="1804" t="s">
        <v>18</v>
      </c>
      <c r="S34" s="1805">
        <f t="shared" si="12"/>
        <v>100</v>
      </c>
      <c r="T34" s="1804" t="s">
        <v>18</v>
      </c>
      <c r="U34" s="1805">
        <f t="shared" si="13"/>
        <v>100</v>
      </c>
      <c r="V34" s="1804" t="s">
        <v>18</v>
      </c>
      <c r="W34" s="1805">
        <f t="shared" si="14"/>
        <v>100</v>
      </c>
      <c r="X34" s="1743"/>
      <c r="Y34" s="321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13"/>
      <c r="Q35" s="1803" t="str">
        <f t="shared" si="11"/>
        <v>建筑品质</v>
      </c>
      <c r="R35" s="1804" t="s">
        <v>18</v>
      </c>
      <c r="S35" s="1805">
        <f t="shared" si="12"/>
        <v>100</v>
      </c>
      <c r="T35" s="1804" t="s">
        <v>18</v>
      </c>
      <c r="U35" s="1805">
        <f t="shared" si="13"/>
        <v>100</v>
      </c>
      <c r="V35" s="1804" t="s">
        <v>18</v>
      </c>
      <c r="W35" s="1805">
        <f t="shared" si="14"/>
        <v>100</v>
      </c>
      <c r="X35" s="1743"/>
      <c r="Y35" s="321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13"/>
      <c r="Q36" s="1803" t="str">
        <f t="shared" si="11"/>
        <v>公共部分装修</v>
      </c>
      <c r="R36" s="1804" t="s">
        <v>18</v>
      </c>
      <c r="S36" s="1805">
        <f t="shared" si="12"/>
        <v>100</v>
      </c>
      <c r="T36" s="1804" t="s">
        <v>18</v>
      </c>
      <c r="U36" s="1805">
        <f t="shared" si="13"/>
        <v>100</v>
      </c>
      <c r="V36" s="1804" t="s">
        <v>18</v>
      </c>
      <c r="W36" s="1805">
        <f t="shared" si="14"/>
        <v>100</v>
      </c>
      <c r="X36" s="1743"/>
      <c r="Y36" s="321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13"/>
      <c r="Q37" s="1769" t="str">
        <f t="shared" si="11"/>
        <v>成新度</v>
      </c>
      <c r="R37" s="463" t="s">
        <v>18</v>
      </c>
      <c r="S37" s="1758" t="e">
        <f t="shared" si="12"/>
        <v>#N/A</v>
      </c>
      <c r="T37" s="463" t="s">
        <v>18</v>
      </c>
      <c r="U37" s="1758" t="e">
        <f t="shared" si="13"/>
        <v>#N/A</v>
      </c>
      <c r="V37" s="463" t="s">
        <v>18</v>
      </c>
      <c r="W37" s="1758" t="e">
        <f t="shared" si="14"/>
        <v>#N/A</v>
      </c>
      <c r="X37" s="1759"/>
      <c r="Y37" s="321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13" t="s">
        <v>1924</v>
      </c>
      <c r="Q38" s="1803" t="str">
        <f t="shared" si="11"/>
        <v>物业管理</v>
      </c>
      <c r="R38" s="1804" t="s">
        <v>18</v>
      </c>
      <c r="S38" s="1805">
        <f t="shared" si="12"/>
        <v>100</v>
      </c>
      <c r="T38" s="1804" t="s">
        <v>18</v>
      </c>
      <c r="U38" s="1805">
        <f t="shared" si="13"/>
        <v>100</v>
      </c>
      <c r="V38" s="1804" t="s">
        <v>18</v>
      </c>
      <c r="W38" s="1805">
        <f t="shared" si="14"/>
        <v>100</v>
      </c>
      <c r="X38" s="1743"/>
      <c r="Y38" s="321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13"/>
      <c r="Q39" s="1803" t="str">
        <f t="shared" si="11"/>
        <v>市政基础设施</v>
      </c>
      <c r="R39" s="1804" t="s">
        <v>18</v>
      </c>
      <c r="S39" s="1805">
        <f t="shared" si="12"/>
        <v>100</v>
      </c>
      <c r="T39" s="1804" t="s">
        <v>18</v>
      </c>
      <c r="U39" s="1805">
        <f t="shared" si="13"/>
        <v>100</v>
      </c>
      <c r="V39" s="1804" t="s">
        <v>18</v>
      </c>
      <c r="W39" s="1805">
        <f t="shared" si="14"/>
        <v>100</v>
      </c>
      <c r="X39" s="1743"/>
      <c r="Y39" s="321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13"/>
      <c r="Q40" s="1803" t="str">
        <f t="shared" si="11"/>
        <v>房型</v>
      </c>
      <c r="R40" s="1804" t="s">
        <v>18</v>
      </c>
      <c r="S40" s="1805">
        <f t="shared" si="12"/>
        <v>100</v>
      </c>
      <c r="T40" s="1804" t="s">
        <v>18</v>
      </c>
      <c r="U40" s="1805">
        <f t="shared" si="13"/>
        <v>100</v>
      </c>
      <c r="V40" s="1804" t="s">
        <v>18</v>
      </c>
      <c r="W40" s="1805">
        <f t="shared" si="14"/>
        <v>100</v>
      </c>
      <c r="X40" s="1743"/>
      <c r="Y40" s="321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13"/>
      <c r="Q41" s="1839" t="str">
        <f t="shared" si="11"/>
        <v>单套/主力户型建筑面积</v>
      </c>
      <c r="R41" s="1840" t="s">
        <v>18</v>
      </c>
      <c r="S41" s="1841">
        <f t="shared" si="12"/>
        <v>100</v>
      </c>
      <c r="T41" s="1840" t="s">
        <v>18</v>
      </c>
      <c r="U41" s="1841">
        <f t="shared" si="13"/>
        <v>100</v>
      </c>
      <c r="V41" s="1840" t="s">
        <v>18</v>
      </c>
      <c r="W41" s="1841">
        <f t="shared" si="14"/>
        <v>100</v>
      </c>
      <c r="X41" s="1842"/>
      <c r="Y41" s="321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13"/>
      <c r="Q42" s="1803" t="str">
        <f t="shared" si="11"/>
        <v>内部装修</v>
      </c>
      <c r="R42" s="1804" t="s">
        <v>18</v>
      </c>
      <c r="S42" s="1805">
        <f t="shared" si="12"/>
        <v>100</v>
      </c>
      <c r="T42" s="1804" t="s">
        <v>18</v>
      </c>
      <c r="U42" s="1805">
        <f t="shared" si="13"/>
        <v>100</v>
      </c>
      <c r="V42" s="1804" t="s">
        <v>18</v>
      </c>
      <c r="W42" s="1805">
        <f t="shared" si="14"/>
        <v>100</v>
      </c>
      <c r="X42" s="1743"/>
      <c r="Y42" s="321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13"/>
      <c r="Q43" s="1803" t="str">
        <f t="shared" si="11"/>
        <v>内部装修维护情况</v>
      </c>
      <c r="R43" s="1804" t="s">
        <v>18</v>
      </c>
      <c r="S43" s="1805">
        <f t="shared" si="12"/>
        <v>100</v>
      </c>
      <c r="T43" s="1804" t="s">
        <v>18</v>
      </c>
      <c r="U43" s="1805">
        <f t="shared" si="13"/>
        <v>100</v>
      </c>
      <c r="V43" s="1804" t="s">
        <v>18</v>
      </c>
      <c r="W43" s="1805">
        <f t="shared" si="14"/>
        <v>100</v>
      </c>
      <c r="X43" s="1743"/>
      <c r="Y43" s="321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13"/>
      <c r="Q44" s="1769">
        <f t="shared" si="11"/>
        <v>111</v>
      </c>
      <c r="R44" s="463" t="s">
        <v>18</v>
      </c>
      <c r="S44" s="1758">
        <f t="shared" si="12"/>
        <v>100</v>
      </c>
      <c r="T44" s="463" t="s">
        <v>18</v>
      </c>
      <c r="U44" s="1758">
        <f t="shared" si="13"/>
        <v>100</v>
      </c>
      <c r="V44" s="463" t="s">
        <v>18</v>
      </c>
      <c r="W44" s="1758">
        <f t="shared" si="14"/>
        <v>100</v>
      </c>
      <c r="X44" s="1759"/>
      <c r="Y44" s="321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13"/>
      <c r="Q45" s="1803">
        <f t="shared" si="11"/>
        <v>111</v>
      </c>
      <c r="R45" s="1804" t="s">
        <v>18</v>
      </c>
      <c r="S45" s="1805">
        <f t="shared" si="12"/>
        <v>100</v>
      </c>
      <c r="T45" s="1804" t="s">
        <v>18</v>
      </c>
      <c r="U45" s="1805">
        <f t="shared" si="13"/>
        <v>100</v>
      </c>
      <c r="V45" s="1804" t="s">
        <v>18</v>
      </c>
      <c r="W45" s="1805">
        <f t="shared" si="14"/>
        <v>100</v>
      </c>
      <c r="X45" s="1743"/>
      <c r="Y45" s="321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14"/>
      <c r="Q46" s="1803">
        <f t="shared" si="11"/>
        <v>111</v>
      </c>
      <c r="R46" s="1804" t="s">
        <v>17</v>
      </c>
      <c r="S46" s="1805">
        <f t="shared" si="12"/>
        <v>100</v>
      </c>
      <c r="T46" s="1804" t="s">
        <v>17</v>
      </c>
      <c r="U46" s="1805">
        <f t="shared" si="13"/>
        <v>100</v>
      </c>
      <c r="V46" s="1804" t="s">
        <v>17</v>
      </c>
      <c r="W46" s="1805">
        <f t="shared" si="14"/>
        <v>100</v>
      </c>
      <c r="X46" s="1743"/>
      <c r="Y46" s="321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08" t="str">
        <f>A47</f>
        <v>成交单价（元/平方米）</v>
      </c>
      <c r="Q47" s="3208"/>
      <c r="R47" s="3209">
        <f>E47</f>
        <v>0</v>
      </c>
      <c r="S47" s="3209"/>
      <c r="T47" s="3209">
        <f>G47</f>
        <v>0</v>
      </c>
      <c r="U47" s="3209"/>
      <c r="V47" s="3209">
        <f>I47</f>
        <v>0</v>
      </c>
      <c r="W47" s="320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05" t="str">
        <f>A49</f>
        <v>估价对象XX用房的比较价值（楼面单价，元/平方米）</v>
      </c>
      <c r="Q49" s="3206"/>
      <c r="R49" s="3207" t="e">
        <f>IF(F1="售价",ROUND(IF(D48="简单平均",AVERAGE(R48:V48),R48*F48+T48*H48+V48*J48),0),ROUND(IF(D48="简单平均",AVERAGE(R48:V48),R48*F48+T48*H48+V48*J48),1))</f>
        <v>#DIV/0!</v>
      </c>
      <c r="S49" s="3207"/>
      <c r="T49" s="3207"/>
      <c r="U49" s="3207"/>
      <c r="V49" s="3207"/>
      <c r="W49" s="320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09"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09"/>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09"/>
      <c r="AC6" s="3222"/>
    </row>
    <row r="7" spans="1:29" s="1760" customFormat="1" ht="15.75" thickBot="1">
      <c r="A7" s="1750" t="s">
        <v>1907</v>
      </c>
      <c r="B7" s="1751"/>
      <c r="C7" s="1752">
        <f>'数据-取费表'!B2</f>
        <v>44818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9"/>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9"/>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9"/>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9"/>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17" t="s">
        <v>1919</v>
      </c>
      <c r="Q15" s="1803" t="str">
        <f t="shared" si="6"/>
        <v>商业繁华度</v>
      </c>
      <c r="R15" s="1804" t="s">
        <v>14</v>
      </c>
      <c r="S15" s="1805">
        <f t="shared" si="0"/>
        <v>100</v>
      </c>
      <c r="T15" s="1804" t="s">
        <v>14</v>
      </c>
      <c r="U15" s="1805">
        <f t="shared" si="1"/>
        <v>100</v>
      </c>
      <c r="V15" s="1804" t="s">
        <v>14</v>
      </c>
      <c r="W15" s="1805">
        <f t="shared" si="2"/>
        <v>100</v>
      </c>
      <c r="X15" s="1743"/>
      <c r="Y15" s="321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18"/>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18"/>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18"/>
      <c r="Q18" s="1803"/>
      <c r="R18" s="1804"/>
      <c r="S18" s="1805"/>
      <c r="T18" s="1804"/>
      <c r="U18" s="1805"/>
      <c r="V18" s="1804"/>
      <c r="W18" s="1805"/>
      <c r="X18" s="1743"/>
      <c r="Y18" s="321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18"/>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18"/>
      <c r="Q20" s="1803"/>
      <c r="R20" s="1804"/>
      <c r="S20" s="1805"/>
      <c r="T20" s="1804"/>
      <c r="U20" s="1805"/>
      <c r="V20" s="1804"/>
      <c r="W20" s="1805"/>
      <c r="X20" s="1743"/>
      <c r="Y20" s="321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18"/>
      <c r="Q22" s="1803"/>
      <c r="R22" s="1804"/>
      <c r="S22" s="1805"/>
      <c r="T22" s="1804"/>
      <c r="U22" s="1805"/>
      <c r="V22" s="1804"/>
      <c r="W22" s="1805"/>
      <c r="X22" s="1743"/>
      <c r="Y22" s="321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18"/>
      <c r="Q23" s="1803" t="str">
        <f>B23</f>
        <v>自然及人文环境</v>
      </c>
      <c r="R23" s="1804" t="s">
        <v>14</v>
      </c>
      <c r="S23" s="1805">
        <f>F23</f>
        <v>100</v>
      </c>
      <c r="T23" s="1804" t="s">
        <v>14</v>
      </c>
      <c r="U23" s="1805">
        <f>H23</f>
        <v>100</v>
      </c>
      <c r="V23" s="1804" t="s">
        <v>14</v>
      </c>
      <c r="W23" s="1805">
        <f>J23</f>
        <v>100</v>
      </c>
      <c r="X23" s="1743"/>
      <c r="Y23" s="321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18"/>
      <c r="Q24" s="1803"/>
      <c r="R24" s="1804"/>
      <c r="S24" s="1805"/>
      <c r="T24" s="1804"/>
      <c r="U24" s="1805"/>
      <c r="V24" s="1804"/>
      <c r="W24" s="1805"/>
      <c r="X24" s="1743"/>
      <c r="Y24" s="321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18"/>
      <c r="Q25" s="1803" t="str">
        <f t="shared" ref="Q25:Q46" si="11">B25</f>
        <v>临街状况</v>
      </c>
      <c r="R25" s="1804" t="s">
        <v>14</v>
      </c>
      <c r="S25" s="1805">
        <f>F25</f>
        <v>100</v>
      </c>
      <c r="T25" s="1804" t="s">
        <v>14</v>
      </c>
      <c r="U25" s="1805">
        <f>H25</f>
        <v>100</v>
      </c>
      <c r="V25" s="1804" t="s">
        <v>14</v>
      </c>
      <c r="W25" s="1805">
        <f>J25</f>
        <v>100</v>
      </c>
      <c r="X25" s="1743"/>
      <c r="Y25" s="321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18"/>
      <c r="Q26" s="1803" t="str">
        <f t="shared" si="11"/>
        <v>平面位置/可视性</v>
      </c>
      <c r="R26" s="1804" t="s">
        <v>14</v>
      </c>
      <c r="S26" s="1805">
        <f>F26</f>
        <v>100</v>
      </c>
      <c r="T26" s="1804" t="s">
        <v>14</v>
      </c>
      <c r="U26" s="1805">
        <f>H26</f>
        <v>100</v>
      </c>
      <c r="V26" s="1804" t="s">
        <v>14</v>
      </c>
      <c r="W26" s="1805">
        <f>J26</f>
        <v>100</v>
      </c>
      <c r="X26" s="1743"/>
      <c r="Y26" s="321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18"/>
      <c r="Q27" s="1769" t="str">
        <f t="shared" si="11"/>
        <v>人流量</v>
      </c>
      <c r="R27" s="463" t="s">
        <v>14</v>
      </c>
      <c r="S27" s="1758">
        <f>F27</f>
        <v>100</v>
      </c>
      <c r="T27" s="463" t="s">
        <v>14</v>
      </c>
      <c r="U27" s="1758">
        <f>H27</f>
        <v>100</v>
      </c>
      <c r="V27" s="463" t="s">
        <v>14</v>
      </c>
      <c r="W27" s="1758">
        <f>J27</f>
        <v>100</v>
      </c>
      <c r="X27" s="1759"/>
      <c r="Y27" s="321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1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1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18"/>
      <c r="Q29" s="1803">
        <f t="shared" si="11"/>
        <v>111</v>
      </c>
      <c r="R29" s="1804" t="s">
        <v>14</v>
      </c>
      <c r="S29" s="1805">
        <f t="shared" si="12"/>
        <v>100</v>
      </c>
      <c r="T29" s="1804" t="s">
        <v>14</v>
      </c>
      <c r="U29" s="1805">
        <f t="shared" si="13"/>
        <v>100</v>
      </c>
      <c r="V29" s="1804" t="s">
        <v>14</v>
      </c>
      <c r="W29" s="1805">
        <f t="shared" si="14"/>
        <v>100</v>
      </c>
      <c r="X29" s="1743"/>
      <c r="Y29" s="321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18"/>
      <c r="Q30" s="1803">
        <f t="shared" si="11"/>
        <v>111</v>
      </c>
      <c r="R30" s="1804" t="s">
        <v>14</v>
      </c>
      <c r="S30" s="1805">
        <f t="shared" si="12"/>
        <v>100</v>
      </c>
      <c r="T30" s="1804" t="s">
        <v>14</v>
      </c>
      <c r="U30" s="1805">
        <f t="shared" si="13"/>
        <v>100</v>
      </c>
      <c r="V30" s="1804" t="s">
        <v>14</v>
      </c>
      <c r="W30" s="1805">
        <f t="shared" si="14"/>
        <v>100</v>
      </c>
      <c r="X30" s="1743"/>
      <c r="Y30" s="321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18"/>
      <c r="Q31" s="1803">
        <f t="shared" si="11"/>
        <v>111</v>
      </c>
      <c r="R31" s="1804" t="s">
        <v>14</v>
      </c>
      <c r="S31" s="1805">
        <f t="shared" si="12"/>
        <v>100</v>
      </c>
      <c r="T31" s="1804" t="s">
        <v>14</v>
      </c>
      <c r="U31" s="1805">
        <f t="shared" si="13"/>
        <v>100</v>
      </c>
      <c r="V31" s="1804" t="s">
        <v>14</v>
      </c>
      <c r="W31" s="1805">
        <f t="shared" si="14"/>
        <v>100</v>
      </c>
      <c r="X31" s="1743"/>
      <c r="Y31" s="321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12" t="s">
        <v>1924</v>
      </c>
      <c r="Q32" s="1803" t="str">
        <f t="shared" si="11"/>
        <v>商业类型</v>
      </c>
      <c r="R32" s="1804" t="s">
        <v>14</v>
      </c>
      <c r="S32" s="1805">
        <f t="shared" si="12"/>
        <v>100</v>
      </c>
      <c r="T32" s="1804" t="s">
        <v>14</v>
      </c>
      <c r="U32" s="1805">
        <f t="shared" si="13"/>
        <v>100</v>
      </c>
      <c r="V32" s="1804" t="s">
        <v>14</v>
      </c>
      <c r="W32" s="1805">
        <f t="shared" si="14"/>
        <v>100</v>
      </c>
      <c r="X32" s="1743"/>
      <c r="Y32" s="321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13"/>
      <c r="Q33" s="1839" t="str">
        <f t="shared" si="11"/>
        <v>项目建筑规模</v>
      </c>
      <c r="R33" s="1840" t="s">
        <v>14</v>
      </c>
      <c r="S33" s="1841" t="e">
        <f t="shared" si="12"/>
        <v>#N/A</v>
      </c>
      <c r="T33" s="1840" t="s">
        <v>14</v>
      </c>
      <c r="U33" s="1841" t="e">
        <f t="shared" si="13"/>
        <v>#N/A</v>
      </c>
      <c r="V33" s="1840" t="s">
        <v>14</v>
      </c>
      <c r="W33" s="1841" t="e">
        <f t="shared" si="14"/>
        <v>#N/A</v>
      </c>
      <c r="X33" s="1842"/>
      <c r="Y33" s="321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13"/>
      <c r="Q34" s="1803" t="str">
        <f t="shared" si="11"/>
        <v>建筑结构</v>
      </c>
      <c r="R34" s="1804" t="s">
        <v>14</v>
      </c>
      <c r="S34" s="1805">
        <f t="shared" si="12"/>
        <v>100</v>
      </c>
      <c r="T34" s="1804" t="s">
        <v>14</v>
      </c>
      <c r="U34" s="1805">
        <f t="shared" si="13"/>
        <v>100</v>
      </c>
      <c r="V34" s="1804" t="s">
        <v>14</v>
      </c>
      <c r="W34" s="1805">
        <f t="shared" si="14"/>
        <v>100</v>
      </c>
      <c r="X34" s="1743"/>
      <c r="Y34" s="321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13"/>
      <c r="Q35" s="1803" t="str">
        <f t="shared" si="11"/>
        <v>公共部分装修</v>
      </c>
      <c r="R35" s="1804" t="s">
        <v>14</v>
      </c>
      <c r="S35" s="1805">
        <f t="shared" si="12"/>
        <v>100</v>
      </c>
      <c r="T35" s="1804" t="s">
        <v>14</v>
      </c>
      <c r="U35" s="1805">
        <f t="shared" si="13"/>
        <v>100</v>
      </c>
      <c r="V35" s="1804" t="s">
        <v>14</v>
      </c>
      <c r="W35" s="1805">
        <f t="shared" si="14"/>
        <v>100</v>
      </c>
      <c r="X35" s="1743"/>
      <c r="Y35" s="321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13"/>
      <c r="Q36" s="1803" t="str">
        <f t="shared" si="11"/>
        <v>成新度</v>
      </c>
      <c r="R36" s="1804" t="s">
        <v>14</v>
      </c>
      <c r="S36" s="1805" t="e">
        <f t="shared" si="12"/>
        <v>#N/A</v>
      </c>
      <c r="T36" s="1804" t="s">
        <v>14</v>
      </c>
      <c r="U36" s="1805" t="e">
        <f t="shared" si="13"/>
        <v>#N/A</v>
      </c>
      <c r="V36" s="1804" t="s">
        <v>14</v>
      </c>
      <c r="W36" s="1805" t="e">
        <f t="shared" si="14"/>
        <v>#N/A</v>
      </c>
      <c r="X36" s="1743"/>
      <c r="Y36" s="321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13"/>
      <c r="Q37" s="1769" t="str">
        <f t="shared" si="11"/>
        <v>市政基础设施</v>
      </c>
      <c r="R37" s="463" t="s">
        <v>14</v>
      </c>
      <c r="S37" s="1758">
        <f t="shared" si="12"/>
        <v>100</v>
      </c>
      <c r="T37" s="463" t="s">
        <v>14</v>
      </c>
      <c r="U37" s="1758">
        <f t="shared" si="13"/>
        <v>100</v>
      </c>
      <c r="V37" s="463" t="s">
        <v>14</v>
      </c>
      <c r="W37" s="1758">
        <f t="shared" si="14"/>
        <v>100</v>
      </c>
      <c r="X37" s="1759"/>
      <c r="Y37" s="321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13" t="s">
        <v>1924</v>
      </c>
      <c r="Q38" s="1803" t="str">
        <f t="shared" si="11"/>
        <v>业态</v>
      </c>
      <c r="R38" s="1804" t="s">
        <v>14</v>
      </c>
      <c r="S38" s="1805">
        <f t="shared" si="12"/>
        <v>100</v>
      </c>
      <c r="T38" s="1804" t="s">
        <v>14</v>
      </c>
      <c r="U38" s="1805">
        <f t="shared" si="13"/>
        <v>100</v>
      </c>
      <c r="V38" s="1804" t="s">
        <v>14</v>
      </c>
      <c r="W38" s="1805">
        <f t="shared" si="14"/>
        <v>100</v>
      </c>
      <c r="X38" s="1743"/>
      <c r="Y38" s="321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13"/>
      <c r="Q39" s="1803" t="str">
        <f t="shared" si="11"/>
        <v>层高</v>
      </c>
      <c r="R39" s="1804" t="s">
        <v>14</v>
      </c>
      <c r="S39" s="1805">
        <f t="shared" si="12"/>
        <v>100</v>
      </c>
      <c r="T39" s="1804" t="s">
        <v>14</v>
      </c>
      <c r="U39" s="1805">
        <f t="shared" si="13"/>
        <v>100</v>
      </c>
      <c r="V39" s="1804" t="s">
        <v>14</v>
      </c>
      <c r="W39" s="1805">
        <f t="shared" si="14"/>
        <v>100</v>
      </c>
      <c r="X39" s="1743"/>
      <c r="Y39" s="321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13"/>
      <c r="Q40" s="1803" t="str">
        <f t="shared" si="11"/>
        <v>单套建筑面积</v>
      </c>
      <c r="R40" s="1804" t="s">
        <v>14</v>
      </c>
      <c r="S40" s="1805">
        <f t="shared" si="12"/>
        <v>100</v>
      </c>
      <c r="T40" s="1804" t="s">
        <v>14</v>
      </c>
      <c r="U40" s="1805">
        <f t="shared" si="13"/>
        <v>100</v>
      </c>
      <c r="V40" s="1804" t="s">
        <v>14</v>
      </c>
      <c r="W40" s="1805">
        <f t="shared" si="14"/>
        <v>100</v>
      </c>
      <c r="X40" s="1743"/>
      <c r="Y40" s="321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13"/>
      <c r="Q41" s="1839" t="str">
        <f t="shared" si="11"/>
        <v>进深比</v>
      </c>
      <c r="R41" s="1840" t="s">
        <v>14</v>
      </c>
      <c r="S41" s="1841">
        <f t="shared" si="12"/>
        <v>100</v>
      </c>
      <c r="T41" s="1840" t="s">
        <v>14</v>
      </c>
      <c r="U41" s="1841">
        <f t="shared" si="13"/>
        <v>100</v>
      </c>
      <c r="V41" s="1840" t="s">
        <v>14</v>
      </c>
      <c r="W41" s="1841">
        <f t="shared" si="14"/>
        <v>100</v>
      </c>
      <c r="X41" s="1842"/>
      <c r="Y41" s="321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13"/>
      <c r="Q42" s="1803" t="str">
        <f t="shared" si="11"/>
        <v>内部装修</v>
      </c>
      <c r="R42" s="1804" t="s">
        <v>14</v>
      </c>
      <c r="S42" s="1805">
        <f t="shared" si="12"/>
        <v>100</v>
      </c>
      <c r="T42" s="1804" t="s">
        <v>14</v>
      </c>
      <c r="U42" s="1805">
        <f t="shared" si="13"/>
        <v>100</v>
      </c>
      <c r="V42" s="1804" t="s">
        <v>14</v>
      </c>
      <c r="W42" s="1805">
        <f t="shared" si="14"/>
        <v>100</v>
      </c>
      <c r="X42" s="1743"/>
      <c r="Y42" s="321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13"/>
      <c r="Q43" s="1803" t="str">
        <f t="shared" si="11"/>
        <v>内部装修维护情况</v>
      </c>
      <c r="R43" s="1804" t="s">
        <v>14</v>
      </c>
      <c r="S43" s="1805">
        <f t="shared" si="12"/>
        <v>100</v>
      </c>
      <c r="T43" s="1804" t="s">
        <v>14</v>
      </c>
      <c r="U43" s="1805">
        <f t="shared" si="13"/>
        <v>100</v>
      </c>
      <c r="V43" s="1804" t="s">
        <v>14</v>
      </c>
      <c r="W43" s="1805">
        <f t="shared" si="14"/>
        <v>100</v>
      </c>
      <c r="X43" s="1743"/>
      <c r="Y43" s="321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13"/>
      <c r="Q44" s="1769">
        <f t="shared" si="11"/>
        <v>111</v>
      </c>
      <c r="R44" s="463" t="s">
        <v>14</v>
      </c>
      <c r="S44" s="1758">
        <f t="shared" si="12"/>
        <v>100</v>
      </c>
      <c r="T44" s="463" t="s">
        <v>14</v>
      </c>
      <c r="U44" s="1758">
        <f t="shared" si="13"/>
        <v>100</v>
      </c>
      <c r="V44" s="463" t="s">
        <v>14</v>
      </c>
      <c r="W44" s="1758">
        <f t="shared" si="14"/>
        <v>100</v>
      </c>
      <c r="X44" s="1759"/>
      <c r="Y44" s="321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13"/>
      <c r="Q45" s="1803">
        <f t="shared" si="11"/>
        <v>111</v>
      </c>
      <c r="R45" s="1804" t="s">
        <v>14</v>
      </c>
      <c r="S45" s="1805">
        <f t="shared" si="12"/>
        <v>100</v>
      </c>
      <c r="T45" s="1804" t="s">
        <v>14</v>
      </c>
      <c r="U45" s="1805">
        <f t="shared" si="13"/>
        <v>100</v>
      </c>
      <c r="V45" s="1804" t="s">
        <v>14</v>
      </c>
      <c r="W45" s="1805">
        <f t="shared" si="14"/>
        <v>100</v>
      </c>
      <c r="X45" s="1743"/>
      <c r="Y45" s="321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14"/>
      <c r="Q46" s="1803">
        <f t="shared" si="11"/>
        <v>111</v>
      </c>
      <c r="R46" s="1804" t="s">
        <v>14</v>
      </c>
      <c r="S46" s="1805">
        <f t="shared" si="12"/>
        <v>100</v>
      </c>
      <c r="T46" s="1804" t="s">
        <v>14</v>
      </c>
      <c r="U46" s="1805">
        <f t="shared" si="13"/>
        <v>100</v>
      </c>
      <c r="V46" s="1804" t="s">
        <v>14</v>
      </c>
      <c r="W46" s="1805">
        <f t="shared" si="14"/>
        <v>100</v>
      </c>
      <c r="X46" s="1743"/>
      <c r="Y46" s="321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08" t="str">
        <f>A47</f>
        <v>成交单价（元/平方米）</v>
      </c>
      <c r="Q47" s="3208"/>
      <c r="R47" s="3209">
        <f>E47</f>
        <v>0</v>
      </c>
      <c r="S47" s="3209"/>
      <c r="T47" s="3209">
        <f>G47</f>
        <v>0</v>
      </c>
      <c r="U47" s="3209"/>
      <c r="V47" s="3209">
        <f>I47</f>
        <v>0</v>
      </c>
      <c r="W47" s="320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05" t="str">
        <f>A49</f>
        <v>估价对象XX用房的比较价值（楼面单价，元/平方米）</v>
      </c>
      <c r="Q49" s="3206"/>
      <c r="R49" s="3207" t="e">
        <f>IF(F1="售价",ROUND(IF(D48="简单平均",AVERAGE(R48:V48),R48*F48+T48*H48+V48*J48),0),ROUND(IF(D48="简单平均",AVERAGE(R48:V48),R48*F48+T48*H48+V48*J48),1))</f>
        <v>#DIV/0!</v>
      </c>
      <c r="S49" s="3207"/>
      <c r="T49" s="3207"/>
      <c r="U49" s="3207"/>
      <c r="V49" s="3207"/>
      <c r="W49" s="320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56" t="s">
        <v>2010</v>
      </c>
      <c r="Q4" s="3257"/>
      <c r="R4" s="3260" t="s">
        <v>2006</v>
      </c>
      <c r="S4" s="3261"/>
      <c r="T4" s="3260" t="s">
        <v>2007</v>
      </c>
      <c r="U4" s="3261"/>
      <c r="V4" s="3262" t="s">
        <v>2008</v>
      </c>
      <c r="W4" s="3262"/>
      <c r="X4" s="2078"/>
      <c r="Y4" s="3260" t="s">
        <v>2010</v>
      </c>
      <c r="Z4" s="3261"/>
      <c r="AA4" s="3264" t="s">
        <v>2006</v>
      </c>
      <c r="AB4" s="3264" t="s">
        <v>2007</v>
      </c>
      <c r="AC4" s="3253" t="s">
        <v>2008</v>
      </c>
    </row>
    <row r="5" spans="1:29" ht="15">
      <c r="A5" s="1745"/>
      <c r="B5" s="1746"/>
      <c r="C5" s="3241" t="s">
        <v>1901</v>
      </c>
      <c r="D5" s="3242"/>
      <c r="E5" s="3248" t="s">
        <v>1902</v>
      </c>
      <c r="F5" s="3249"/>
      <c r="G5" s="3241" t="s">
        <v>1903</v>
      </c>
      <c r="H5" s="3242"/>
      <c r="I5" s="3241" t="s">
        <v>1904</v>
      </c>
      <c r="J5" s="3242"/>
      <c r="K5" s="2042"/>
      <c r="L5" s="1741"/>
      <c r="M5" s="1742"/>
      <c r="N5" s="1742"/>
      <c r="O5" s="1742"/>
      <c r="P5" s="3258"/>
      <c r="Q5" s="3230"/>
      <c r="R5" s="3235"/>
      <c r="S5" s="3236"/>
      <c r="T5" s="3235"/>
      <c r="U5" s="3236"/>
      <c r="V5" s="3209"/>
      <c r="W5" s="3209"/>
      <c r="X5" s="1743"/>
      <c r="Y5" s="3235"/>
      <c r="Z5" s="3236"/>
      <c r="AA5" s="3221"/>
      <c r="AB5" s="3221"/>
      <c r="AC5" s="3254"/>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59"/>
      <c r="Q6" s="3232"/>
      <c r="R6" s="3235"/>
      <c r="S6" s="3236"/>
      <c r="T6" s="3237"/>
      <c r="U6" s="3238"/>
      <c r="V6" s="3209"/>
      <c r="W6" s="3209"/>
      <c r="X6" s="1743"/>
      <c r="Y6" s="3237"/>
      <c r="Z6" s="3238"/>
      <c r="AA6" s="3222"/>
      <c r="AB6" s="3222"/>
      <c r="AC6" s="3255"/>
    </row>
    <row r="7" spans="1:29" s="1760" customFormat="1" ht="15.75" thickBot="1">
      <c r="A7" s="1750" t="s">
        <v>1907</v>
      </c>
      <c r="B7" s="1751"/>
      <c r="C7" s="1752">
        <f>'数据-取费表'!B2</f>
        <v>44818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3" t="s">
        <v>1911</v>
      </c>
      <c r="Q8" s="3244"/>
      <c r="R8" s="463" t="s">
        <v>14</v>
      </c>
      <c r="S8" s="1758">
        <f t="shared" si="0"/>
        <v>0</v>
      </c>
      <c r="T8" s="463" t="s">
        <v>14</v>
      </c>
      <c r="U8" s="1758">
        <f t="shared" si="1"/>
        <v>0</v>
      </c>
      <c r="V8" s="463" t="s">
        <v>14</v>
      </c>
      <c r="W8" s="1758">
        <f t="shared" si="2"/>
        <v>0</v>
      </c>
      <c r="X8" s="1759"/>
      <c r="Y8" s="3243" t="s">
        <v>1911</v>
      </c>
      <c r="Z8" s="324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9"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9"/>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9"/>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9"/>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9"/>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9"/>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17" t="s">
        <v>1919</v>
      </c>
      <c r="Q15" s="1803" t="str">
        <f t="shared" si="6"/>
        <v>办公集聚程度</v>
      </c>
      <c r="R15" s="1804" t="s">
        <v>14</v>
      </c>
      <c r="S15" s="1805">
        <f t="shared" si="0"/>
        <v>100</v>
      </c>
      <c r="T15" s="1804" t="s">
        <v>14</v>
      </c>
      <c r="U15" s="1805">
        <f t="shared" si="1"/>
        <v>100</v>
      </c>
      <c r="V15" s="1804" t="s">
        <v>14</v>
      </c>
      <c r="W15" s="1805">
        <f t="shared" si="2"/>
        <v>100</v>
      </c>
      <c r="X15" s="1743"/>
      <c r="Y15" s="321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18"/>
      <c r="Q16" s="1803"/>
      <c r="R16" s="1804"/>
      <c r="S16" s="1805"/>
      <c r="T16" s="1804"/>
      <c r="U16" s="1805"/>
      <c r="V16" s="1804"/>
      <c r="W16" s="1805"/>
      <c r="X16" s="1743"/>
      <c r="Y16" s="321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18"/>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18"/>
      <c r="Q18" s="1803"/>
      <c r="R18" s="1804"/>
      <c r="S18" s="1805"/>
      <c r="T18" s="1804"/>
      <c r="U18" s="1805"/>
      <c r="V18" s="1804"/>
      <c r="W18" s="1805"/>
      <c r="X18" s="1743"/>
      <c r="Y18" s="321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18"/>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18"/>
      <c r="Q20" s="1803"/>
      <c r="R20" s="1804"/>
      <c r="S20" s="1805"/>
      <c r="T20" s="1804"/>
      <c r="U20" s="1805"/>
      <c r="V20" s="1804"/>
      <c r="W20" s="1805"/>
      <c r="X20" s="1743"/>
      <c r="Y20" s="321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18"/>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18"/>
      <c r="Q22" s="1803"/>
      <c r="R22" s="1804"/>
      <c r="S22" s="1805"/>
      <c r="T22" s="1804"/>
      <c r="U22" s="1805"/>
      <c r="V22" s="1804"/>
      <c r="W22" s="1805"/>
      <c r="X22" s="1743"/>
      <c r="Y22" s="321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18"/>
      <c r="Q23" s="1803" t="str">
        <f>B23</f>
        <v>环境质量</v>
      </c>
      <c r="R23" s="1804" t="s">
        <v>14</v>
      </c>
      <c r="S23" s="1805">
        <f>F23</f>
        <v>100</v>
      </c>
      <c r="T23" s="1804" t="s">
        <v>14</v>
      </c>
      <c r="U23" s="1805">
        <f>H23</f>
        <v>100</v>
      </c>
      <c r="V23" s="1804" t="s">
        <v>14</v>
      </c>
      <c r="W23" s="1805">
        <f>J23</f>
        <v>100</v>
      </c>
      <c r="X23" s="1743"/>
      <c r="Y23" s="321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18"/>
      <c r="Q24" s="1803"/>
      <c r="R24" s="1804"/>
      <c r="S24" s="1805"/>
      <c r="T24" s="1804"/>
      <c r="U24" s="1805"/>
      <c r="V24" s="1804"/>
      <c r="W24" s="1805"/>
      <c r="X24" s="1743"/>
      <c r="Y24" s="321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18"/>
      <c r="Q25" s="1803" t="str">
        <f>B25</f>
        <v>毗邻道路的类型与等级</v>
      </c>
      <c r="R25" s="1804" t="s">
        <v>14</v>
      </c>
      <c r="S25" s="1805">
        <f>F25</f>
        <v>100</v>
      </c>
      <c r="T25" s="1804" t="s">
        <v>14</v>
      </c>
      <c r="U25" s="1805">
        <f>H25</f>
        <v>100</v>
      </c>
      <c r="V25" s="1804" t="s">
        <v>14</v>
      </c>
      <c r="W25" s="1805">
        <f>J25</f>
        <v>100</v>
      </c>
      <c r="X25" s="1743"/>
      <c r="Y25" s="321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18"/>
      <c r="Q26" s="1803"/>
      <c r="R26" s="1804"/>
      <c r="S26" s="1805"/>
      <c r="T26" s="1804"/>
      <c r="U26" s="1805"/>
      <c r="V26" s="1804"/>
      <c r="W26" s="1805"/>
      <c r="X26" s="1743"/>
      <c r="Y26" s="321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18"/>
      <c r="Q27" s="1803" t="str">
        <f t="shared" ref="Q27:Q47" si="11">B27</f>
        <v>楼层</v>
      </c>
      <c r="R27" s="1804" t="s">
        <v>14</v>
      </c>
      <c r="S27" s="1805">
        <f>F27</f>
        <v>100</v>
      </c>
      <c r="T27" s="1804" t="s">
        <v>14</v>
      </c>
      <c r="U27" s="1805">
        <f>H27</f>
        <v>100</v>
      </c>
      <c r="V27" s="1804" t="s">
        <v>14</v>
      </c>
      <c r="W27" s="1805">
        <f>J27</f>
        <v>100</v>
      </c>
      <c r="X27" s="1743"/>
      <c r="Y27" s="321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18"/>
      <c r="Q28" s="1769" t="str">
        <f t="shared" si="11"/>
        <v>朝向</v>
      </c>
      <c r="R28" s="463" t="s">
        <v>14</v>
      </c>
      <c r="S28" s="1758">
        <f>F28</f>
        <v>100</v>
      </c>
      <c r="T28" s="463" t="s">
        <v>14</v>
      </c>
      <c r="U28" s="1758">
        <f>H28</f>
        <v>100</v>
      </c>
      <c r="V28" s="463" t="s">
        <v>14</v>
      </c>
      <c r="W28" s="1758">
        <f>J28</f>
        <v>100</v>
      </c>
      <c r="X28" s="1759"/>
      <c r="Y28" s="321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1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1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18"/>
      <c r="Q30" s="1803">
        <f t="shared" si="11"/>
        <v>111</v>
      </c>
      <c r="R30" s="1804" t="s">
        <v>14</v>
      </c>
      <c r="S30" s="1805">
        <f t="shared" si="12"/>
        <v>100</v>
      </c>
      <c r="T30" s="1804" t="s">
        <v>14</v>
      </c>
      <c r="U30" s="1805">
        <f t="shared" si="13"/>
        <v>100</v>
      </c>
      <c r="V30" s="1804" t="s">
        <v>14</v>
      </c>
      <c r="W30" s="1805">
        <f t="shared" si="14"/>
        <v>100</v>
      </c>
      <c r="X30" s="1743"/>
      <c r="Y30" s="321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18"/>
      <c r="Q31" s="1803">
        <f t="shared" si="11"/>
        <v>111</v>
      </c>
      <c r="R31" s="1804" t="s">
        <v>14</v>
      </c>
      <c r="S31" s="1805">
        <f t="shared" si="12"/>
        <v>100</v>
      </c>
      <c r="T31" s="1804" t="s">
        <v>14</v>
      </c>
      <c r="U31" s="1805">
        <f t="shared" si="13"/>
        <v>100</v>
      </c>
      <c r="V31" s="1804" t="s">
        <v>14</v>
      </c>
      <c r="W31" s="1805">
        <f t="shared" si="14"/>
        <v>100</v>
      </c>
      <c r="X31" s="1743"/>
      <c r="Y31" s="321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18"/>
      <c r="Q32" s="1803">
        <f t="shared" si="11"/>
        <v>111</v>
      </c>
      <c r="R32" s="1804" t="s">
        <v>14</v>
      </c>
      <c r="S32" s="1805">
        <f t="shared" si="12"/>
        <v>100</v>
      </c>
      <c r="T32" s="1804" t="s">
        <v>14</v>
      </c>
      <c r="U32" s="1805">
        <f t="shared" si="13"/>
        <v>100</v>
      </c>
      <c r="V32" s="1804" t="s">
        <v>14</v>
      </c>
      <c r="W32" s="1805">
        <f t="shared" si="14"/>
        <v>100</v>
      </c>
      <c r="X32" s="1743"/>
      <c r="Y32" s="321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12" t="s">
        <v>1924</v>
      </c>
      <c r="Q33" s="1803" t="str">
        <f t="shared" si="11"/>
        <v>建筑类型</v>
      </c>
      <c r="R33" s="1804" t="s">
        <v>14</v>
      </c>
      <c r="S33" s="1805">
        <f t="shared" si="12"/>
        <v>100</v>
      </c>
      <c r="T33" s="1804" t="s">
        <v>14</v>
      </c>
      <c r="U33" s="1805">
        <f t="shared" si="13"/>
        <v>100</v>
      </c>
      <c r="V33" s="1804" t="s">
        <v>14</v>
      </c>
      <c r="W33" s="1805">
        <f t="shared" si="14"/>
        <v>100</v>
      </c>
      <c r="X33" s="1743"/>
      <c r="Y33" s="321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13"/>
      <c r="Q34" s="1839" t="str">
        <f t="shared" si="11"/>
        <v>项目建筑规模</v>
      </c>
      <c r="R34" s="1840" t="s">
        <v>14</v>
      </c>
      <c r="S34" s="1841" t="e">
        <f t="shared" si="12"/>
        <v>#N/A</v>
      </c>
      <c r="T34" s="1840" t="s">
        <v>14</v>
      </c>
      <c r="U34" s="1841" t="e">
        <f t="shared" si="13"/>
        <v>#N/A</v>
      </c>
      <c r="V34" s="1840" t="s">
        <v>14</v>
      </c>
      <c r="W34" s="1841" t="e">
        <f t="shared" si="14"/>
        <v>#N/A</v>
      </c>
      <c r="X34" s="1842"/>
      <c r="Y34" s="321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13"/>
      <c r="Q35" s="1803" t="str">
        <f t="shared" si="11"/>
        <v>建筑结构</v>
      </c>
      <c r="R35" s="1804" t="s">
        <v>14</v>
      </c>
      <c r="S35" s="1805">
        <f t="shared" si="12"/>
        <v>100</v>
      </c>
      <c r="T35" s="1804" t="s">
        <v>14</v>
      </c>
      <c r="U35" s="1805">
        <f t="shared" si="13"/>
        <v>100</v>
      </c>
      <c r="V35" s="1804" t="s">
        <v>14</v>
      </c>
      <c r="W35" s="1805">
        <f t="shared" si="14"/>
        <v>100</v>
      </c>
      <c r="X35" s="1743"/>
      <c r="Y35" s="321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13"/>
      <c r="Q36" s="1803" t="str">
        <f t="shared" si="11"/>
        <v>公共部分装修</v>
      </c>
      <c r="R36" s="1804" t="s">
        <v>14</v>
      </c>
      <c r="S36" s="1805">
        <f t="shared" si="12"/>
        <v>100</v>
      </c>
      <c r="T36" s="1804" t="s">
        <v>14</v>
      </c>
      <c r="U36" s="1805">
        <f t="shared" si="13"/>
        <v>100</v>
      </c>
      <c r="V36" s="1804" t="s">
        <v>14</v>
      </c>
      <c r="W36" s="1805">
        <f t="shared" si="14"/>
        <v>100</v>
      </c>
      <c r="X36" s="1743"/>
      <c r="Y36" s="321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13"/>
      <c r="Q37" s="1803" t="str">
        <f t="shared" si="11"/>
        <v>成新度</v>
      </c>
      <c r="R37" s="1804" t="s">
        <v>14</v>
      </c>
      <c r="S37" s="1805" t="e">
        <f t="shared" si="12"/>
        <v>#N/A</v>
      </c>
      <c r="T37" s="1804" t="s">
        <v>14</v>
      </c>
      <c r="U37" s="1805" t="e">
        <f t="shared" si="13"/>
        <v>#N/A</v>
      </c>
      <c r="V37" s="1804" t="s">
        <v>14</v>
      </c>
      <c r="W37" s="1805" t="e">
        <f t="shared" si="14"/>
        <v>#N/A</v>
      </c>
      <c r="X37" s="1743"/>
      <c r="Y37" s="321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13"/>
      <c r="Q38" s="1769" t="str">
        <f t="shared" si="11"/>
        <v>写字楼等级</v>
      </c>
      <c r="R38" s="463" t="s">
        <v>14</v>
      </c>
      <c r="S38" s="1758">
        <f t="shared" si="12"/>
        <v>100</v>
      </c>
      <c r="T38" s="463" t="s">
        <v>14</v>
      </c>
      <c r="U38" s="1758">
        <f t="shared" si="13"/>
        <v>100</v>
      </c>
      <c r="V38" s="463" t="s">
        <v>14</v>
      </c>
      <c r="W38" s="1758">
        <f t="shared" si="14"/>
        <v>100</v>
      </c>
      <c r="X38" s="1759"/>
      <c r="Y38" s="321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13" t="s">
        <v>1924</v>
      </c>
      <c r="Q39" s="1803" t="str">
        <f t="shared" si="11"/>
        <v>物业管理</v>
      </c>
      <c r="R39" s="1804" t="s">
        <v>14</v>
      </c>
      <c r="S39" s="1805">
        <f t="shared" si="12"/>
        <v>100</v>
      </c>
      <c r="T39" s="1804" t="s">
        <v>14</v>
      </c>
      <c r="U39" s="1805">
        <f t="shared" si="13"/>
        <v>100</v>
      </c>
      <c r="V39" s="1804" t="s">
        <v>14</v>
      </c>
      <c r="W39" s="1805">
        <f t="shared" si="14"/>
        <v>100</v>
      </c>
      <c r="X39" s="1743"/>
      <c r="Y39" s="321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13"/>
      <c r="Q40" s="1803" t="str">
        <f t="shared" si="11"/>
        <v>市政基础设施</v>
      </c>
      <c r="R40" s="1804" t="s">
        <v>14</v>
      </c>
      <c r="S40" s="1805">
        <f t="shared" si="12"/>
        <v>100</v>
      </c>
      <c r="T40" s="1804" t="s">
        <v>14</v>
      </c>
      <c r="U40" s="1805">
        <f t="shared" si="13"/>
        <v>100</v>
      </c>
      <c r="V40" s="1804" t="s">
        <v>14</v>
      </c>
      <c r="W40" s="1805">
        <f t="shared" si="14"/>
        <v>100</v>
      </c>
      <c r="X40" s="1743"/>
      <c r="Y40" s="321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13"/>
      <c r="Q41" s="1803" t="str">
        <f t="shared" si="11"/>
        <v>层高</v>
      </c>
      <c r="R41" s="1804" t="s">
        <v>14</v>
      </c>
      <c r="S41" s="1805">
        <f t="shared" si="12"/>
        <v>100</v>
      </c>
      <c r="T41" s="1804" t="s">
        <v>14</v>
      </c>
      <c r="U41" s="1805">
        <f t="shared" si="13"/>
        <v>100</v>
      </c>
      <c r="V41" s="1804" t="s">
        <v>14</v>
      </c>
      <c r="W41" s="1805">
        <f t="shared" si="14"/>
        <v>100</v>
      </c>
      <c r="X41" s="1743"/>
      <c r="Y41" s="321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13"/>
      <c r="Q42" s="1839" t="str">
        <f t="shared" si="11"/>
        <v>单套建筑面积</v>
      </c>
      <c r="R42" s="1840" t="s">
        <v>14</v>
      </c>
      <c r="S42" s="1841">
        <f t="shared" si="12"/>
        <v>100</v>
      </c>
      <c r="T42" s="1840" t="s">
        <v>14</v>
      </c>
      <c r="U42" s="1841">
        <f t="shared" si="13"/>
        <v>100</v>
      </c>
      <c r="V42" s="1840" t="s">
        <v>14</v>
      </c>
      <c r="W42" s="1841">
        <f t="shared" si="14"/>
        <v>100</v>
      </c>
      <c r="X42" s="1842"/>
      <c r="Y42" s="321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13"/>
      <c r="Q43" s="1803" t="str">
        <f t="shared" si="11"/>
        <v>内部装修</v>
      </c>
      <c r="R43" s="1804" t="s">
        <v>14</v>
      </c>
      <c r="S43" s="1805">
        <f t="shared" si="12"/>
        <v>100</v>
      </c>
      <c r="T43" s="1804" t="s">
        <v>14</v>
      </c>
      <c r="U43" s="1805">
        <f t="shared" si="13"/>
        <v>100</v>
      </c>
      <c r="V43" s="1804" t="s">
        <v>14</v>
      </c>
      <c r="W43" s="1805">
        <f t="shared" si="14"/>
        <v>100</v>
      </c>
      <c r="X43" s="1743"/>
      <c r="Y43" s="321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13"/>
      <c r="Q44" s="1803" t="str">
        <f t="shared" si="11"/>
        <v>内部装修维护情况</v>
      </c>
      <c r="R44" s="1804" t="s">
        <v>14</v>
      </c>
      <c r="S44" s="1805">
        <f t="shared" si="12"/>
        <v>100</v>
      </c>
      <c r="T44" s="1804" t="s">
        <v>14</v>
      </c>
      <c r="U44" s="1805">
        <f t="shared" si="13"/>
        <v>100</v>
      </c>
      <c r="V44" s="1804" t="s">
        <v>14</v>
      </c>
      <c r="W44" s="1805">
        <f t="shared" si="14"/>
        <v>100</v>
      </c>
      <c r="X44" s="1743"/>
      <c r="Y44" s="321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13"/>
      <c r="Q45" s="1769">
        <f t="shared" si="11"/>
        <v>111</v>
      </c>
      <c r="R45" s="463" t="s">
        <v>14</v>
      </c>
      <c r="S45" s="1758">
        <f t="shared" si="12"/>
        <v>100</v>
      </c>
      <c r="T45" s="463" t="s">
        <v>14</v>
      </c>
      <c r="U45" s="1758">
        <f t="shared" si="13"/>
        <v>100</v>
      </c>
      <c r="V45" s="463" t="s">
        <v>14</v>
      </c>
      <c r="W45" s="1758">
        <f t="shared" si="14"/>
        <v>100</v>
      </c>
      <c r="X45" s="1759"/>
      <c r="Y45" s="321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13"/>
      <c r="Q46" s="1803">
        <f t="shared" si="11"/>
        <v>111</v>
      </c>
      <c r="R46" s="1804" t="s">
        <v>14</v>
      </c>
      <c r="S46" s="1805">
        <f t="shared" si="12"/>
        <v>100</v>
      </c>
      <c r="T46" s="1804" t="s">
        <v>14</v>
      </c>
      <c r="U46" s="1805">
        <f t="shared" si="13"/>
        <v>100</v>
      </c>
      <c r="V46" s="1804" t="s">
        <v>14</v>
      </c>
      <c r="W46" s="1805">
        <f t="shared" si="14"/>
        <v>100</v>
      </c>
      <c r="X46" s="1743"/>
      <c r="Y46" s="321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14"/>
      <c r="Q47" s="1803">
        <f t="shared" si="11"/>
        <v>111</v>
      </c>
      <c r="R47" s="1804" t="s">
        <v>14</v>
      </c>
      <c r="S47" s="1805">
        <f t="shared" si="12"/>
        <v>100</v>
      </c>
      <c r="T47" s="1804" t="s">
        <v>14</v>
      </c>
      <c r="U47" s="1805">
        <f t="shared" si="13"/>
        <v>100</v>
      </c>
      <c r="V47" s="1804" t="s">
        <v>14</v>
      </c>
      <c r="W47" s="1805">
        <f t="shared" si="14"/>
        <v>100</v>
      </c>
      <c r="X47" s="1743"/>
      <c r="Y47" s="321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9" t="str">
        <f>A48</f>
        <v>成交单价（元/平方米）</v>
      </c>
      <c r="Q48" s="3208"/>
      <c r="R48" s="3209">
        <f>E48</f>
        <v>0</v>
      </c>
      <c r="S48" s="3209"/>
      <c r="T48" s="3209">
        <f>G48</f>
        <v>0</v>
      </c>
      <c r="U48" s="3209"/>
      <c r="V48" s="3209">
        <f>I48</f>
        <v>0</v>
      </c>
      <c r="W48" s="320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9"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0" t="str">
        <f>A50</f>
        <v>估价对象XX用房的比较价值（楼面单价，元/平方米）</v>
      </c>
      <c r="Q50" s="3251"/>
      <c r="R50" s="3252" t="e">
        <f>IF(F1="售价",ROUND(IF(D49="简单平均",AVERAGE(R49:V49),R49*F49+T49*H49+V49*J49),0),ROUND(IF(D49="简单平均",AVERAGE(R49:V49),R49*F49+T49*H49+V49*J49),1))</f>
        <v>#DIV/0!</v>
      </c>
      <c r="S50" s="3252"/>
      <c r="T50" s="3252"/>
      <c r="U50" s="3252"/>
      <c r="V50" s="3252"/>
      <c r="W50" s="325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2108"/>
      <c r="M4" s="2109"/>
      <c r="N4" s="2109"/>
      <c r="O4" s="2109"/>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2108"/>
      <c r="M5" s="2109"/>
      <c r="N5" s="2109"/>
      <c r="O5" s="2109"/>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2108"/>
      <c r="M6" s="2109"/>
      <c r="N6" s="2109"/>
      <c r="O6" s="2109"/>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44818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43" t="s">
        <v>1911</v>
      </c>
      <c r="Q8" s="3244"/>
      <c r="R8" s="463" t="s">
        <v>14</v>
      </c>
      <c r="S8" s="1758">
        <f t="shared" si="0"/>
        <v>0</v>
      </c>
      <c r="T8" s="463" t="s">
        <v>14</v>
      </c>
      <c r="U8" s="1758">
        <f t="shared" si="1"/>
        <v>0</v>
      </c>
      <c r="V8" s="463" t="s">
        <v>14</v>
      </c>
      <c r="W8" s="1758">
        <f t="shared" si="2"/>
        <v>0</v>
      </c>
      <c r="X8" s="1759"/>
      <c r="Y8" s="3243" t="s">
        <v>1911</v>
      </c>
      <c r="Z8" s="324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10" t="s">
        <v>1919</v>
      </c>
      <c r="Q15" s="1803" t="str">
        <f t="shared" si="6"/>
        <v>产业集聚程度</v>
      </c>
      <c r="R15" s="1804" t="s">
        <v>14</v>
      </c>
      <c r="S15" s="1805">
        <f t="shared" si="0"/>
        <v>100</v>
      </c>
      <c r="T15" s="1804" t="s">
        <v>14</v>
      </c>
      <c r="U15" s="1805">
        <f t="shared" si="1"/>
        <v>100</v>
      </c>
      <c r="V15" s="1804" t="s">
        <v>14</v>
      </c>
      <c r="W15" s="1805">
        <f t="shared" si="2"/>
        <v>100</v>
      </c>
      <c r="X15" s="1743"/>
      <c r="Y15" s="321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11"/>
      <c r="Q16" s="1803"/>
      <c r="R16" s="1804"/>
      <c r="S16" s="1805"/>
      <c r="T16" s="1804"/>
      <c r="U16" s="1805"/>
      <c r="V16" s="1804"/>
      <c r="W16" s="1805"/>
      <c r="X16" s="1743"/>
      <c r="Y16" s="321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11"/>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11"/>
      <c r="Q18" s="1803"/>
      <c r="R18" s="1804"/>
      <c r="S18" s="1805"/>
      <c r="T18" s="1804"/>
      <c r="U18" s="1805"/>
      <c r="V18" s="1804"/>
      <c r="W18" s="1805"/>
      <c r="X18" s="1743"/>
      <c r="Y18" s="321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11"/>
      <c r="Q19" s="1803" t="str">
        <f>B19</f>
        <v>公共配套设施</v>
      </c>
      <c r="R19" s="1804" t="s">
        <v>14</v>
      </c>
      <c r="S19" s="1805">
        <f>F19</f>
        <v>100</v>
      </c>
      <c r="T19" s="1804" t="s">
        <v>14</v>
      </c>
      <c r="U19" s="1805">
        <f>H19</f>
        <v>100</v>
      </c>
      <c r="V19" s="1804" t="s">
        <v>14</v>
      </c>
      <c r="W19" s="1805">
        <f>J19</f>
        <v>100</v>
      </c>
      <c r="X19" s="1743"/>
      <c r="Y19" s="321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11"/>
      <c r="Q20" s="1803"/>
      <c r="R20" s="1804"/>
      <c r="S20" s="1805"/>
      <c r="T20" s="1804"/>
      <c r="U20" s="1805"/>
      <c r="V20" s="1804"/>
      <c r="W20" s="1805"/>
      <c r="X20" s="1743"/>
      <c r="Y20" s="321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11"/>
      <c r="Q21" s="1803" t="str">
        <f>B21</f>
        <v>基础设施水平</v>
      </c>
      <c r="R21" s="1804" t="s">
        <v>14</v>
      </c>
      <c r="S21" s="1805">
        <f>F21</f>
        <v>100</v>
      </c>
      <c r="T21" s="1804" t="s">
        <v>14</v>
      </c>
      <c r="U21" s="1805">
        <f>H21</f>
        <v>100</v>
      </c>
      <c r="V21" s="1804" t="s">
        <v>14</v>
      </c>
      <c r="W21" s="1805">
        <f>J21</f>
        <v>100</v>
      </c>
      <c r="X21" s="1743"/>
      <c r="Y21" s="321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11"/>
      <c r="Q22" s="1803"/>
      <c r="R22" s="1804"/>
      <c r="S22" s="1805"/>
      <c r="T22" s="1804"/>
      <c r="U22" s="1805"/>
      <c r="V22" s="1804"/>
      <c r="W22" s="1805"/>
      <c r="X22" s="1743"/>
      <c r="Y22" s="321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11"/>
      <c r="Q23" s="1803" t="str">
        <f>B23</f>
        <v>环境质量</v>
      </c>
      <c r="R23" s="1804" t="s">
        <v>14</v>
      </c>
      <c r="S23" s="1805">
        <f>F23</f>
        <v>100</v>
      </c>
      <c r="T23" s="1804" t="s">
        <v>14</v>
      </c>
      <c r="U23" s="1805">
        <f>H23</f>
        <v>100</v>
      </c>
      <c r="V23" s="1804" t="s">
        <v>14</v>
      </c>
      <c r="W23" s="1805">
        <f>J23</f>
        <v>100</v>
      </c>
      <c r="X23" s="1743"/>
      <c r="Y23" s="321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11"/>
      <c r="Q24" s="1803"/>
      <c r="R24" s="1804"/>
      <c r="S24" s="1805"/>
      <c r="T24" s="1804"/>
      <c r="U24" s="1805"/>
      <c r="V24" s="1804"/>
      <c r="W24" s="1805"/>
      <c r="X24" s="1743"/>
      <c r="Y24" s="321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11"/>
      <c r="Q25" s="1803">
        <f>B25</f>
        <v>111</v>
      </c>
      <c r="R25" s="1804" t="s">
        <v>14</v>
      </c>
      <c r="S25" s="1805">
        <f>F25</f>
        <v>100</v>
      </c>
      <c r="T25" s="1804" t="s">
        <v>14</v>
      </c>
      <c r="U25" s="1805">
        <f>H25</f>
        <v>100</v>
      </c>
      <c r="V25" s="1804" t="s">
        <v>14</v>
      </c>
      <c r="W25" s="1805">
        <f>J25</f>
        <v>100</v>
      </c>
      <c r="X25" s="1743"/>
      <c r="Y25" s="321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11"/>
      <c r="Q26" s="1803">
        <f t="shared" ref="Q26:Q40" si="11">B26</f>
        <v>111</v>
      </c>
      <c r="R26" s="1804" t="s">
        <v>14</v>
      </c>
      <c r="S26" s="1805">
        <f>F26</f>
        <v>100</v>
      </c>
      <c r="T26" s="1804" t="s">
        <v>14</v>
      </c>
      <c r="U26" s="1805">
        <f>H26</f>
        <v>100</v>
      </c>
      <c r="V26" s="1804" t="s">
        <v>14</v>
      </c>
      <c r="W26" s="1805">
        <f>J26</f>
        <v>100</v>
      </c>
      <c r="X26" s="1743"/>
      <c r="Y26" s="321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11"/>
      <c r="Q27" s="1769">
        <f t="shared" si="11"/>
        <v>111</v>
      </c>
      <c r="R27" s="463" t="s">
        <v>14</v>
      </c>
      <c r="S27" s="1758">
        <f>F27</f>
        <v>100</v>
      </c>
      <c r="T27" s="463" t="s">
        <v>14</v>
      </c>
      <c r="U27" s="1758">
        <f>H27</f>
        <v>100</v>
      </c>
      <c r="V27" s="463" t="s">
        <v>14</v>
      </c>
      <c r="W27" s="1758">
        <f>J27</f>
        <v>100</v>
      </c>
      <c r="X27" s="1759"/>
      <c r="Y27" s="321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1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1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5" t="s">
        <v>1924</v>
      </c>
      <c r="Q29" s="1803" t="str">
        <f t="shared" si="11"/>
        <v>建筑类型</v>
      </c>
      <c r="R29" s="1804" t="s">
        <v>14</v>
      </c>
      <c r="S29" s="1805">
        <f t="shared" si="12"/>
        <v>100</v>
      </c>
      <c r="T29" s="1804" t="s">
        <v>14</v>
      </c>
      <c r="U29" s="1805">
        <f t="shared" si="13"/>
        <v>100</v>
      </c>
      <c r="V29" s="1804" t="s">
        <v>14</v>
      </c>
      <c r="W29" s="1805">
        <f t="shared" si="14"/>
        <v>100</v>
      </c>
      <c r="X29" s="1743"/>
      <c r="Y29" s="321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15"/>
      <c r="Q30" s="1839" t="str">
        <f t="shared" si="11"/>
        <v>项目建筑规模</v>
      </c>
      <c r="R30" s="1840" t="s">
        <v>14</v>
      </c>
      <c r="S30" s="1841" t="e">
        <f t="shared" si="12"/>
        <v>#N/A</v>
      </c>
      <c r="T30" s="1840" t="s">
        <v>14</v>
      </c>
      <c r="U30" s="1841" t="e">
        <f t="shared" si="13"/>
        <v>#N/A</v>
      </c>
      <c r="V30" s="1840" t="s">
        <v>14</v>
      </c>
      <c r="W30" s="1841" t="e">
        <f t="shared" si="14"/>
        <v>#N/A</v>
      </c>
      <c r="X30" s="1842"/>
      <c r="Y30" s="321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15"/>
      <c r="Q31" s="1803" t="str">
        <f t="shared" si="11"/>
        <v>建筑结构</v>
      </c>
      <c r="R31" s="1804" t="s">
        <v>14</v>
      </c>
      <c r="S31" s="1805">
        <f t="shared" si="12"/>
        <v>100</v>
      </c>
      <c r="T31" s="1804" t="s">
        <v>14</v>
      </c>
      <c r="U31" s="1805">
        <f t="shared" si="13"/>
        <v>100</v>
      </c>
      <c r="V31" s="1804" t="s">
        <v>14</v>
      </c>
      <c r="W31" s="1805">
        <f t="shared" si="14"/>
        <v>100</v>
      </c>
      <c r="X31" s="1743"/>
      <c r="Y31" s="321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15"/>
      <c r="Q32" s="1803" t="str">
        <f t="shared" si="11"/>
        <v>公共部分装修</v>
      </c>
      <c r="R32" s="1804" t="s">
        <v>14</v>
      </c>
      <c r="S32" s="1805">
        <f t="shared" si="12"/>
        <v>100</v>
      </c>
      <c r="T32" s="1804" t="s">
        <v>14</v>
      </c>
      <c r="U32" s="1805">
        <f t="shared" si="13"/>
        <v>100</v>
      </c>
      <c r="V32" s="1804" t="s">
        <v>14</v>
      </c>
      <c r="W32" s="1805">
        <f t="shared" si="14"/>
        <v>100</v>
      </c>
      <c r="X32" s="1743"/>
      <c r="Y32" s="321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15"/>
      <c r="Q33" s="1803" t="str">
        <f t="shared" si="11"/>
        <v>成新度</v>
      </c>
      <c r="R33" s="1804" t="s">
        <v>14</v>
      </c>
      <c r="S33" s="1805" t="e">
        <f t="shared" si="12"/>
        <v>#N/A</v>
      </c>
      <c r="T33" s="1804" t="s">
        <v>14</v>
      </c>
      <c r="U33" s="1805" t="e">
        <f t="shared" si="13"/>
        <v>#N/A</v>
      </c>
      <c r="V33" s="1804" t="s">
        <v>14</v>
      </c>
      <c r="W33" s="1805" t="e">
        <f t="shared" si="14"/>
        <v>#N/A</v>
      </c>
      <c r="X33" s="1743"/>
      <c r="Y33" s="321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15"/>
      <c r="Q34" s="1769" t="str">
        <f t="shared" si="11"/>
        <v>物业管理</v>
      </c>
      <c r="R34" s="463" t="s">
        <v>14</v>
      </c>
      <c r="S34" s="1758">
        <f t="shared" si="12"/>
        <v>100</v>
      </c>
      <c r="T34" s="463" t="s">
        <v>14</v>
      </c>
      <c r="U34" s="1758">
        <f t="shared" si="13"/>
        <v>100</v>
      </c>
      <c r="V34" s="463" t="s">
        <v>14</v>
      </c>
      <c r="W34" s="1758">
        <f t="shared" si="14"/>
        <v>100</v>
      </c>
      <c r="X34" s="1759"/>
      <c r="Y34" s="321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15" t="s">
        <v>1924</v>
      </c>
      <c r="Q35" s="1803" t="str">
        <f t="shared" si="11"/>
        <v>市政基础设施</v>
      </c>
      <c r="R35" s="1804" t="s">
        <v>14</v>
      </c>
      <c r="S35" s="1805">
        <f t="shared" si="12"/>
        <v>100</v>
      </c>
      <c r="T35" s="1804" t="s">
        <v>14</v>
      </c>
      <c r="U35" s="1805">
        <f t="shared" si="13"/>
        <v>100</v>
      </c>
      <c r="V35" s="1804" t="s">
        <v>14</v>
      </c>
      <c r="W35" s="1805">
        <f t="shared" si="14"/>
        <v>100</v>
      </c>
      <c r="X35" s="1743"/>
      <c r="Y35" s="321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15"/>
      <c r="Q36" s="1803" t="str">
        <f t="shared" si="11"/>
        <v>内部装修</v>
      </c>
      <c r="R36" s="1804" t="s">
        <v>14</v>
      </c>
      <c r="S36" s="1805">
        <f t="shared" si="12"/>
        <v>100</v>
      </c>
      <c r="T36" s="1804" t="s">
        <v>14</v>
      </c>
      <c r="U36" s="1805">
        <f t="shared" si="13"/>
        <v>100</v>
      </c>
      <c r="V36" s="1804" t="s">
        <v>14</v>
      </c>
      <c r="W36" s="1805">
        <f t="shared" si="14"/>
        <v>100</v>
      </c>
      <c r="X36" s="1743"/>
      <c r="Y36" s="321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15"/>
      <c r="Q37" s="1803" t="str">
        <f t="shared" si="11"/>
        <v>内部装修状况</v>
      </c>
      <c r="R37" s="1804" t="s">
        <v>14</v>
      </c>
      <c r="S37" s="1805">
        <f t="shared" si="12"/>
        <v>100</v>
      </c>
      <c r="T37" s="1804" t="s">
        <v>14</v>
      </c>
      <c r="U37" s="1805">
        <f t="shared" si="13"/>
        <v>100</v>
      </c>
      <c r="V37" s="1804" t="s">
        <v>14</v>
      </c>
      <c r="W37" s="1805">
        <f t="shared" si="14"/>
        <v>100</v>
      </c>
      <c r="X37" s="1743"/>
      <c r="Y37" s="321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15"/>
      <c r="Q38" s="1839">
        <f t="shared" si="11"/>
        <v>111</v>
      </c>
      <c r="R38" s="1840" t="s">
        <v>14</v>
      </c>
      <c r="S38" s="1841">
        <f t="shared" si="12"/>
        <v>100</v>
      </c>
      <c r="T38" s="1840" t="s">
        <v>14</v>
      </c>
      <c r="U38" s="1841">
        <f t="shared" si="13"/>
        <v>100</v>
      </c>
      <c r="V38" s="1840" t="s">
        <v>14</v>
      </c>
      <c r="W38" s="1841">
        <f t="shared" si="14"/>
        <v>100</v>
      </c>
      <c r="X38" s="1842"/>
      <c r="Y38" s="321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15"/>
      <c r="Q39" s="1803">
        <f t="shared" si="11"/>
        <v>111</v>
      </c>
      <c r="R39" s="1804" t="s">
        <v>14</v>
      </c>
      <c r="S39" s="1805">
        <f t="shared" si="12"/>
        <v>100</v>
      </c>
      <c r="T39" s="1804" t="s">
        <v>14</v>
      </c>
      <c r="U39" s="1805">
        <f t="shared" si="13"/>
        <v>100</v>
      </c>
      <c r="V39" s="1804" t="s">
        <v>14</v>
      </c>
      <c r="W39" s="1805">
        <f t="shared" si="14"/>
        <v>100</v>
      </c>
      <c r="X39" s="1743"/>
      <c r="Y39" s="321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16"/>
      <c r="Q40" s="1803">
        <f t="shared" si="11"/>
        <v>111</v>
      </c>
      <c r="R40" s="1804" t="s">
        <v>14</v>
      </c>
      <c r="S40" s="1805">
        <f t="shared" si="12"/>
        <v>100</v>
      </c>
      <c r="T40" s="1804" t="s">
        <v>14</v>
      </c>
      <c r="U40" s="1805">
        <f t="shared" si="13"/>
        <v>100</v>
      </c>
      <c r="V40" s="1804" t="s">
        <v>14</v>
      </c>
      <c r="W40" s="1805">
        <f t="shared" si="14"/>
        <v>100</v>
      </c>
      <c r="X40" s="1743"/>
      <c r="Y40" s="321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08" t="str">
        <f>A41</f>
        <v>成交单价（元/平方米）</v>
      </c>
      <c r="Q41" s="3208"/>
      <c r="R41" s="3209">
        <f>E41</f>
        <v>0</v>
      </c>
      <c r="S41" s="3209"/>
      <c r="T41" s="3209">
        <f>G41</f>
        <v>0</v>
      </c>
      <c r="U41" s="3209"/>
      <c r="V41" s="3209">
        <f>I41</f>
        <v>0</v>
      </c>
      <c r="W41" s="320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05" t="str">
        <f>A43</f>
        <v>估价对象XX用房的比较价值（楼面单价，元/平方米）</v>
      </c>
      <c r="Q43" s="3206"/>
      <c r="R43" s="3207" t="e">
        <f>IF(F1="售价",ROUND(IF(D42="简单平均",AVERAGE(R42:V42),R42*F42+T42*H42+V42*J42),0),ROUND(IF(D42="简单平均",AVERAGE(R42:V42),R42*F42+T42*H42+V42*J42),1))</f>
        <v>#DIV/0!</v>
      </c>
      <c r="S43" s="3207"/>
      <c r="T43" s="3207"/>
      <c r="U43" s="3207"/>
      <c r="V43" s="3207"/>
      <c r="W43" s="320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44818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43" t="s">
        <v>1908</v>
      </c>
      <c r="Q7" s="3245"/>
      <c r="R7" s="463" t="s">
        <v>14</v>
      </c>
      <c r="S7" s="1758">
        <f t="shared" ref="S7:S14" si="0">F7</f>
        <v>0</v>
      </c>
      <c r="T7" s="463" t="s">
        <v>14</v>
      </c>
      <c r="U7" s="1758">
        <f t="shared" ref="U7:U14" si="1">H7</f>
        <v>0</v>
      </c>
      <c r="V7" s="463" t="s">
        <v>14</v>
      </c>
      <c r="W7" s="1758">
        <f t="shared" ref="W7:W14"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08" t="s">
        <v>1914</v>
      </c>
      <c r="Q9" s="1769" t="str">
        <f t="shared" ref="Q9:Q14" si="6">B9</f>
        <v>用途</v>
      </c>
      <c r="R9" s="463" t="s">
        <v>14</v>
      </c>
      <c r="S9" s="1758">
        <f t="shared" si="0"/>
        <v>100</v>
      </c>
      <c r="T9" s="463" t="s">
        <v>14</v>
      </c>
      <c r="U9" s="1758">
        <f t="shared" si="1"/>
        <v>100</v>
      </c>
      <c r="V9" s="463" t="s">
        <v>14</v>
      </c>
      <c r="W9" s="1758">
        <f t="shared" si="2"/>
        <v>100</v>
      </c>
      <c r="X9" s="1759"/>
      <c r="Y9" s="308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08"/>
      <c r="Q11" s="1769">
        <f t="shared" si="6"/>
        <v>111</v>
      </c>
      <c r="R11" s="463" t="s">
        <v>14</v>
      </c>
      <c r="S11" s="1758">
        <f t="shared" si="0"/>
        <v>100</v>
      </c>
      <c r="T11" s="463" t="s">
        <v>14</v>
      </c>
      <c r="U11" s="1758">
        <f t="shared" si="1"/>
        <v>100</v>
      </c>
      <c r="V11" s="463" t="s">
        <v>14</v>
      </c>
      <c r="W11" s="1758">
        <f t="shared" si="2"/>
        <v>100</v>
      </c>
      <c r="X11" s="1759"/>
      <c r="Y11" s="308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10" t="s">
        <v>1919</v>
      </c>
      <c r="Q14" s="1803" t="str">
        <f t="shared" si="6"/>
        <v>交通便捷度</v>
      </c>
      <c r="R14" s="1804" t="s">
        <v>14</v>
      </c>
      <c r="S14" s="1805">
        <f t="shared" si="0"/>
        <v>100</v>
      </c>
      <c r="T14" s="1804" t="s">
        <v>14</v>
      </c>
      <c r="U14" s="1805">
        <f t="shared" si="1"/>
        <v>100</v>
      </c>
      <c r="V14" s="1804" t="s">
        <v>14</v>
      </c>
      <c r="W14" s="1805">
        <f t="shared" si="2"/>
        <v>100</v>
      </c>
      <c r="X14" s="1743"/>
      <c r="Y14" s="321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11"/>
      <c r="Q15" s="1803"/>
      <c r="R15" s="1804"/>
      <c r="S15" s="1805"/>
      <c r="T15" s="1804"/>
      <c r="U15" s="1805"/>
      <c r="V15" s="1804"/>
      <c r="W15" s="1805"/>
      <c r="X15" s="1743"/>
      <c r="Y15" s="321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11"/>
      <c r="Q16" s="1803" t="str">
        <f>B16</f>
        <v>公共配套设施</v>
      </c>
      <c r="R16" s="1804" t="s">
        <v>14</v>
      </c>
      <c r="S16" s="1805">
        <f>F16</f>
        <v>100</v>
      </c>
      <c r="T16" s="1804" t="s">
        <v>14</v>
      </c>
      <c r="U16" s="1805">
        <f>H16</f>
        <v>100</v>
      </c>
      <c r="V16" s="1804" t="s">
        <v>14</v>
      </c>
      <c r="W16" s="1805">
        <f>J16</f>
        <v>100</v>
      </c>
      <c r="X16" s="1743"/>
      <c r="Y16" s="321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11"/>
      <c r="Q17" s="1803"/>
      <c r="R17" s="1804"/>
      <c r="S17" s="1805"/>
      <c r="T17" s="1804"/>
      <c r="U17" s="1805"/>
      <c r="V17" s="1804"/>
      <c r="W17" s="1805"/>
      <c r="X17" s="1743"/>
      <c r="Y17" s="321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11"/>
      <c r="Q18" s="1803" t="str">
        <f>B18</f>
        <v>基础设施水平</v>
      </c>
      <c r="R18" s="1804" t="s">
        <v>14</v>
      </c>
      <c r="S18" s="1805">
        <f>F18</f>
        <v>100</v>
      </c>
      <c r="T18" s="1804" t="s">
        <v>14</v>
      </c>
      <c r="U18" s="1805">
        <f>H18</f>
        <v>100</v>
      </c>
      <c r="V18" s="1804" t="s">
        <v>14</v>
      </c>
      <c r="W18" s="1805">
        <f>J18</f>
        <v>100</v>
      </c>
      <c r="X18" s="1743"/>
      <c r="Y18" s="321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11"/>
      <c r="Q19" s="1803"/>
      <c r="R19" s="1804"/>
      <c r="S19" s="1805"/>
      <c r="T19" s="1804"/>
      <c r="U19" s="1805"/>
      <c r="V19" s="1804"/>
      <c r="W19" s="1805"/>
      <c r="X19" s="1743"/>
      <c r="Y19" s="321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11"/>
      <c r="Q20" s="1803" t="str">
        <f>B20</f>
        <v>自然及人文环境</v>
      </c>
      <c r="R20" s="1804" t="s">
        <v>14</v>
      </c>
      <c r="S20" s="1805">
        <f>F20</f>
        <v>100</v>
      </c>
      <c r="T20" s="1804" t="s">
        <v>14</v>
      </c>
      <c r="U20" s="1805">
        <f>H20</f>
        <v>100</v>
      </c>
      <c r="V20" s="1804" t="s">
        <v>14</v>
      </c>
      <c r="W20" s="1805">
        <f>J20</f>
        <v>100</v>
      </c>
      <c r="X20" s="1743"/>
      <c r="Y20" s="321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11"/>
      <c r="Q21" s="1803"/>
      <c r="R21" s="1804"/>
      <c r="S21" s="1805"/>
      <c r="T21" s="1804"/>
      <c r="U21" s="1805"/>
      <c r="V21" s="1804"/>
      <c r="W21" s="1805"/>
      <c r="X21" s="1743"/>
      <c r="Y21" s="321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11"/>
      <c r="Q22" s="1803" t="str">
        <f>B22</f>
        <v>楼层</v>
      </c>
      <c r="R22" s="1804" t="s">
        <v>14</v>
      </c>
      <c r="S22" s="1805">
        <f>F22</f>
        <v>100</v>
      </c>
      <c r="T22" s="1804" t="s">
        <v>14</v>
      </c>
      <c r="U22" s="1805">
        <f>H22</f>
        <v>100</v>
      </c>
      <c r="V22" s="1804" t="s">
        <v>14</v>
      </c>
      <c r="W22" s="1805">
        <f>J22</f>
        <v>100</v>
      </c>
      <c r="X22" s="1743"/>
      <c r="Y22" s="321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11"/>
      <c r="Q23" s="1803">
        <f>B23</f>
        <v>111</v>
      </c>
      <c r="R23" s="1804" t="s">
        <v>14</v>
      </c>
      <c r="S23" s="1805">
        <f>F23</f>
        <v>100</v>
      </c>
      <c r="T23" s="1804" t="s">
        <v>14</v>
      </c>
      <c r="U23" s="1805">
        <f>H23</f>
        <v>100</v>
      </c>
      <c r="V23" s="1804" t="s">
        <v>14</v>
      </c>
      <c r="W23" s="1805">
        <f>J23</f>
        <v>100</v>
      </c>
      <c r="X23" s="1743"/>
      <c r="Y23" s="321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11"/>
      <c r="Q24" s="1803">
        <f t="shared" ref="Q24:Q36" si="11">B24</f>
        <v>111</v>
      </c>
      <c r="R24" s="1804" t="s">
        <v>14</v>
      </c>
      <c r="S24" s="1805">
        <f>F24</f>
        <v>100</v>
      </c>
      <c r="T24" s="1804" t="s">
        <v>14</v>
      </c>
      <c r="U24" s="1805">
        <f>H24</f>
        <v>100</v>
      </c>
      <c r="V24" s="1804" t="s">
        <v>14</v>
      </c>
      <c r="W24" s="1805">
        <f>J24</f>
        <v>100</v>
      </c>
      <c r="X24" s="1743"/>
      <c r="Y24" s="321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11"/>
      <c r="Q25" s="1769">
        <f t="shared" si="11"/>
        <v>111</v>
      </c>
      <c r="R25" s="463" t="s">
        <v>14</v>
      </c>
      <c r="S25" s="1758">
        <f>F25</f>
        <v>100</v>
      </c>
      <c r="T25" s="463" t="s">
        <v>14</v>
      </c>
      <c r="U25" s="1758">
        <f>H25</f>
        <v>100</v>
      </c>
      <c r="V25" s="463" t="s">
        <v>14</v>
      </c>
      <c r="W25" s="1758">
        <f>J25</f>
        <v>100</v>
      </c>
      <c r="X25" s="1759"/>
      <c r="Y25" s="321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1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15"/>
      <c r="Q27" s="1839" t="str">
        <f t="shared" si="11"/>
        <v>项目停车位配比</v>
      </c>
      <c r="R27" s="1840" t="s">
        <v>14</v>
      </c>
      <c r="S27" s="1841">
        <f t="shared" si="12"/>
        <v>100</v>
      </c>
      <c r="T27" s="1840" t="s">
        <v>14</v>
      </c>
      <c r="U27" s="1841">
        <f t="shared" si="13"/>
        <v>100</v>
      </c>
      <c r="V27" s="1840" t="s">
        <v>14</v>
      </c>
      <c r="W27" s="1841">
        <f t="shared" si="14"/>
        <v>100</v>
      </c>
      <c r="X27" s="1842"/>
      <c r="Y27" s="321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15"/>
      <c r="Q28" s="1803" t="str">
        <f t="shared" si="11"/>
        <v>公共部分装修</v>
      </c>
      <c r="R28" s="1804" t="s">
        <v>14</v>
      </c>
      <c r="S28" s="1805">
        <f t="shared" si="12"/>
        <v>100</v>
      </c>
      <c r="T28" s="1804" t="s">
        <v>14</v>
      </c>
      <c r="U28" s="1805">
        <f t="shared" si="13"/>
        <v>100</v>
      </c>
      <c r="V28" s="1804" t="s">
        <v>14</v>
      </c>
      <c r="W28" s="1805">
        <f t="shared" si="14"/>
        <v>100</v>
      </c>
      <c r="X28" s="1743"/>
      <c r="Y28" s="321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15"/>
      <c r="Q29" s="1803" t="str">
        <f t="shared" si="11"/>
        <v>成新率</v>
      </c>
      <c r="R29" s="1804" t="s">
        <v>14</v>
      </c>
      <c r="S29" s="1805" t="e">
        <f t="shared" si="12"/>
        <v>#N/A</v>
      </c>
      <c r="T29" s="1804" t="s">
        <v>14</v>
      </c>
      <c r="U29" s="1805" t="e">
        <f t="shared" si="13"/>
        <v>#N/A</v>
      </c>
      <c r="V29" s="1804" t="s">
        <v>14</v>
      </c>
      <c r="W29" s="1805" t="e">
        <f t="shared" si="14"/>
        <v>#N/A</v>
      </c>
      <c r="X29" s="1743"/>
      <c r="Y29" s="321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15"/>
      <c r="Q30" s="1803" t="str">
        <f t="shared" si="11"/>
        <v>物业等级</v>
      </c>
      <c r="R30" s="1804" t="s">
        <v>14</v>
      </c>
      <c r="S30" s="1805">
        <f t="shared" si="12"/>
        <v>100</v>
      </c>
      <c r="T30" s="1804" t="s">
        <v>14</v>
      </c>
      <c r="U30" s="1805">
        <f t="shared" si="13"/>
        <v>100</v>
      </c>
      <c r="V30" s="1804" t="s">
        <v>14</v>
      </c>
      <c r="W30" s="1805">
        <f t="shared" si="14"/>
        <v>100</v>
      </c>
      <c r="X30" s="1743"/>
      <c r="Y30" s="321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15"/>
      <c r="Q31" s="1769" t="str">
        <f t="shared" si="11"/>
        <v>停车位面积</v>
      </c>
      <c r="R31" s="463" t="s">
        <v>14</v>
      </c>
      <c r="S31" s="1758" t="e">
        <f t="shared" si="12"/>
        <v>#N/A</v>
      </c>
      <c r="T31" s="463" t="s">
        <v>14</v>
      </c>
      <c r="U31" s="1758" t="e">
        <f t="shared" si="13"/>
        <v>#N/A</v>
      </c>
      <c r="V31" s="463" t="s">
        <v>14</v>
      </c>
      <c r="W31" s="1758" t="e">
        <f t="shared" si="14"/>
        <v>#N/A</v>
      </c>
      <c r="X31" s="1759"/>
      <c r="Y31" s="321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15" t="s">
        <v>1924</v>
      </c>
      <c r="Q32" s="1803" t="str">
        <f t="shared" si="11"/>
        <v>车位类型</v>
      </c>
      <c r="R32" s="1804" t="s">
        <v>14</v>
      </c>
      <c r="S32" s="1805">
        <f t="shared" si="12"/>
        <v>100</v>
      </c>
      <c r="T32" s="1804" t="s">
        <v>14</v>
      </c>
      <c r="U32" s="1805">
        <f t="shared" si="13"/>
        <v>100</v>
      </c>
      <c r="V32" s="1804" t="s">
        <v>14</v>
      </c>
      <c r="W32" s="1805">
        <f t="shared" si="14"/>
        <v>100</v>
      </c>
      <c r="X32" s="1743"/>
      <c r="Y32" s="321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15"/>
      <c r="Q33" s="1803" t="str">
        <f t="shared" si="11"/>
        <v>是否直接入户</v>
      </c>
      <c r="R33" s="1804" t="s">
        <v>14</v>
      </c>
      <c r="S33" s="1805">
        <f t="shared" si="12"/>
        <v>100</v>
      </c>
      <c r="T33" s="1804" t="s">
        <v>14</v>
      </c>
      <c r="U33" s="1805">
        <f t="shared" si="13"/>
        <v>100</v>
      </c>
      <c r="V33" s="1804" t="s">
        <v>14</v>
      </c>
      <c r="W33" s="1805">
        <f t="shared" si="14"/>
        <v>100</v>
      </c>
      <c r="X33" s="1743"/>
      <c r="Y33" s="321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15"/>
      <c r="Q34" s="1803">
        <f t="shared" si="11"/>
        <v>111</v>
      </c>
      <c r="R34" s="1804" t="s">
        <v>14</v>
      </c>
      <c r="S34" s="1805">
        <f t="shared" si="12"/>
        <v>100</v>
      </c>
      <c r="T34" s="1804" t="s">
        <v>14</v>
      </c>
      <c r="U34" s="1805">
        <f t="shared" si="13"/>
        <v>100</v>
      </c>
      <c r="V34" s="1804" t="s">
        <v>14</v>
      </c>
      <c r="W34" s="1805">
        <f t="shared" si="14"/>
        <v>100</v>
      </c>
      <c r="X34" s="1743"/>
      <c r="Y34" s="321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15"/>
      <c r="Q35" s="1839">
        <f t="shared" si="11"/>
        <v>111</v>
      </c>
      <c r="R35" s="1840" t="s">
        <v>14</v>
      </c>
      <c r="S35" s="1841">
        <f t="shared" si="12"/>
        <v>100</v>
      </c>
      <c r="T35" s="1840" t="s">
        <v>14</v>
      </c>
      <c r="U35" s="1841">
        <f t="shared" si="13"/>
        <v>100</v>
      </c>
      <c r="V35" s="1840" t="s">
        <v>14</v>
      </c>
      <c r="W35" s="1841">
        <f t="shared" si="14"/>
        <v>100</v>
      </c>
      <c r="X35" s="1842"/>
      <c r="Y35" s="321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15"/>
      <c r="Q36" s="1803">
        <f t="shared" si="11"/>
        <v>111</v>
      </c>
      <c r="R36" s="1804" t="s">
        <v>14</v>
      </c>
      <c r="S36" s="1805">
        <f t="shared" si="12"/>
        <v>100</v>
      </c>
      <c r="T36" s="1804" t="s">
        <v>14</v>
      </c>
      <c r="U36" s="1805">
        <f t="shared" si="13"/>
        <v>100</v>
      </c>
      <c r="V36" s="1804" t="s">
        <v>14</v>
      </c>
      <c r="W36" s="1805">
        <f t="shared" si="14"/>
        <v>100</v>
      </c>
      <c r="X36" s="1743"/>
      <c r="Y36" s="321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08" t="str">
        <f>A37</f>
        <v>成交单价</v>
      </c>
      <c r="Q37" s="3208"/>
      <c r="R37" s="3209">
        <f>E37</f>
        <v>0</v>
      </c>
      <c r="S37" s="3209"/>
      <c r="T37" s="3209">
        <f>G37</f>
        <v>0</v>
      </c>
      <c r="U37" s="3209"/>
      <c r="V37" s="3209">
        <f>I37</f>
        <v>0</v>
      </c>
      <c r="W37" s="320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05" t="str">
        <f>A39</f>
        <v>估价对象XX用房的比较价值（楼面单价，元/平方米）</v>
      </c>
      <c r="Q39" s="3206"/>
      <c r="R39" s="3266" t="e">
        <f>IF(F1="售价",ROUND(IF(D38="简单平均",AVERAGE(R38:W38),R38*F38+T38*H38+V38*J38),0),ROUND(IF(D38="简单平均",AVERAGE(R38:V38),R38*F38+T38*H38+V38*J38),1))</f>
        <v>#DIV/0!</v>
      </c>
      <c r="S39" s="3266"/>
      <c r="T39" s="3266"/>
      <c r="U39" s="3266"/>
      <c r="V39" s="3266"/>
      <c r="W39" s="326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2022年9月14日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44818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43" t="s">
        <v>1908</v>
      </c>
      <c r="Q7" s="3245"/>
      <c r="R7" s="463" t="s">
        <v>14</v>
      </c>
      <c r="S7" s="1758">
        <f t="shared" ref="S7:S14" si="0">F7</f>
        <v>0</v>
      </c>
      <c r="T7" s="463" t="s">
        <v>14</v>
      </c>
      <c r="U7" s="1758">
        <f t="shared" ref="U7:U14" si="1">H7</f>
        <v>0</v>
      </c>
      <c r="V7" s="463" t="s">
        <v>14</v>
      </c>
      <c r="W7" s="1758">
        <f t="shared" ref="W7:W14" si="2">J7</f>
        <v>0</v>
      </c>
      <c r="X7" s="1759"/>
      <c r="Y7" s="3243" t="s">
        <v>1908</v>
      </c>
      <c r="Z7" s="324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08" t="s">
        <v>1914</v>
      </c>
      <c r="Q9" s="1769" t="str">
        <f t="shared" ref="Q9:Q14" si="6">B9</f>
        <v>用途</v>
      </c>
      <c r="R9" s="463" t="s">
        <v>14</v>
      </c>
      <c r="S9" s="1758">
        <f t="shared" si="0"/>
        <v>100</v>
      </c>
      <c r="T9" s="463" t="s">
        <v>14</v>
      </c>
      <c r="U9" s="1758">
        <f t="shared" si="1"/>
        <v>100</v>
      </c>
      <c r="V9" s="463" t="s">
        <v>14</v>
      </c>
      <c r="W9" s="1758">
        <f t="shared" si="2"/>
        <v>100</v>
      </c>
      <c r="X9" s="1759"/>
      <c r="Y9" s="308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08"/>
      <c r="Q10" s="1769" t="str">
        <f t="shared" si="6"/>
        <v>土地使用年限（年）</v>
      </c>
      <c r="R10" s="463" t="s">
        <v>14</v>
      </c>
      <c r="S10" s="1758">
        <f t="shared" si="0"/>
        <v>100</v>
      </c>
      <c r="T10" s="463" t="s">
        <v>14</v>
      </c>
      <c r="U10" s="1758">
        <f t="shared" si="1"/>
        <v>100</v>
      </c>
      <c r="V10" s="463" t="s">
        <v>14</v>
      </c>
      <c r="W10" s="1758">
        <f t="shared" si="2"/>
        <v>100</v>
      </c>
      <c r="X10" s="1759"/>
      <c r="Y10" s="308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08"/>
      <c r="Q11" s="1769">
        <f t="shared" si="6"/>
        <v>111</v>
      </c>
      <c r="R11" s="463" t="s">
        <v>14</v>
      </c>
      <c r="S11" s="1758">
        <f t="shared" si="0"/>
        <v>100</v>
      </c>
      <c r="T11" s="463" t="s">
        <v>14</v>
      </c>
      <c r="U11" s="1758">
        <f t="shared" si="1"/>
        <v>100</v>
      </c>
      <c r="V11" s="463" t="s">
        <v>14</v>
      </c>
      <c r="W11" s="1758">
        <f t="shared" si="2"/>
        <v>100</v>
      </c>
      <c r="X11" s="1759"/>
      <c r="Y11" s="308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10" t="s">
        <v>1919</v>
      </c>
      <c r="Q14" s="1803" t="str">
        <f t="shared" si="6"/>
        <v>交通便捷度</v>
      </c>
      <c r="R14" s="1804" t="s">
        <v>14</v>
      </c>
      <c r="S14" s="1805">
        <f t="shared" si="0"/>
        <v>100</v>
      </c>
      <c r="T14" s="1804" t="s">
        <v>14</v>
      </c>
      <c r="U14" s="1805">
        <f t="shared" si="1"/>
        <v>100</v>
      </c>
      <c r="V14" s="1804" t="s">
        <v>14</v>
      </c>
      <c r="W14" s="1805">
        <f t="shared" si="2"/>
        <v>100</v>
      </c>
      <c r="X14" s="1743"/>
      <c r="Y14" s="321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11"/>
      <c r="Q15" s="1803"/>
      <c r="R15" s="1804"/>
      <c r="S15" s="1805"/>
      <c r="T15" s="1804"/>
      <c r="U15" s="1805"/>
      <c r="V15" s="1804"/>
      <c r="W15" s="1805"/>
      <c r="X15" s="1743"/>
      <c r="Y15" s="321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11"/>
      <c r="Q16" s="1803" t="str">
        <f>B16</f>
        <v>公共配套设施</v>
      </c>
      <c r="R16" s="1804" t="s">
        <v>14</v>
      </c>
      <c r="S16" s="1805">
        <f>F16</f>
        <v>100</v>
      </c>
      <c r="T16" s="1804" t="s">
        <v>14</v>
      </c>
      <c r="U16" s="1805">
        <f>H16</f>
        <v>100</v>
      </c>
      <c r="V16" s="1804" t="s">
        <v>14</v>
      </c>
      <c r="W16" s="1805">
        <f>J16</f>
        <v>100</v>
      </c>
      <c r="X16" s="1743"/>
      <c r="Y16" s="321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11"/>
      <c r="Q17" s="1803"/>
      <c r="R17" s="1804"/>
      <c r="S17" s="1805"/>
      <c r="T17" s="1804"/>
      <c r="U17" s="1805"/>
      <c r="V17" s="1804"/>
      <c r="W17" s="1805"/>
      <c r="X17" s="1743"/>
      <c r="Y17" s="321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11"/>
      <c r="Q18" s="1803" t="str">
        <f>B18</f>
        <v>基础设施水平</v>
      </c>
      <c r="R18" s="1804" t="s">
        <v>14</v>
      </c>
      <c r="S18" s="1805">
        <f>F18</f>
        <v>100</v>
      </c>
      <c r="T18" s="1804" t="s">
        <v>14</v>
      </c>
      <c r="U18" s="1805">
        <f>H18</f>
        <v>100</v>
      </c>
      <c r="V18" s="1804" t="s">
        <v>14</v>
      </c>
      <c r="W18" s="1805">
        <f>J18</f>
        <v>100</v>
      </c>
      <c r="X18" s="1743"/>
      <c r="Y18" s="321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11"/>
      <c r="Q19" s="1803"/>
      <c r="R19" s="1804"/>
      <c r="S19" s="1805"/>
      <c r="T19" s="1804"/>
      <c r="U19" s="1805"/>
      <c r="V19" s="1804"/>
      <c r="W19" s="1805"/>
      <c r="X19" s="1743"/>
      <c r="Y19" s="321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11"/>
      <c r="Q20" s="1803" t="str">
        <f>B20</f>
        <v>自然及人文环境</v>
      </c>
      <c r="R20" s="1804" t="s">
        <v>14</v>
      </c>
      <c r="S20" s="1805">
        <f>F20</f>
        <v>100</v>
      </c>
      <c r="T20" s="1804" t="s">
        <v>14</v>
      </c>
      <c r="U20" s="1805">
        <f>H20</f>
        <v>100</v>
      </c>
      <c r="V20" s="1804" t="s">
        <v>14</v>
      </c>
      <c r="W20" s="1805">
        <f>J20</f>
        <v>100</v>
      </c>
      <c r="X20" s="1743"/>
      <c r="Y20" s="321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11"/>
      <c r="Q21" s="1803"/>
      <c r="R21" s="1804"/>
      <c r="S21" s="1805"/>
      <c r="T21" s="1804"/>
      <c r="U21" s="1805"/>
      <c r="V21" s="1804"/>
      <c r="W21" s="1805"/>
      <c r="X21" s="1743"/>
      <c r="Y21" s="321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11"/>
      <c r="Q22" s="1803" t="str">
        <f>B22</f>
        <v>楼层</v>
      </c>
      <c r="R22" s="1804" t="s">
        <v>14</v>
      </c>
      <c r="S22" s="1805">
        <f>F22</f>
        <v>100</v>
      </c>
      <c r="T22" s="1804" t="s">
        <v>14</v>
      </c>
      <c r="U22" s="1805">
        <f>H22</f>
        <v>100</v>
      </c>
      <c r="V22" s="1804" t="s">
        <v>14</v>
      </c>
      <c r="W22" s="1805">
        <f>J22</f>
        <v>100</v>
      </c>
      <c r="X22" s="1743"/>
      <c r="Y22" s="321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11"/>
      <c r="Q23" s="1803">
        <f>B23</f>
        <v>111</v>
      </c>
      <c r="R23" s="1804" t="s">
        <v>14</v>
      </c>
      <c r="S23" s="1805">
        <f>F23</f>
        <v>100</v>
      </c>
      <c r="T23" s="1804" t="s">
        <v>14</v>
      </c>
      <c r="U23" s="1805">
        <f>H23</f>
        <v>100</v>
      </c>
      <c r="V23" s="1804" t="s">
        <v>14</v>
      </c>
      <c r="W23" s="1805">
        <f>J23</f>
        <v>100</v>
      </c>
      <c r="X23" s="1743"/>
      <c r="Y23" s="321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11"/>
      <c r="Q24" s="1803">
        <f t="shared" ref="Q24:Q34" si="11">B24</f>
        <v>111</v>
      </c>
      <c r="R24" s="1804" t="s">
        <v>14</v>
      </c>
      <c r="S24" s="1805">
        <f>F24</f>
        <v>100</v>
      </c>
      <c r="T24" s="1804" t="s">
        <v>14</v>
      </c>
      <c r="U24" s="1805">
        <f>H24</f>
        <v>100</v>
      </c>
      <c r="V24" s="1804" t="s">
        <v>14</v>
      </c>
      <c r="W24" s="1805">
        <f>J24</f>
        <v>100</v>
      </c>
      <c r="X24" s="1743"/>
      <c r="Y24" s="321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11"/>
      <c r="Q25" s="1769">
        <f t="shared" si="11"/>
        <v>111</v>
      </c>
      <c r="R25" s="463" t="s">
        <v>14</v>
      </c>
      <c r="S25" s="1758">
        <f>F25</f>
        <v>100</v>
      </c>
      <c r="T25" s="463" t="s">
        <v>14</v>
      </c>
      <c r="U25" s="1758">
        <f>H25</f>
        <v>100</v>
      </c>
      <c r="V25" s="463" t="s">
        <v>14</v>
      </c>
      <c r="W25" s="1758">
        <f>J25</f>
        <v>100</v>
      </c>
      <c r="X25" s="1759"/>
      <c r="Y25" s="321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1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15"/>
      <c r="Q27" s="1839" t="str">
        <f t="shared" si="11"/>
        <v>成新率</v>
      </c>
      <c r="R27" s="1840" t="s">
        <v>14</v>
      </c>
      <c r="S27" s="1841" t="e">
        <f t="shared" si="12"/>
        <v>#N/A</v>
      </c>
      <c r="T27" s="1840" t="s">
        <v>14</v>
      </c>
      <c r="U27" s="1841" t="e">
        <f t="shared" si="13"/>
        <v>#N/A</v>
      </c>
      <c r="V27" s="1840" t="s">
        <v>14</v>
      </c>
      <c r="W27" s="1841" t="e">
        <f t="shared" si="14"/>
        <v>#N/A</v>
      </c>
      <c r="X27" s="1842"/>
      <c r="Y27" s="321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15"/>
      <c r="Q28" s="1803" t="str">
        <f t="shared" si="11"/>
        <v>物业等级</v>
      </c>
      <c r="R28" s="1804" t="s">
        <v>14</v>
      </c>
      <c r="S28" s="1805">
        <f t="shared" si="12"/>
        <v>100</v>
      </c>
      <c r="T28" s="1804" t="s">
        <v>14</v>
      </c>
      <c r="U28" s="1805">
        <f t="shared" si="13"/>
        <v>100</v>
      </c>
      <c r="V28" s="1804" t="s">
        <v>14</v>
      </c>
      <c r="W28" s="1805">
        <f t="shared" si="14"/>
        <v>100</v>
      </c>
      <c r="X28" s="1743"/>
      <c r="Y28" s="321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15"/>
      <c r="Q29" s="1803" t="str">
        <f t="shared" si="11"/>
        <v>有无电梯</v>
      </c>
      <c r="R29" s="1804" t="s">
        <v>14</v>
      </c>
      <c r="S29" s="1805">
        <f t="shared" si="12"/>
        <v>100</v>
      </c>
      <c r="T29" s="1804" t="s">
        <v>14</v>
      </c>
      <c r="U29" s="1805">
        <f t="shared" si="13"/>
        <v>100</v>
      </c>
      <c r="V29" s="1804" t="s">
        <v>14</v>
      </c>
      <c r="W29" s="1805">
        <f t="shared" si="14"/>
        <v>100</v>
      </c>
      <c r="X29" s="1743"/>
      <c r="Y29" s="321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15"/>
      <c r="Q30" s="1803" t="str">
        <f t="shared" si="11"/>
        <v>建筑面积</v>
      </c>
      <c r="R30" s="1804" t="s">
        <v>14</v>
      </c>
      <c r="S30" s="1805" t="e">
        <f t="shared" si="12"/>
        <v>#N/A</v>
      </c>
      <c r="T30" s="1804" t="s">
        <v>14</v>
      </c>
      <c r="U30" s="1805" t="e">
        <f t="shared" si="13"/>
        <v>#N/A</v>
      </c>
      <c r="V30" s="1804" t="s">
        <v>14</v>
      </c>
      <c r="W30" s="1805" t="e">
        <f t="shared" si="14"/>
        <v>#N/A</v>
      </c>
      <c r="X30" s="1743"/>
      <c r="Y30" s="321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15"/>
      <c r="Q31" s="1769" t="str">
        <f t="shared" si="11"/>
        <v>是否封闭</v>
      </c>
      <c r="R31" s="463" t="s">
        <v>14</v>
      </c>
      <c r="S31" s="1758">
        <f t="shared" si="12"/>
        <v>100</v>
      </c>
      <c r="T31" s="463" t="s">
        <v>14</v>
      </c>
      <c r="U31" s="1758">
        <f t="shared" si="13"/>
        <v>100</v>
      </c>
      <c r="V31" s="463" t="s">
        <v>14</v>
      </c>
      <c r="W31" s="1758">
        <f t="shared" si="14"/>
        <v>100</v>
      </c>
      <c r="X31" s="1759"/>
      <c r="Y31" s="321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15" t="s">
        <v>1924</v>
      </c>
      <c r="Q32" s="1803">
        <f t="shared" si="11"/>
        <v>111</v>
      </c>
      <c r="R32" s="1804" t="s">
        <v>14</v>
      </c>
      <c r="S32" s="1805">
        <f t="shared" si="12"/>
        <v>100</v>
      </c>
      <c r="T32" s="1804" t="s">
        <v>14</v>
      </c>
      <c r="U32" s="1805">
        <f t="shared" si="13"/>
        <v>100</v>
      </c>
      <c r="V32" s="1804" t="s">
        <v>14</v>
      </c>
      <c r="W32" s="1805">
        <f t="shared" si="14"/>
        <v>100</v>
      </c>
      <c r="X32" s="1743"/>
      <c r="Y32" s="321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15"/>
      <c r="Q33" s="1803">
        <f t="shared" si="11"/>
        <v>111</v>
      </c>
      <c r="R33" s="1804" t="s">
        <v>14</v>
      </c>
      <c r="S33" s="1805">
        <f t="shared" si="12"/>
        <v>100</v>
      </c>
      <c r="T33" s="1804" t="s">
        <v>14</v>
      </c>
      <c r="U33" s="1805">
        <f t="shared" si="13"/>
        <v>100</v>
      </c>
      <c r="V33" s="1804" t="s">
        <v>14</v>
      </c>
      <c r="W33" s="1805">
        <f t="shared" si="14"/>
        <v>100</v>
      </c>
      <c r="X33" s="1743"/>
      <c r="Y33" s="321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15"/>
      <c r="Q34" s="1803">
        <f t="shared" si="11"/>
        <v>111</v>
      </c>
      <c r="R34" s="1804" t="s">
        <v>14</v>
      </c>
      <c r="S34" s="1805">
        <f t="shared" si="12"/>
        <v>100</v>
      </c>
      <c r="T34" s="1804" t="s">
        <v>14</v>
      </c>
      <c r="U34" s="1805">
        <f t="shared" si="13"/>
        <v>100</v>
      </c>
      <c r="V34" s="1804" t="s">
        <v>14</v>
      </c>
      <c r="W34" s="1805">
        <f t="shared" si="14"/>
        <v>100</v>
      </c>
      <c r="X34" s="1743"/>
      <c r="Y34" s="321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08" t="str">
        <f>A35</f>
        <v>成交单价（元/平方米）</v>
      </c>
      <c r="Q35" s="3208"/>
      <c r="R35" s="3209">
        <f>E35</f>
        <v>0</v>
      </c>
      <c r="S35" s="3209"/>
      <c r="T35" s="3209">
        <f>G35</f>
        <v>0</v>
      </c>
      <c r="U35" s="3209"/>
      <c r="V35" s="3209">
        <f>I35</f>
        <v>0</v>
      </c>
      <c r="W35" s="320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05" t="str">
        <f>A37</f>
        <v>估价对象XX用房的比较价值（楼面单价，元/平方米）</v>
      </c>
      <c r="Q37" s="3206"/>
      <c r="R37" s="3266" t="e">
        <f>IF(F1="售价",ROUND(IF(D36="简单平均",AVERAGE(R36:W36),R36*F36+T36*H36+V36*J36),0),ROUND(IF(D36="简单平均",AVERAGE(R36:V36),R36*F36+T36*H36+V36*J36),1))</f>
        <v>#DIV/0!</v>
      </c>
      <c r="S37" s="3266"/>
      <c r="T37" s="3266"/>
      <c r="U37" s="3266"/>
      <c r="V37" s="3266"/>
      <c r="W37" s="326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30"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30" ht="15.75" thickBot="1">
      <c r="A6" s="1748"/>
      <c r="B6" s="1749"/>
      <c r="C6" s="3239" t="s">
        <v>1905</v>
      </c>
      <c r="D6" s="3240"/>
      <c r="E6" s="3246" t="s">
        <v>1905</v>
      </c>
      <c r="F6" s="3247"/>
      <c r="G6" s="3239" t="s">
        <v>1905</v>
      </c>
      <c r="H6" s="3240"/>
      <c r="I6" s="3239" t="s">
        <v>1905</v>
      </c>
      <c r="J6" s="3240"/>
      <c r="K6" s="2042" t="s">
        <v>1906</v>
      </c>
      <c r="L6" s="1741"/>
      <c r="M6" s="1742"/>
      <c r="N6" s="1742"/>
      <c r="O6" s="1742"/>
      <c r="P6" s="3231"/>
      <c r="Q6" s="3232"/>
      <c r="R6" s="3235"/>
      <c r="S6" s="3236"/>
      <c r="T6" s="3237"/>
      <c r="U6" s="3238"/>
      <c r="V6" s="3209"/>
      <c r="W6" s="3209"/>
      <c r="X6" s="1743"/>
      <c r="Y6" s="3237"/>
      <c r="Z6" s="3238"/>
      <c r="AA6" s="3222"/>
      <c r="AB6" s="3222"/>
      <c r="AC6" s="3222"/>
    </row>
    <row r="7" spans="1:30" s="1760" customFormat="1" ht="15.75" thickBot="1">
      <c r="A7" s="1750" t="s">
        <v>1907</v>
      </c>
      <c r="B7" s="1751"/>
      <c r="C7" s="1752">
        <f>'数据-取费表'!B2</f>
        <v>44818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08"/>
      <c r="Q10" s="1769" t="str">
        <f t="shared" si="6"/>
        <v>土地使用年限（年）</v>
      </c>
      <c r="R10" s="463" t="s">
        <v>14</v>
      </c>
      <c r="S10" s="1758" t="e">
        <f t="shared" si="0"/>
        <v>#DIV/0!</v>
      </c>
      <c r="T10" s="463" t="s">
        <v>14</v>
      </c>
      <c r="U10" s="1758" t="e">
        <f t="shared" si="1"/>
        <v>#DIV/0!</v>
      </c>
      <c r="V10" s="463" t="s">
        <v>14</v>
      </c>
      <c r="W10" s="1758" t="e">
        <f t="shared" si="2"/>
        <v>#DIV/0!</v>
      </c>
      <c r="X10" s="1759"/>
      <c r="Y10" s="308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08"/>
      <c r="Q12" s="1769" t="str">
        <f t="shared" si="6"/>
        <v>配建</v>
      </c>
      <c r="R12" s="463" t="s">
        <v>14</v>
      </c>
      <c r="S12" s="1758">
        <f t="shared" si="0"/>
        <v>100</v>
      </c>
      <c r="T12" s="463" t="s">
        <v>14</v>
      </c>
      <c r="U12" s="1758">
        <f t="shared" si="1"/>
        <v>100</v>
      </c>
      <c r="V12" s="463" t="s">
        <v>14</v>
      </c>
      <c r="W12" s="1758">
        <f t="shared" si="2"/>
        <v>100</v>
      </c>
      <c r="X12" s="1759"/>
      <c r="Y12" s="308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10" t="s">
        <v>1919</v>
      </c>
      <c r="Q15" s="1803" t="str">
        <f t="shared" si="6"/>
        <v>居住社区成熟度</v>
      </c>
      <c r="R15" s="1804" t="s">
        <v>14</v>
      </c>
      <c r="S15" s="1805">
        <f t="shared" si="0"/>
        <v>100</v>
      </c>
      <c r="T15" s="1804" t="s">
        <v>14</v>
      </c>
      <c r="U15" s="1805">
        <f t="shared" si="1"/>
        <v>100</v>
      </c>
      <c r="V15" s="1804" t="s">
        <v>14</v>
      </c>
      <c r="W15" s="1805">
        <f t="shared" si="2"/>
        <v>100</v>
      </c>
      <c r="X15" s="1743"/>
      <c r="Y15" s="321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11"/>
      <c r="Q16" s="1803"/>
      <c r="R16" s="1804"/>
      <c r="S16" s="1805"/>
      <c r="T16" s="1804"/>
      <c r="U16" s="1805"/>
      <c r="V16" s="1804"/>
      <c r="W16" s="1805"/>
      <c r="X16" s="1743"/>
      <c r="Y16" s="321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11"/>
      <c r="Q17" s="1803" t="str">
        <f>B17</f>
        <v>商业繁华度</v>
      </c>
      <c r="R17" s="1804" t="s">
        <v>14</v>
      </c>
      <c r="S17" s="1805">
        <f>F17</f>
        <v>100</v>
      </c>
      <c r="T17" s="1804" t="s">
        <v>14</v>
      </c>
      <c r="U17" s="1805">
        <f>H17</f>
        <v>100</v>
      </c>
      <c r="V17" s="1804" t="s">
        <v>14</v>
      </c>
      <c r="W17" s="1805">
        <f>J17</f>
        <v>100</v>
      </c>
      <c r="X17" s="1743"/>
      <c r="Y17" s="321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11"/>
      <c r="Q18" s="1803"/>
      <c r="R18" s="1804"/>
      <c r="S18" s="1805"/>
      <c r="T18" s="1804"/>
      <c r="U18" s="1805"/>
      <c r="V18" s="1804"/>
      <c r="W18" s="1805"/>
      <c r="X18" s="1743"/>
      <c r="Y18" s="321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11"/>
      <c r="Q19" s="1803" t="str">
        <f>B19</f>
        <v>办公集聚程度</v>
      </c>
      <c r="R19" s="1804" t="s">
        <v>14</v>
      </c>
      <c r="S19" s="1805">
        <f>F19</f>
        <v>100</v>
      </c>
      <c r="T19" s="1804" t="s">
        <v>14</v>
      </c>
      <c r="U19" s="1805">
        <f>H19</f>
        <v>100</v>
      </c>
      <c r="V19" s="1804" t="s">
        <v>14</v>
      </c>
      <c r="W19" s="1805">
        <f>J19</f>
        <v>100</v>
      </c>
      <c r="X19" s="1743"/>
      <c r="Y19" s="321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11"/>
      <c r="Q20" s="1803"/>
      <c r="R20" s="1804"/>
      <c r="S20" s="1805"/>
      <c r="T20" s="1804"/>
      <c r="U20" s="1805"/>
      <c r="V20" s="1804"/>
      <c r="W20" s="1805"/>
      <c r="X20" s="1743"/>
      <c r="Y20" s="321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11"/>
      <c r="Q21" s="1803" t="str">
        <f>B21</f>
        <v>交通便捷度</v>
      </c>
      <c r="R21" s="1804" t="s">
        <v>14</v>
      </c>
      <c r="S21" s="1805">
        <f>F21</f>
        <v>100</v>
      </c>
      <c r="T21" s="1804" t="s">
        <v>14</v>
      </c>
      <c r="U21" s="1805">
        <f>H21</f>
        <v>100</v>
      </c>
      <c r="V21" s="1804" t="s">
        <v>14</v>
      </c>
      <c r="W21" s="1805">
        <f>J21</f>
        <v>100</v>
      </c>
      <c r="X21" s="1743"/>
      <c r="Y21" s="321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11"/>
      <c r="Q22" s="1803"/>
      <c r="R22" s="1804"/>
      <c r="S22" s="1805"/>
      <c r="T22" s="1804"/>
      <c r="U22" s="1805"/>
      <c r="V22" s="1804"/>
      <c r="W22" s="1805"/>
      <c r="X22" s="1743"/>
      <c r="Y22" s="321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11"/>
      <c r="Q23" s="1803" t="str">
        <f t="shared" ref="Q23:Q37" si="8">B23</f>
        <v>区域土地利用方向</v>
      </c>
      <c r="R23" s="1804" t="s">
        <v>14</v>
      </c>
      <c r="S23" s="1805">
        <f>F23</f>
        <v>100</v>
      </c>
      <c r="T23" s="1804" t="s">
        <v>14</v>
      </c>
      <c r="U23" s="1805">
        <f>H23</f>
        <v>100</v>
      </c>
      <c r="V23" s="1804" t="s">
        <v>14</v>
      </c>
      <c r="W23" s="1805">
        <f>J23</f>
        <v>100</v>
      </c>
      <c r="X23" s="1743"/>
      <c r="Y23" s="321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11"/>
      <c r="Q24" s="1803"/>
      <c r="R24" s="1804"/>
      <c r="S24" s="1805"/>
      <c r="T24" s="1804"/>
      <c r="U24" s="1805"/>
      <c r="V24" s="1804"/>
      <c r="W24" s="1805"/>
      <c r="X24" s="1743"/>
      <c r="Y24" s="321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11"/>
      <c r="Q25" s="1803" t="str">
        <f t="shared" si="8"/>
        <v>自然及人文环境状况</v>
      </c>
      <c r="R25" s="1804" t="s">
        <v>14</v>
      </c>
      <c r="S25" s="1805">
        <f>F25</f>
        <v>100</v>
      </c>
      <c r="T25" s="1804" t="s">
        <v>14</v>
      </c>
      <c r="U25" s="1805">
        <f>H25</f>
        <v>100</v>
      </c>
      <c r="V25" s="1804" t="s">
        <v>14</v>
      </c>
      <c r="W25" s="1805">
        <f>J25</f>
        <v>100</v>
      </c>
      <c r="X25" s="1743"/>
      <c r="Y25" s="321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11"/>
      <c r="Q26" s="1803"/>
      <c r="R26" s="1804"/>
      <c r="S26" s="1805"/>
      <c r="T26" s="1804"/>
      <c r="U26" s="1805"/>
      <c r="V26" s="1804"/>
      <c r="W26" s="1805"/>
      <c r="X26" s="1743"/>
      <c r="Y26" s="321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11"/>
      <c r="Q27" s="1769" t="str">
        <f t="shared" si="8"/>
        <v>公共配套设施</v>
      </c>
      <c r="R27" s="463" t="s">
        <v>14</v>
      </c>
      <c r="S27" s="1758">
        <f>F27</f>
        <v>100</v>
      </c>
      <c r="T27" s="463" t="s">
        <v>14</v>
      </c>
      <c r="U27" s="1758">
        <f>H27</f>
        <v>100</v>
      </c>
      <c r="V27" s="463" t="s">
        <v>14</v>
      </c>
      <c r="W27" s="1758">
        <f>J27</f>
        <v>100</v>
      </c>
      <c r="X27" s="1759"/>
      <c r="Y27" s="321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11"/>
      <c r="Q28" s="1769"/>
      <c r="R28" s="463"/>
      <c r="S28" s="1758"/>
      <c r="T28" s="463"/>
      <c r="U28" s="1758"/>
      <c r="V28" s="463"/>
      <c r="W28" s="1758"/>
      <c r="X28" s="1759"/>
      <c r="Y28" s="321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11"/>
      <c r="Q29" s="1769" t="str">
        <f t="shared" ref="Q29" si="9">B29</f>
        <v>基础设施水平</v>
      </c>
      <c r="R29" s="463" t="s">
        <v>14</v>
      </c>
      <c r="S29" s="1758">
        <f>F29</f>
        <v>100</v>
      </c>
      <c r="T29" s="463" t="s">
        <v>14</v>
      </c>
      <c r="U29" s="1758">
        <f>H29</f>
        <v>100</v>
      </c>
      <c r="V29" s="463" t="s">
        <v>14</v>
      </c>
      <c r="W29" s="1758">
        <f>J29</f>
        <v>100</v>
      </c>
      <c r="X29" s="1759"/>
      <c r="Y29" s="321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11"/>
      <c r="Q30" s="1769"/>
      <c r="R30" s="463"/>
      <c r="S30" s="1758"/>
      <c r="T30" s="463"/>
      <c r="U30" s="1758"/>
      <c r="V30" s="463"/>
      <c r="W30" s="1758"/>
      <c r="X30" s="1759"/>
      <c r="Y30" s="321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1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1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11"/>
      <c r="Q32" s="1803" t="str">
        <f t="shared" si="8"/>
        <v>毗邻道路的类型与等级</v>
      </c>
      <c r="R32" s="1804" t="s">
        <v>14</v>
      </c>
      <c r="S32" s="1805">
        <f t="shared" si="10"/>
        <v>100</v>
      </c>
      <c r="T32" s="1804" t="s">
        <v>14</v>
      </c>
      <c r="U32" s="1805">
        <f t="shared" si="11"/>
        <v>100</v>
      </c>
      <c r="V32" s="1804" t="s">
        <v>14</v>
      </c>
      <c r="W32" s="1805">
        <f t="shared" si="12"/>
        <v>100</v>
      </c>
      <c r="X32" s="1743"/>
      <c r="Y32" s="321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11"/>
      <c r="Q33" s="1803"/>
      <c r="R33" s="1804"/>
      <c r="S33" s="1805"/>
      <c r="T33" s="1804"/>
      <c r="U33" s="1805"/>
      <c r="V33" s="1804"/>
      <c r="W33" s="1805"/>
      <c r="X33" s="1743"/>
      <c r="Y33" s="321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11"/>
      <c r="Q34" s="1803" t="str">
        <f t="shared" si="8"/>
        <v>土地级别</v>
      </c>
      <c r="R34" s="1804" t="s">
        <v>14</v>
      </c>
      <c r="S34" s="1805">
        <f t="shared" si="10"/>
        <v>100</v>
      </c>
      <c r="T34" s="1804" t="s">
        <v>14</v>
      </c>
      <c r="U34" s="1805">
        <f t="shared" si="11"/>
        <v>100</v>
      </c>
      <c r="V34" s="1804" t="s">
        <v>14</v>
      </c>
      <c r="W34" s="1805">
        <f t="shared" si="12"/>
        <v>100</v>
      </c>
      <c r="X34" s="1743"/>
      <c r="Y34" s="321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11"/>
      <c r="Q35" s="1803">
        <f t="shared" si="8"/>
        <v>111</v>
      </c>
      <c r="R35" s="1804" t="s">
        <v>14</v>
      </c>
      <c r="S35" s="1805">
        <f t="shared" si="10"/>
        <v>100</v>
      </c>
      <c r="T35" s="1804" t="s">
        <v>14</v>
      </c>
      <c r="U35" s="1805">
        <f t="shared" si="11"/>
        <v>100</v>
      </c>
      <c r="V35" s="1804" t="s">
        <v>14</v>
      </c>
      <c r="W35" s="1805">
        <f t="shared" si="12"/>
        <v>100</v>
      </c>
      <c r="X35" s="1743"/>
      <c r="Y35" s="321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5" t="s">
        <v>1924</v>
      </c>
      <c r="Q36" s="1803">
        <f t="shared" si="8"/>
        <v>111</v>
      </c>
      <c r="R36" s="1804" t="s">
        <v>14</v>
      </c>
      <c r="S36" s="1805">
        <f t="shared" si="10"/>
        <v>100</v>
      </c>
      <c r="T36" s="1804" t="s">
        <v>14</v>
      </c>
      <c r="U36" s="1805">
        <f t="shared" si="11"/>
        <v>100</v>
      </c>
      <c r="V36" s="1804" t="s">
        <v>14</v>
      </c>
      <c r="W36" s="1805">
        <f t="shared" si="12"/>
        <v>100</v>
      </c>
      <c r="X36" s="1743"/>
      <c r="Y36" s="321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15"/>
      <c r="Q37" s="1803">
        <f t="shared" si="8"/>
        <v>111</v>
      </c>
      <c r="R37" s="1840" t="s">
        <v>14</v>
      </c>
      <c r="S37" s="1841">
        <f t="shared" si="10"/>
        <v>100</v>
      </c>
      <c r="T37" s="1840" t="s">
        <v>14</v>
      </c>
      <c r="U37" s="1841">
        <f t="shared" si="11"/>
        <v>100</v>
      </c>
      <c r="V37" s="1840" t="s">
        <v>14</v>
      </c>
      <c r="W37" s="1841">
        <f t="shared" si="12"/>
        <v>100</v>
      </c>
      <c r="X37" s="1842"/>
      <c r="Y37" s="321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15"/>
      <c r="Q38" s="1803" t="str">
        <f>B38</f>
        <v>宗地面积</v>
      </c>
      <c r="R38" s="1804" t="s">
        <v>14</v>
      </c>
      <c r="S38" s="1805" t="e">
        <f t="shared" si="10"/>
        <v>#N/A</v>
      </c>
      <c r="T38" s="1804" t="s">
        <v>14</v>
      </c>
      <c r="U38" s="1805" t="e">
        <f t="shared" si="11"/>
        <v>#N/A</v>
      </c>
      <c r="V38" s="1804" t="s">
        <v>14</v>
      </c>
      <c r="W38" s="1805" t="e">
        <f t="shared" si="12"/>
        <v>#N/A</v>
      </c>
      <c r="X38" s="1743"/>
      <c r="Y38" s="321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15"/>
      <c r="Q39" s="1803" t="str">
        <f t="shared" ref="Q39:Q45" si="14">B39</f>
        <v>宗地形状</v>
      </c>
      <c r="R39" s="1804" t="s">
        <v>14</v>
      </c>
      <c r="S39" s="1805">
        <f t="shared" si="10"/>
        <v>100</v>
      </c>
      <c r="T39" s="1804" t="s">
        <v>14</v>
      </c>
      <c r="U39" s="1805">
        <f t="shared" si="11"/>
        <v>100</v>
      </c>
      <c r="V39" s="1804" t="s">
        <v>14</v>
      </c>
      <c r="W39" s="1805">
        <f t="shared" si="12"/>
        <v>100</v>
      </c>
      <c r="X39" s="1743"/>
      <c r="Y39" s="321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15"/>
      <c r="Q40" s="1803" t="str">
        <f t="shared" si="14"/>
        <v>临街宽度及深度</v>
      </c>
      <c r="R40" s="1804" t="s">
        <v>14</v>
      </c>
      <c r="S40" s="1805">
        <f t="shared" si="10"/>
        <v>100</v>
      </c>
      <c r="T40" s="1804" t="s">
        <v>14</v>
      </c>
      <c r="U40" s="1805">
        <f t="shared" si="11"/>
        <v>100</v>
      </c>
      <c r="V40" s="1804" t="s">
        <v>14</v>
      </c>
      <c r="W40" s="1805">
        <f t="shared" si="12"/>
        <v>100</v>
      </c>
      <c r="X40" s="1743"/>
      <c r="Y40" s="321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15"/>
      <c r="Q41" s="1803" t="str">
        <f t="shared" si="14"/>
        <v>宗地开发程度</v>
      </c>
      <c r="R41" s="463" t="s">
        <v>14</v>
      </c>
      <c r="S41" s="1758">
        <f t="shared" si="10"/>
        <v>100</v>
      </c>
      <c r="T41" s="463" t="s">
        <v>14</v>
      </c>
      <c r="U41" s="1758">
        <f t="shared" si="11"/>
        <v>100</v>
      </c>
      <c r="V41" s="463" t="s">
        <v>14</v>
      </c>
      <c r="W41" s="1758">
        <f t="shared" si="12"/>
        <v>100</v>
      </c>
      <c r="X41" s="1759"/>
      <c r="Y41" s="321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15" t="s">
        <v>1924</v>
      </c>
      <c r="Q42" s="1803" t="str">
        <f t="shared" si="14"/>
        <v>工程地质条件</v>
      </c>
      <c r="R42" s="1804" t="s">
        <v>14</v>
      </c>
      <c r="S42" s="1805">
        <f t="shared" si="10"/>
        <v>100</v>
      </c>
      <c r="T42" s="1804" t="s">
        <v>14</v>
      </c>
      <c r="U42" s="1805">
        <f t="shared" si="11"/>
        <v>100</v>
      </c>
      <c r="V42" s="1804" t="s">
        <v>14</v>
      </c>
      <c r="W42" s="1805">
        <f t="shared" si="12"/>
        <v>100</v>
      </c>
      <c r="X42" s="1743"/>
      <c r="Y42" s="321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15"/>
      <c r="Q43" s="1803">
        <f t="shared" si="14"/>
        <v>111</v>
      </c>
      <c r="R43" s="1804" t="s">
        <v>14</v>
      </c>
      <c r="S43" s="1805">
        <f t="shared" si="10"/>
        <v>100</v>
      </c>
      <c r="T43" s="1804" t="s">
        <v>14</v>
      </c>
      <c r="U43" s="1805">
        <f t="shared" si="11"/>
        <v>100</v>
      </c>
      <c r="V43" s="1804" t="s">
        <v>14</v>
      </c>
      <c r="W43" s="1805">
        <f t="shared" si="12"/>
        <v>100</v>
      </c>
      <c r="X43" s="1743"/>
      <c r="Y43" s="321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15"/>
      <c r="Q44" s="1803">
        <f t="shared" si="14"/>
        <v>111</v>
      </c>
      <c r="R44" s="1804" t="s">
        <v>14</v>
      </c>
      <c r="S44" s="1805">
        <f t="shared" si="10"/>
        <v>100</v>
      </c>
      <c r="T44" s="1804" t="s">
        <v>14</v>
      </c>
      <c r="U44" s="1805">
        <f t="shared" si="11"/>
        <v>100</v>
      </c>
      <c r="V44" s="1804" t="s">
        <v>14</v>
      </c>
      <c r="W44" s="1805">
        <f t="shared" si="12"/>
        <v>100</v>
      </c>
      <c r="X44" s="1743"/>
      <c r="Y44" s="321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15"/>
      <c r="Q45" s="1803">
        <f t="shared" si="14"/>
        <v>111</v>
      </c>
      <c r="R45" s="1840" t="s">
        <v>14</v>
      </c>
      <c r="S45" s="1841">
        <f t="shared" si="10"/>
        <v>100</v>
      </c>
      <c r="T45" s="1840" t="s">
        <v>14</v>
      </c>
      <c r="U45" s="1841">
        <f t="shared" si="11"/>
        <v>100</v>
      </c>
      <c r="V45" s="1840" t="s">
        <v>14</v>
      </c>
      <c r="W45" s="1841">
        <f t="shared" si="12"/>
        <v>100</v>
      </c>
      <c r="X45" s="1842"/>
      <c r="Y45" s="321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08" t="str">
        <f>A46</f>
        <v>成交单价</v>
      </c>
      <c r="Q46" s="3208"/>
      <c r="R46" s="3209">
        <f>E46</f>
        <v>0</v>
      </c>
      <c r="S46" s="3209"/>
      <c r="T46" s="3209">
        <f>G46</f>
        <v>0</v>
      </c>
      <c r="U46" s="3209"/>
      <c r="V46" s="3209">
        <f>I46</f>
        <v>0</v>
      </c>
      <c r="W46" s="320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08" t="str">
        <f>A47</f>
        <v>比较价值（元/平方米）</v>
      </c>
      <c r="Q47" s="3208"/>
      <c r="R47" s="3209" t="e">
        <f>ROUND(PRODUCT(R46,AA7:AA45),0)</f>
        <v>#DIV/0!</v>
      </c>
      <c r="S47" s="3209"/>
      <c r="T47" s="3209" t="e">
        <f>ROUND(PRODUCT(T46,AB7:AB45),0)</f>
        <v>#DIV/0!</v>
      </c>
      <c r="U47" s="3209"/>
      <c r="V47" s="3209" t="e">
        <f>ROUND(PRODUCT(V46,AC7:AC45),0)</f>
        <v>#DIV/0!</v>
      </c>
      <c r="W47" s="320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05" t="str">
        <f>A48</f>
        <v>估价对象XX用房的比较价值（楼面单价，元/平方米）</v>
      </c>
      <c r="Q48" s="3206"/>
      <c r="R48" s="3207" t="e">
        <f>ROUND(IF(D47="简单平均",AVERAGE(R47:W47),R47*F47+T47*H47+V47*J47),0)</f>
        <v>#DIV/0!</v>
      </c>
      <c r="S48" s="3207"/>
      <c r="T48" s="3207"/>
      <c r="U48" s="3207"/>
      <c r="V48" s="3207"/>
      <c r="W48" s="320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3" t="s">
        <v>2123</v>
      </c>
      <c r="H55" s="326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9"/>
      <c r="H56" s="320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0.7</v>
      </c>
      <c r="D57" s="2221">
        <v>0.25</v>
      </c>
      <c r="E57" s="1156"/>
      <c r="F57" s="1196" t="e">
        <f t="shared" si="15"/>
        <v>#DIV/0!</v>
      </c>
      <c r="G57" s="3268" t="s">
        <v>2128</v>
      </c>
      <c r="H57" s="2222" t="str">
        <f>项目基本情况!B37</f>
        <v>一级</v>
      </c>
      <c r="I57" s="1236">
        <f>SUMIF(修正!A57:A68,H57,修正!B57:B68)</f>
        <v>0.7</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0.4</v>
      </c>
      <c r="D58" s="2221">
        <v>0.25</v>
      </c>
      <c r="E58" s="1156"/>
      <c r="F58" s="1196" t="e">
        <f t="shared" si="15"/>
        <v>#DIV/0!</v>
      </c>
      <c r="G58" s="3268"/>
      <c r="H58" s="2222" t="str">
        <f>项目基本情况!B37</f>
        <v>一级</v>
      </c>
      <c r="I58" s="1236">
        <f>SUMIF(修正!A57:A68,H58,修正!C57:C68)</f>
        <v>0.4</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0.3</v>
      </c>
      <c r="D59" s="2221">
        <v>0.25</v>
      </c>
      <c r="E59" s="1156"/>
      <c r="F59" s="1196" t="e">
        <f t="shared" si="15"/>
        <v>#DIV/0!</v>
      </c>
      <c r="G59" s="3268"/>
      <c r="H59" s="2222" t="str">
        <f>项目基本情况!B37</f>
        <v>一级</v>
      </c>
      <c r="I59" s="1236">
        <f>SUMIF(修正!A57:A68,H59,修正!D57:D68)</f>
        <v>0.3</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8"/>
      <c r="H60" s="2222" t="str">
        <f>项目基本情况!B37</f>
        <v>一级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0.3</v>
      </c>
      <c r="D61" s="2221">
        <v>0.25</v>
      </c>
      <c r="E61" s="1157">
        <f>'数据-汇总表'!E11</f>
        <v>0</v>
      </c>
      <c r="F61" s="1196" t="e">
        <f t="shared" si="15"/>
        <v>#DIV/0!</v>
      </c>
      <c r="G61" s="2224" t="s">
        <v>2133</v>
      </c>
      <c r="H61" s="2222" t="str">
        <f>项目基本情况!C37</f>
        <v>一级</v>
      </c>
      <c r="I61" s="1236">
        <f>SUMIF(修正!A57:A68,H61,修正!E57:E68)</f>
        <v>0.3</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0.3</v>
      </c>
      <c r="D62" s="2221">
        <v>0.25</v>
      </c>
      <c r="E62" s="1157">
        <f>'数据-汇总表'!E12</f>
        <v>0</v>
      </c>
      <c r="F62" s="1196" t="e">
        <f t="shared" si="15"/>
        <v>#DIV/0!</v>
      </c>
      <c r="G62" s="2225" t="s">
        <v>2135</v>
      </c>
      <c r="H62" s="2222" t="str">
        <f>IF(G62="商业",项目基本情况!B37,IF(G62="办公",项目基本情况!C37,IF(G62="住宅",项目基本情况!D37,项目基本情况!E37)))</f>
        <v>一级</v>
      </c>
      <c r="I62" s="1236">
        <f>SUMIF(修正!A57:A68,H62,修正!F57:F68)</f>
        <v>0.3</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0.2</v>
      </c>
      <c r="D64" s="2221">
        <v>0.25</v>
      </c>
      <c r="E64" s="1157">
        <f>'数据-汇总表'!E14</f>
        <v>0</v>
      </c>
      <c r="F64" s="1196" t="e">
        <f t="shared" si="15"/>
        <v>#DIV/0!</v>
      </c>
      <c r="G64" s="2224" t="s">
        <v>2128</v>
      </c>
      <c r="H64" s="2222" t="str">
        <f>项目基本情况!B37</f>
        <v>一级</v>
      </c>
      <c r="I64" s="1236">
        <f>SUMIF(修正!A57:A68,H64,修正!G57:G68)</f>
        <v>0.2</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0.2</v>
      </c>
      <c r="D65" s="2221">
        <v>0.25</v>
      </c>
      <c r="E65" s="1157">
        <f>'数据-汇总表'!E15</f>
        <v>0</v>
      </c>
      <c r="F65" s="1196" t="e">
        <f t="shared" si="15"/>
        <v>#DIV/0!</v>
      </c>
      <c r="G65" s="2226" t="s">
        <v>2133</v>
      </c>
      <c r="H65" s="2227" t="str">
        <f>项目基本情况!C37</f>
        <v>一级</v>
      </c>
      <c r="I65" s="2228">
        <f>SUMIF(修正!A57:A68,H65,修正!G57:G68)</f>
        <v>0.2</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33" t="s">
        <v>2006</v>
      </c>
      <c r="S4" s="3234"/>
      <c r="T4" s="3233" t="s">
        <v>2007</v>
      </c>
      <c r="U4" s="3234"/>
      <c r="V4" s="3209" t="s">
        <v>2008</v>
      </c>
      <c r="W4" s="3209"/>
      <c r="X4" s="1743"/>
      <c r="Y4" s="3233" t="s">
        <v>2010</v>
      </c>
      <c r="Z4" s="3234"/>
      <c r="AA4" s="3220" t="s">
        <v>2006</v>
      </c>
      <c r="AB4" s="3221" t="s">
        <v>2007</v>
      </c>
      <c r="AC4" s="3220" t="s">
        <v>2008</v>
      </c>
    </row>
    <row r="5" spans="1:29" ht="15">
      <c r="A5" s="1745"/>
      <c r="B5" s="1746"/>
      <c r="C5" s="3241" t="s">
        <v>1901</v>
      </c>
      <c r="D5" s="3242"/>
      <c r="E5" s="3248" t="s">
        <v>1902</v>
      </c>
      <c r="F5" s="3249"/>
      <c r="G5" s="3241" t="s">
        <v>1903</v>
      </c>
      <c r="H5" s="3242"/>
      <c r="I5" s="3241" t="s">
        <v>1904</v>
      </c>
      <c r="J5" s="3242"/>
      <c r="K5" s="2042"/>
      <c r="L5" s="1741"/>
      <c r="M5" s="1742"/>
      <c r="N5" s="1742"/>
      <c r="O5" s="1742"/>
      <c r="P5" s="3229"/>
      <c r="Q5" s="3230"/>
      <c r="R5" s="3235"/>
      <c r="S5" s="3236"/>
      <c r="T5" s="3235"/>
      <c r="U5" s="3236"/>
      <c r="V5" s="3209"/>
      <c r="W5" s="3209"/>
      <c r="X5" s="1743"/>
      <c r="Y5" s="3235"/>
      <c r="Z5" s="3236"/>
      <c r="AA5" s="3221"/>
      <c r="AB5" s="3221"/>
      <c r="AC5" s="3221"/>
    </row>
    <row r="6" spans="1:29" ht="15.75" thickBot="1">
      <c r="A6" s="1748"/>
      <c r="B6" s="1749"/>
      <c r="C6" s="3269" t="s">
        <v>2156</v>
      </c>
      <c r="D6" s="3270"/>
      <c r="E6" s="3271" t="s">
        <v>2156</v>
      </c>
      <c r="F6" s="3272"/>
      <c r="G6" s="3269" t="s">
        <v>2156</v>
      </c>
      <c r="H6" s="3270"/>
      <c r="I6" s="3269" t="s">
        <v>2156</v>
      </c>
      <c r="J6" s="3270"/>
      <c r="K6" s="2042" t="s">
        <v>1906</v>
      </c>
      <c r="L6" s="1741"/>
      <c r="M6" s="1742"/>
      <c r="N6" s="1742"/>
      <c r="O6" s="1742"/>
      <c r="P6" s="3231"/>
      <c r="Q6" s="3232"/>
      <c r="R6" s="3235"/>
      <c r="S6" s="3236"/>
      <c r="T6" s="3237"/>
      <c r="U6" s="3238"/>
      <c r="V6" s="3209"/>
      <c r="W6" s="3209"/>
      <c r="X6" s="1743"/>
      <c r="Y6" s="3237"/>
      <c r="Z6" s="3238"/>
      <c r="AA6" s="3222"/>
      <c r="AB6" s="3222"/>
      <c r="AC6" s="3222"/>
    </row>
    <row r="7" spans="1:29" s="1760" customFormat="1" ht="15.75" thickBot="1">
      <c r="A7" s="1750" t="s">
        <v>1907</v>
      </c>
      <c r="B7" s="1751"/>
      <c r="C7" s="1752">
        <f>'数据-取费表'!B2</f>
        <v>44818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43" t="s">
        <v>1908</v>
      </c>
      <c r="Q7" s="3245"/>
      <c r="R7" s="463" t="s">
        <v>14</v>
      </c>
      <c r="S7" s="1758">
        <f t="shared" ref="S7:S15" si="0">F7</f>
        <v>0</v>
      </c>
      <c r="T7" s="463" t="s">
        <v>14</v>
      </c>
      <c r="U7" s="1758">
        <f t="shared" ref="U7:U15" si="1">H7</f>
        <v>0</v>
      </c>
      <c r="V7" s="463" t="s">
        <v>14</v>
      </c>
      <c r="W7" s="1758">
        <f t="shared" ref="W7:W15" si="2">J7</f>
        <v>0</v>
      </c>
      <c r="X7" s="1759"/>
      <c r="Y7" s="3243" t="s">
        <v>1908</v>
      </c>
      <c r="Z7" s="324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43" t="s">
        <v>1911</v>
      </c>
      <c r="Q8" s="3244"/>
      <c r="R8" s="463" t="s">
        <v>14</v>
      </c>
      <c r="S8" s="1758">
        <f t="shared" si="0"/>
        <v>0</v>
      </c>
      <c r="T8" s="463" t="s">
        <v>14</v>
      </c>
      <c r="U8" s="1758">
        <f t="shared" si="1"/>
        <v>0</v>
      </c>
      <c r="V8" s="463" t="s">
        <v>14</v>
      </c>
      <c r="W8" s="1758">
        <f t="shared" si="2"/>
        <v>0</v>
      </c>
      <c r="X8" s="1759"/>
      <c r="Y8" s="3243" t="s">
        <v>1911</v>
      </c>
      <c r="Z8" s="324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08" t="s">
        <v>1914</v>
      </c>
      <c r="Q9" s="1769" t="str">
        <f t="shared" ref="Q9:Q15" si="6">B9</f>
        <v>用途</v>
      </c>
      <c r="R9" s="463" t="s">
        <v>14</v>
      </c>
      <c r="S9" s="1758">
        <f t="shared" si="0"/>
        <v>100</v>
      </c>
      <c r="T9" s="463" t="s">
        <v>14</v>
      </c>
      <c r="U9" s="1758">
        <f t="shared" si="1"/>
        <v>100</v>
      </c>
      <c r="V9" s="463" t="s">
        <v>14</v>
      </c>
      <c r="W9" s="1758">
        <f t="shared" si="2"/>
        <v>100</v>
      </c>
      <c r="X9" s="1759"/>
      <c r="Y9" s="308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08"/>
      <c r="Q10" s="1769" t="str">
        <f t="shared" si="6"/>
        <v>土地使用年限（年）</v>
      </c>
      <c r="R10" s="463" t="s">
        <v>14</v>
      </c>
      <c r="S10" s="1758" t="e">
        <f t="shared" si="0"/>
        <v>#DIV/0!</v>
      </c>
      <c r="T10" s="463" t="s">
        <v>14</v>
      </c>
      <c r="U10" s="1758" t="e">
        <f t="shared" si="1"/>
        <v>#DIV/0!</v>
      </c>
      <c r="V10" s="463" t="s">
        <v>14</v>
      </c>
      <c r="W10" s="1758" t="e">
        <f t="shared" si="2"/>
        <v>#DIV/0!</v>
      </c>
      <c r="X10" s="1759"/>
      <c r="Y10" s="308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08"/>
      <c r="Q11" s="1769" t="str">
        <f t="shared" si="6"/>
        <v>容积率</v>
      </c>
      <c r="R11" s="463" t="s">
        <v>14</v>
      </c>
      <c r="S11" s="1758" t="e">
        <f t="shared" si="0"/>
        <v>#N/A</v>
      </c>
      <c r="T11" s="463" t="s">
        <v>14</v>
      </c>
      <c r="U11" s="1758" t="e">
        <f t="shared" si="1"/>
        <v>#N/A</v>
      </c>
      <c r="V11" s="463" t="s">
        <v>14</v>
      </c>
      <c r="W11" s="1758" t="e">
        <f t="shared" si="2"/>
        <v>#N/A</v>
      </c>
      <c r="X11" s="1759"/>
      <c r="Y11" s="308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08"/>
      <c r="Q12" s="1769">
        <f t="shared" si="6"/>
        <v>111</v>
      </c>
      <c r="R12" s="463" t="s">
        <v>14</v>
      </c>
      <c r="S12" s="1758">
        <f t="shared" si="0"/>
        <v>100</v>
      </c>
      <c r="T12" s="463" t="s">
        <v>14</v>
      </c>
      <c r="U12" s="1758">
        <f t="shared" si="1"/>
        <v>100</v>
      </c>
      <c r="V12" s="463" t="s">
        <v>14</v>
      </c>
      <c r="W12" s="1758">
        <f t="shared" si="2"/>
        <v>100</v>
      </c>
      <c r="X12" s="1759"/>
      <c r="Y12" s="308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08"/>
      <c r="Q13" s="1769">
        <f t="shared" si="6"/>
        <v>111</v>
      </c>
      <c r="R13" s="463" t="s">
        <v>14</v>
      </c>
      <c r="S13" s="1758">
        <f t="shared" si="0"/>
        <v>100</v>
      </c>
      <c r="T13" s="463" t="s">
        <v>14</v>
      </c>
      <c r="U13" s="1758">
        <f t="shared" si="1"/>
        <v>100</v>
      </c>
      <c r="V13" s="463" t="s">
        <v>14</v>
      </c>
      <c r="W13" s="1758">
        <f t="shared" si="2"/>
        <v>100</v>
      </c>
      <c r="X13" s="1759"/>
      <c r="Y13" s="308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08"/>
      <c r="Q14" s="1769">
        <f t="shared" si="6"/>
        <v>111</v>
      </c>
      <c r="R14" s="463" t="s">
        <v>14</v>
      </c>
      <c r="S14" s="1758">
        <f t="shared" si="0"/>
        <v>100</v>
      </c>
      <c r="T14" s="463" t="s">
        <v>14</v>
      </c>
      <c r="U14" s="1758">
        <f t="shared" si="1"/>
        <v>100</v>
      </c>
      <c r="V14" s="463" t="s">
        <v>14</v>
      </c>
      <c r="W14" s="1758">
        <f t="shared" si="2"/>
        <v>100</v>
      </c>
      <c r="X14" s="1759"/>
      <c r="Y14" s="308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10" t="s">
        <v>1919</v>
      </c>
      <c r="Q15" s="1803" t="str">
        <f t="shared" si="6"/>
        <v>产业集聚程度</v>
      </c>
      <c r="R15" s="1804" t="s">
        <v>14</v>
      </c>
      <c r="S15" s="1805">
        <f t="shared" si="0"/>
        <v>100</v>
      </c>
      <c r="T15" s="1804" t="s">
        <v>14</v>
      </c>
      <c r="U15" s="1805">
        <f t="shared" si="1"/>
        <v>100</v>
      </c>
      <c r="V15" s="1804" t="s">
        <v>14</v>
      </c>
      <c r="W15" s="1805">
        <f t="shared" si="2"/>
        <v>100</v>
      </c>
      <c r="X15" s="1743"/>
      <c r="Y15" s="321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11"/>
      <c r="Q16" s="1803"/>
      <c r="R16" s="1804"/>
      <c r="S16" s="1805"/>
      <c r="T16" s="1804"/>
      <c r="U16" s="1805"/>
      <c r="V16" s="1804"/>
      <c r="W16" s="1805"/>
      <c r="X16" s="1743"/>
      <c r="Y16" s="321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11"/>
      <c r="Q17" s="1803" t="str">
        <f>B17</f>
        <v>交通便捷度</v>
      </c>
      <c r="R17" s="1804" t="s">
        <v>14</v>
      </c>
      <c r="S17" s="1805">
        <f>F17</f>
        <v>100</v>
      </c>
      <c r="T17" s="1804" t="s">
        <v>14</v>
      </c>
      <c r="U17" s="1805">
        <f>H17</f>
        <v>100</v>
      </c>
      <c r="V17" s="1804" t="s">
        <v>14</v>
      </c>
      <c r="W17" s="1805">
        <f>J17</f>
        <v>100</v>
      </c>
      <c r="X17" s="1743"/>
      <c r="Y17" s="321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11"/>
      <c r="Q18" s="1803"/>
      <c r="R18" s="1804"/>
      <c r="S18" s="1805"/>
      <c r="T18" s="1804"/>
      <c r="U18" s="1805"/>
      <c r="V18" s="1804"/>
      <c r="W18" s="1805"/>
      <c r="X18" s="1743"/>
      <c r="Y18" s="321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11"/>
      <c r="Q19" s="1803" t="str">
        <f t="shared" ref="Q19:Q33" si="8">B19</f>
        <v>区域土地利用方向</v>
      </c>
      <c r="R19" s="1804" t="s">
        <v>14</v>
      </c>
      <c r="S19" s="1805">
        <f>F19</f>
        <v>100</v>
      </c>
      <c r="T19" s="1804" t="s">
        <v>14</v>
      </c>
      <c r="U19" s="1805">
        <f>H19</f>
        <v>100</v>
      </c>
      <c r="V19" s="1804" t="s">
        <v>14</v>
      </c>
      <c r="W19" s="1805">
        <f>J19</f>
        <v>100</v>
      </c>
      <c r="X19" s="1743"/>
      <c r="Y19" s="321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11"/>
      <c r="Q20" s="1803"/>
      <c r="R20" s="1804"/>
      <c r="S20" s="1805"/>
      <c r="T20" s="1804"/>
      <c r="U20" s="1805"/>
      <c r="V20" s="1804"/>
      <c r="W20" s="1805"/>
      <c r="X20" s="1743"/>
      <c r="Y20" s="321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11"/>
      <c r="Q21" s="1803" t="str">
        <f t="shared" si="8"/>
        <v>环境状况</v>
      </c>
      <c r="R21" s="1804" t="s">
        <v>14</v>
      </c>
      <c r="S21" s="1805">
        <f>F21</f>
        <v>100</v>
      </c>
      <c r="T21" s="1804" t="s">
        <v>14</v>
      </c>
      <c r="U21" s="1805">
        <f>H21</f>
        <v>100</v>
      </c>
      <c r="V21" s="1804" t="s">
        <v>14</v>
      </c>
      <c r="W21" s="1805">
        <f>J21</f>
        <v>100</v>
      </c>
      <c r="X21" s="1743"/>
      <c r="Y21" s="321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11"/>
      <c r="Q22" s="1803"/>
      <c r="R22" s="1804"/>
      <c r="S22" s="1805"/>
      <c r="T22" s="1804"/>
      <c r="U22" s="1805"/>
      <c r="V22" s="1804"/>
      <c r="W22" s="1805"/>
      <c r="X22" s="1743"/>
      <c r="Y22" s="321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11"/>
      <c r="Q23" s="1769" t="str">
        <f t="shared" si="8"/>
        <v>公共配套设施</v>
      </c>
      <c r="R23" s="463" t="s">
        <v>14</v>
      </c>
      <c r="S23" s="1758">
        <f>F23</f>
        <v>100</v>
      </c>
      <c r="T23" s="463" t="s">
        <v>14</v>
      </c>
      <c r="U23" s="1758">
        <f>H23</f>
        <v>100</v>
      </c>
      <c r="V23" s="463" t="s">
        <v>14</v>
      </c>
      <c r="W23" s="1758">
        <f>J23</f>
        <v>100</v>
      </c>
      <c r="X23" s="1759"/>
      <c r="Y23" s="321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11"/>
      <c r="Q24" s="1769"/>
      <c r="R24" s="463"/>
      <c r="S24" s="1758"/>
      <c r="T24" s="463"/>
      <c r="U24" s="1758"/>
      <c r="V24" s="463"/>
      <c r="W24" s="1758"/>
      <c r="X24" s="1759"/>
      <c r="Y24" s="321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11"/>
      <c r="Q25" s="1769" t="str">
        <f t="shared" ref="Q25" si="9">B25</f>
        <v>基础设施水平</v>
      </c>
      <c r="R25" s="463" t="s">
        <v>14</v>
      </c>
      <c r="S25" s="1758">
        <f>F25</f>
        <v>100</v>
      </c>
      <c r="T25" s="463" t="s">
        <v>14</v>
      </c>
      <c r="U25" s="1758">
        <f>H25</f>
        <v>100</v>
      </c>
      <c r="V25" s="463" t="s">
        <v>14</v>
      </c>
      <c r="W25" s="1758">
        <f>J25</f>
        <v>100</v>
      </c>
      <c r="X25" s="1759"/>
      <c r="Y25" s="321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11"/>
      <c r="Q26" s="1769"/>
      <c r="R26" s="463"/>
      <c r="S26" s="1758"/>
      <c r="T26" s="463"/>
      <c r="U26" s="1758"/>
      <c r="V26" s="463"/>
      <c r="W26" s="1758"/>
      <c r="X26" s="1759"/>
      <c r="Y26" s="321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1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1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11"/>
      <c r="Q28" s="1803" t="str">
        <f t="shared" si="8"/>
        <v>毗邻道路的类型与等级</v>
      </c>
      <c r="R28" s="1804" t="s">
        <v>14</v>
      </c>
      <c r="S28" s="1805">
        <f t="shared" si="10"/>
        <v>100</v>
      </c>
      <c r="T28" s="1804" t="s">
        <v>14</v>
      </c>
      <c r="U28" s="1805">
        <f t="shared" si="11"/>
        <v>100</v>
      </c>
      <c r="V28" s="1804" t="s">
        <v>14</v>
      </c>
      <c r="W28" s="1805">
        <f t="shared" si="12"/>
        <v>100</v>
      </c>
      <c r="X28" s="1743"/>
      <c r="Y28" s="321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11"/>
      <c r="Q29" s="1803"/>
      <c r="R29" s="1804"/>
      <c r="S29" s="1805"/>
      <c r="T29" s="1804"/>
      <c r="U29" s="1805"/>
      <c r="V29" s="1804"/>
      <c r="W29" s="1805"/>
      <c r="X29" s="1743"/>
      <c r="Y29" s="321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11"/>
      <c r="Q30" s="1803" t="str">
        <f t="shared" si="8"/>
        <v>土地级别</v>
      </c>
      <c r="R30" s="1804" t="s">
        <v>14</v>
      </c>
      <c r="S30" s="1805">
        <f t="shared" si="10"/>
        <v>100</v>
      </c>
      <c r="T30" s="1804" t="s">
        <v>14</v>
      </c>
      <c r="U30" s="1805">
        <f t="shared" si="11"/>
        <v>100</v>
      </c>
      <c r="V30" s="1804" t="s">
        <v>14</v>
      </c>
      <c r="W30" s="1805">
        <f t="shared" si="12"/>
        <v>100</v>
      </c>
      <c r="X30" s="1743"/>
      <c r="Y30" s="321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11"/>
      <c r="Q31" s="1803">
        <f t="shared" si="8"/>
        <v>111</v>
      </c>
      <c r="R31" s="1804" t="s">
        <v>14</v>
      </c>
      <c r="S31" s="1805">
        <f t="shared" si="10"/>
        <v>100</v>
      </c>
      <c r="T31" s="1804" t="s">
        <v>14</v>
      </c>
      <c r="U31" s="1805">
        <f t="shared" si="11"/>
        <v>100</v>
      </c>
      <c r="V31" s="1804" t="s">
        <v>14</v>
      </c>
      <c r="W31" s="1805">
        <f t="shared" si="12"/>
        <v>100</v>
      </c>
      <c r="X31" s="1743"/>
      <c r="Y31" s="321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5" t="s">
        <v>1924</v>
      </c>
      <c r="Q32" s="1803">
        <f t="shared" si="8"/>
        <v>111</v>
      </c>
      <c r="R32" s="1804" t="s">
        <v>14</v>
      </c>
      <c r="S32" s="1805">
        <f t="shared" si="10"/>
        <v>100</v>
      </c>
      <c r="T32" s="1804" t="s">
        <v>14</v>
      </c>
      <c r="U32" s="1805">
        <f t="shared" si="11"/>
        <v>100</v>
      </c>
      <c r="V32" s="1804" t="s">
        <v>14</v>
      </c>
      <c r="W32" s="1805">
        <f t="shared" si="12"/>
        <v>100</v>
      </c>
      <c r="X32" s="1743"/>
      <c r="Y32" s="321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15"/>
      <c r="Q33" s="1803">
        <f t="shared" si="8"/>
        <v>111</v>
      </c>
      <c r="R33" s="1840" t="s">
        <v>14</v>
      </c>
      <c r="S33" s="1841">
        <f t="shared" si="10"/>
        <v>100</v>
      </c>
      <c r="T33" s="1840" t="s">
        <v>14</v>
      </c>
      <c r="U33" s="1841">
        <f t="shared" si="11"/>
        <v>100</v>
      </c>
      <c r="V33" s="1840" t="s">
        <v>14</v>
      </c>
      <c r="W33" s="1841">
        <f t="shared" si="12"/>
        <v>100</v>
      </c>
      <c r="X33" s="1842"/>
      <c r="Y33" s="321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15"/>
      <c r="Q34" s="1803" t="str">
        <f>B34</f>
        <v>宗地面积</v>
      </c>
      <c r="R34" s="1804" t="s">
        <v>14</v>
      </c>
      <c r="S34" s="1805" t="e">
        <f t="shared" si="10"/>
        <v>#N/A</v>
      </c>
      <c r="T34" s="1804" t="s">
        <v>14</v>
      </c>
      <c r="U34" s="1805" t="e">
        <f t="shared" si="11"/>
        <v>#N/A</v>
      </c>
      <c r="V34" s="1804" t="s">
        <v>14</v>
      </c>
      <c r="W34" s="1805" t="e">
        <f t="shared" si="12"/>
        <v>#N/A</v>
      </c>
      <c r="X34" s="1743"/>
      <c r="Y34" s="321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15"/>
      <c r="Q35" s="1803" t="str">
        <f t="shared" ref="Q35:Q40" si="14">B35</f>
        <v>宗地形状</v>
      </c>
      <c r="R35" s="1804" t="s">
        <v>14</v>
      </c>
      <c r="S35" s="1805">
        <f t="shared" si="10"/>
        <v>100</v>
      </c>
      <c r="T35" s="1804" t="s">
        <v>14</v>
      </c>
      <c r="U35" s="1805">
        <f t="shared" si="11"/>
        <v>100</v>
      </c>
      <c r="V35" s="1804" t="s">
        <v>14</v>
      </c>
      <c r="W35" s="1805">
        <f t="shared" si="12"/>
        <v>100</v>
      </c>
      <c r="X35" s="1743"/>
      <c r="Y35" s="321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15"/>
      <c r="Q36" s="1803" t="str">
        <f t="shared" si="14"/>
        <v>宗地开发程度</v>
      </c>
      <c r="R36" s="463" t="s">
        <v>14</v>
      </c>
      <c r="S36" s="1758">
        <f t="shared" si="10"/>
        <v>100</v>
      </c>
      <c r="T36" s="463" t="s">
        <v>14</v>
      </c>
      <c r="U36" s="1758">
        <f t="shared" si="11"/>
        <v>100</v>
      </c>
      <c r="V36" s="463" t="s">
        <v>14</v>
      </c>
      <c r="W36" s="1758">
        <f t="shared" si="12"/>
        <v>100</v>
      </c>
      <c r="X36" s="1759"/>
      <c r="Y36" s="321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15" t="s">
        <v>1924</v>
      </c>
      <c r="Q37" s="1803" t="str">
        <f t="shared" si="14"/>
        <v>工程地质条件</v>
      </c>
      <c r="R37" s="1804" t="s">
        <v>14</v>
      </c>
      <c r="S37" s="1805">
        <f t="shared" si="10"/>
        <v>100</v>
      </c>
      <c r="T37" s="1804" t="s">
        <v>14</v>
      </c>
      <c r="U37" s="1805">
        <f t="shared" si="11"/>
        <v>100</v>
      </c>
      <c r="V37" s="1804" t="s">
        <v>14</v>
      </c>
      <c r="W37" s="1805">
        <f t="shared" si="12"/>
        <v>100</v>
      </c>
      <c r="X37" s="1743"/>
      <c r="Y37" s="321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15"/>
      <c r="Q38" s="1803">
        <f t="shared" si="14"/>
        <v>111</v>
      </c>
      <c r="R38" s="1804" t="s">
        <v>14</v>
      </c>
      <c r="S38" s="1805">
        <f t="shared" si="10"/>
        <v>100</v>
      </c>
      <c r="T38" s="1804" t="s">
        <v>14</v>
      </c>
      <c r="U38" s="1805">
        <f t="shared" si="11"/>
        <v>100</v>
      </c>
      <c r="V38" s="1804" t="s">
        <v>14</v>
      </c>
      <c r="W38" s="1805">
        <f t="shared" si="12"/>
        <v>100</v>
      </c>
      <c r="X38" s="1743"/>
      <c r="Y38" s="321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15"/>
      <c r="Q39" s="1803">
        <f t="shared" si="14"/>
        <v>111</v>
      </c>
      <c r="R39" s="1804" t="s">
        <v>14</v>
      </c>
      <c r="S39" s="1805">
        <f t="shared" si="10"/>
        <v>100</v>
      </c>
      <c r="T39" s="1804" t="s">
        <v>14</v>
      </c>
      <c r="U39" s="1805">
        <f t="shared" si="11"/>
        <v>100</v>
      </c>
      <c r="V39" s="1804" t="s">
        <v>14</v>
      </c>
      <c r="W39" s="1805">
        <f t="shared" si="12"/>
        <v>100</v>
      </c>
      <c r="X39" s="1743"/>
      <c r="Y39" s="321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15"/>
      <c r="Q40" s="1803">
        <f t="shared" si="14"/>
        <v>111</v>
      </c>
      <c r="R40" s="1840" t="s">
        <v>14</v>
      </c>
      <c r="S40" s="1841">
        <f t="shared" si="10"/>
        <v>100</v>
      </c>
      <c r="T40" s="1840" t="s">
        <v>14</v>
      </c>
      <c r="U40" s="1841">
        <f t="shared" si="11"/>
        <v>100</v>
      </c>
      <c r="V40" s="1840" t="s">
        <v>14</v>
      </c>
      <c r="W40" s="1841">
        <f t="shared" si="12"/>
        <v>100</v>
      </c>
      <c r="X40" s="1842"/>
      <c r="Y40" s="321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08" t="str">
        <f>A41</f>
        <v>成交单价</v>
      </c>
      <c r="Q41" s="3208"/>
      <c r="R41" s="3209">
        <f>E41</f>
        <v>0</v>
      </c>
      <c r="S41" s="3209"/>
      <c r="T41" s="3209">
        <f>G41</f>
        <v>0</v>
      </c>
      <c r="U41" s="3209"/>
      <c r="V41" s="3209">
        <f>I41</f>
        <v>0</v>
      </c>
      <c r="W41" s="320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08" t="str">
        <f>A42</f>
        <v>比较价值（元/平方米）</v>
      </c>
      <c r="Q42" s="3208"/>
      <c r="R42" s="3209" t="e">
        <f>ROUND(PRODUCT(R41,AA7:AA40),0)</f>
        <v>#DIV/0!</v>
      </c>
      <c r="S42" s="3209"/>
      <c r="T42" s="3209" t="e">
        <f>ROUND(PRODUCT(T41,AB7:AB40),0)</f>
        <v>#DIV/0!</v>
      </c>
      <c r="U42" s="3209"/>
      <c r="V42" s="3209" t="e">
        <f>ROUND(PRODUCT(V41,AC7:AC40),0)</f>
        <v>#DIV/0!</v>
      </c>
      <c r="W42" s="320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05" t="str">
        <f>A43</f>
        <v>估价对象XX用房的比较价值（楼面单价，元/平方米）</v>
      </c>
      <c r="Q43" s="3206"/>
      <c r="R43" s="3207" t="e">
        <f>ROUND(IF(D42="简单平均",AVERAGE(R42:W42),R42*F42+T42*H42+V42*J42),0)</f>
        <v>#DIV/0!</v>
      </c>
      <c r="S43" s="3207"/>
      <c r="T43" s="3207"/>
      <c r="U43" s="3207"/>
      <c r="V43" s="3207"/>
      <c r="W43" s="320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3" t="s">
        <v>2123</v>
      </c>
      <c r="H50" s="326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9"/>
      <c r="H51" s="320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0.7</v>
      </c>
      <c r="D52" s="2221">
        <v>0.25</v>
      </c>
      <c r="E52" s="1156"/>
      <c r="F52" s="2249" t="e">
        <f t="shared" si="15"/>
        <v>#DIV/0!</v>
      </c>
      <c r="G52" s="3268" t="s">
        <v>2128</v>
      </c>
      <c r="H52" s="2222" t="str">
        <f>项目基本情况!B37</f>
        <v>一级</v>
      </c>
      <c r="I52" s="1235">
        <f>SUMIF(修正!A57:A68,H52,修正!B57:B68)</f>
        <v>0.7</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0.4</v>
      </c>
      <c r="D53" s="2221">
        <v>0.25</v>
      </c>
      <c r="E53" s="1156"/>
      <c r="F53" s="2249" t="e">
        <f t="shared" si="15"/>
        <v>#DIV/0!</v>
      </c>
      <c r="G53" s="3268"/>
      <c r="H53" s="2222" t="str">
        <f>项目基本情况!B37</f>
        <v>一级</v>
      </c>
      <c r="I53" s="1235">
        <f>SUMIF(修正!A57:A68,H53,修正!C57:C68)</f>
        <v>0.4</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0.3</v>
      </c>
      <c r="D54" s="2221">
        <v>0.25</v>
      </c>
      <c r="E54" s="1156"/>
      <c r="F54" s="2249" t="e">
        <f t="shared" si="15"/>
        <v>#DIV/0!</v>
      </c>
      <c r="G54" s="3268"/>
      <c r="H54" s="2222" t="str">
        <f>项目基本情况!B37</f>
        <v>一级</v>
      </c>
      <c r="I54" s="1235">
        <f>SUMIF(修正!A57:A68,H54,修正!D57:D68)</f>
        <v>0.3</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8"/>
      <c r="H55" s="2222" t="str">
        <f>项目基本情况!B37</f>
        <v>一级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0.3</v>
      </c>
      <c r="D56" s="2221">
        <v>0.25</v>
      </c>
      <c r="E56" s="1157">
        <f>'数据-汇总表'!E11</f>
        <v>0</v>
      </c>
      <c r="F56" s="2249" t="e">
        <f t="shared" si="15"/>
        <v>#DIV/0!</v>
      </c>
      <c r="G56" s="2224" t="s">
        <v>2133</v>
      </c>
      <c r="H56" s="2222" t="str">
        <f>项目基本情况!C37</f>
        <v>一级</v>
      </c>
      <c r="I56" s="1235">
        <f>SUMIF(修正!A57:A68,H56,修正!E57:E68)</f>
        <v>0.3</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0.3</v>
      </c>
      <c r="D57" s="2221">
        <v>0.25</v>
      </c>
      <c r="E57" s="1157">
        <f>'数据-汇总表'!E12</f>
        <v>0</v>
      </c>
      <c r="F57" s="2249" t="e">
        <f t="shared" si="15"/>
        <v>#DIV/0!</v>
      </c>
      <c r="G57" s="2225" t="s">
        <v>2135</v>
      </c>
      <c r="H57" s="2222" t="str">
        <f>IF(G57="商业",项目基本情况!B37,IF(G57="办公",项目基本情况!C37,IF(G57="住宅",项目基本情况!D37,项目基本情况!E37)))</f>
        <v>一级</v>
      </c>
      <c r="I57" s="1235">
        <f>SUMIF(修正!A57:A68,H57,修正!F57:F68)</f>
        <v>0.3</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0.2</v>
      </c>
      <c r="D59" s="2221">
        <v>0.25</v>
      </c>
      <c r="E59" s="1157">
        <f>'数据-汇总表'!E14</f>
        <v>0</v>
      </c>
      <c r="F59" s="2249" t="e">
        <f t="shared" si="15"/>
        <v>#DIV/0!</v>
      </c>
      <c r="G59" s="2224" t="s">
        <v>2128</v>
      </c>
      <c r="H59" s="2222" t="str">
        <f>项目基本情况!B37</f>
        <v>一级</v>
      </c>
      <c r="I59" s="1235">
        <f>SUMIF(修正!A57:A68,H59,修正!G57:G68)</f>
        <v>0.2</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0.2</v>
      </c>
      <c r="D60" s="2221">
        <v>0.25</v>
      </c>
      <c r="E60" s="1157">
        <f>'数据-汇总表'!E15</f>
        <v>0</v>
      </c>
      <c r="F60" s="2249" t="e">
        <f t="shared" si="15"/>
        <v>#DIV/0!</v>
      </c>
      <c r="G60" s="2226" t="s">
        <v>2133</v>
      </c>
      <c r="H60" s="2227" t="str">
        <f>项目基本情况!C37</f>
        <v>一级</v>
      </c>
      <c r="I60" s="1235">
        <f>SUMIF(修正!A57:A68,H60,修正!G57:G68)</f>
        <v>0.2</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0" zoomScale="85" zoomScaleNormal="80" zoomScaleSheetLayoutView="85" workbookViewId="0">
      <selection activeCell="G29" sqref="G29"/>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38142.979999999996</v>
      </c>
      <c r="E1" s="2258"/>
      <c r="F1" s="2258"/>
      <c r="G1" s="2258"/>
      <c r="H1" s="2258"/>
      <c r="I1" s="2258"/>
      <c r="J1" s="2258"/>
      <c r="L1" s="2260" t="s">
        <v>2165</v>
      </c>
      <c r="M1" s="474">
        <f>SUMPRODUCT((区片价!B5:B9=I2)*(区片价!C3:G3=E2)*(区片价!C5:G9))</f>
        <v>36850</v>
      </c>
      <c r="N1" s="473">
        <f>SUMPRODUCT((因素修正幅度!B5:B9=I2)*(因素修正幅度!C3:G3=E2)*(因素修正幅度!C5:G9))</f>
        <v>9.8000000000000004E-2</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123000</v>
      </c>
      <c r="C2" s="2266" t="s">
        <v>2172</v>
      </c>
      <c r="D2" s="473" t="s">
        <v>2173</v>
      </c>
      <c r="E2" s="2267" t="s">
        <v>24</v>
      </c>
      <c r="F2" s="473" t="s">
        <v>2174</v>
      </c>
      <c r="G2" s="473" t="str">
        <f>IF(E2="商业",项目基本情况!B37,IF(E2="办公",项目基本情况!C37,IF(E2="住宅",项目基本情况!D37,IF(E2="工业",项目基本情况!E37,项目基本情况!F37))))</f>
        <v>一级</v>
      </c>
      <c r="H2" s="473" t="s">
        <v>2175</v>
      </c>
      <c r="I2" s="473" t="str">
        <f>IF(E2="商业",项目基本情况!B38,IF(E2="办公",项目基本情况!C38,IF(E2="住宅",项目基本情况!D38,IF(E2="工业",项目基本情况!E38,项目基本情况!F38))))</f>
        <v>Ⅰ—02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1.5206</v>
      </c>
      <c r="T2" s="477">
        <f t="shared" ref="T2:T16" si="0">ROUND($C$5*$C$22*$C$23*$C$24*S2*$C$28,0)</f>
        <v>53311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32247</v>
      </c>
      <c r="C3" s="2266" t="s">
        <v>2178</v>
      </c>
      <c r="D3" s="473" t="s">
        <v>2179</v>
      </c>
      <c r="E3" s="2267" t="s">
        <v>3099</v>
      </c>
      <c r="F3" s="2270" t="s">
        <v>3100</v>
      </c>
      <c r="G3" s="2271">
        <v>7.2</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42323</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36570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36819</v>
      </c>
      <c r="D5" s="2274">
        <f>ROUND(C6*C17+C20,0)</f>
        <v>36819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33092</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36850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31539</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一级</v>
      </c>
      <c r="Y7" s="498" t="s">
        <v>2194</v>
      </c>
      <c r="Z7" s="498">
        <f>G3</f>
        <v>7.2</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-31</v>
      </c>
      <c r="D20" s="3279" t="s">
        <v>2237</v>
      </c>
      <c r="E20" s="3280"/>
      <c r="F20" s="3279" t="s">
        <v>2234</v>
      </c>
      <c r="G20" s="3280"/>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1.0109999999999999</v>
      </c>
      <c r="D23" s="2359" t="s">
        <v>2241</v>
      </c>
      <c r="E23" s="2843">
        <v>44197</v>
      </c>
      <c r="F23" s="2359" t="s">
        <v>2242</v>
      </c>
      <c r="G23" s="2842">
        <f>项目基本情况!D3</f>
        <v>44818</v>
      </c>
      <c r="H23" s="2361" t="s">
        <v>3107</v>
      </c>
      <c r="I23" s="2360" t="str">
        <f>IF(H23="季度增幅（自定义）",SUMIF(N25:N28,E2,O25:O28),"")</f>
        <v/>
      </c>
      <c r="J23" s="2982" t="s">
        <v>3108</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0.86909999999999998</v>
      </c>
      <c r="D24" s="2365" t="s">
        <v>2246</v>
      </c>
      <c r="E24" s="2365">
        <f>存贷款利率!E20/100</f>
        <v>4.3499999999999997E-2</v>
      </c>
      <c r="F24" s="2365" t="s">
        <v>2238</v>
      </c>
      <c r="G24" s="2366">
        <f>SUMIF(M30:Q30,E2,M33:Q33)</f>
        <v>5.5E-2</v>
      </c>
      <c r="H24" s="2365" t="s">
        <v>2247</v>
      </c>
      <c r="I24" s="2367">
        <f>项目基本情况!F15</f>
        <v>30.95</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0.91979999999999995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0.91979999999999995</v>
      </c>
      <c r="E26" s="493">
        <f>ROUNDDOWN(G3,1)</f>
        <v>7.2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0.91979999999999995</v>
      </c>
      <c r="G26" s="493">
        <f>ROUNDUP(G3,1)</f>
        <v>7.2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0.91979999999999995</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1.0836999999999999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123000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32247</v>
      </c>
      <c r="D33" s="2420">
        <f>'[3]数据-汇总表'!$F$20</f>
        <v>38142.979999999996</v>
      </c>
      <c r="E33" s="2421">
        <f>ROUND(C33*D33/10000,0)</f>
        <v>123000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8062</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4"/>
      <c r="B37" s="2439" t="s">
        <v>2275</v>
      </c>
      <c r="C37" s="495">
        <f>ROUND(D5*C22*C23*C24*C28*F37,0)</f>
        <v>24541</v>
      </c>
      <c r="D37" s="2420"/>
      <c r="E37" s="473">
        <f>ROUND(C37*D37/10000,0)</f>
        <v>0</v>
      </c>
      <c r="F37" s="473">
        <f>SUMIF(修正!A57:A68,G2,修正!B57:B68)</f>
        <v>0.7</v>
      </c>
      <c r="G37" s="473">
        <f>ROUND(IF(E2="工业",C37*$M$42,C37*$M$41),0)</f>
        <v>6135</v>
      </c>
      <c r="H37" s="473">
        <f>D37</f>
        <v>0</v>
      </c>
      <c r="I37" s="473">
        <f>ROUND(G37*H37/10000,0)</f>
        <v>0</v>
      </c>
      <c r="J37" s="328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5"/>
      <c r="B38" s="2321" t="s">
        <v>2276</v>
      </c>
      <c r="C38" s="495">
        <f>ROUND(D5*C22*C23*C24*C28*F38,0)</f>
        <v>14024</v>
      </c>
      <c r="D38" s="2420"/>
      <c r="E38" s="473">
        <f t="shared" ref="E38:E42" si="4">ROUND(C38*D38/10000,0)</f>
        <v>0</v>
      </c>
      <c r="F38" s="473">
        <f>SUMIF(修正!A57:A68,G2,修正!C57:C68)</f>
        <v>0.4</v>
      </c>
      <c r="G38" s="473">
        <f>ROUND(IF(E2="工业",C38*$M$42,C38*$M$41),0)</f>
        <v>3506</v>
      </c>
      <c r="H38" s="473">
        <f t="shared" ref="H38:H42" si="5">D38</f>
        <v>0</v>
      </c>
      <c r="I38" s="473">
        <f t="shared" ref="I38:I42" si="6">ROUND(G38*H38/10000,0)</f>
        <v>0</v>
      </c>
      <c r="J38" s="328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5"/>
      <c r="B39" s="2321" t="s">
        <v>2940</v>
      </c>
      <c r="C39" s="495">
        <f>ROUND(D5*C22*C23*C24*C28*F39,0)</f>
        <v>10518</v>
      </c>
      <c r="D39" s="2420"/>
      <c r="E39" s="473">
        <f t="shared" si="4"/>
        <v>0</v>
      </c>
      <c r="F39" s="473">
        <f>SUMIF(修正!A57:A68,G2,修正!D57:D68)</f>
        <v>0.3</v>
      </c>
      <c r="G39" s="473">
        <f>ROUND(IF(E2="工业",C39*$M$42,C39*$M$41),0)</f>
        <v>2630</v>
      </c>
      <c r="H39" s="473">
        <f t="shared" si="5"/>
        <v>0</v>
      </c>
      <c r="I39" s="473">
        <f t="shared" si="6"/>
        <v>0</v>
      </c>
      <c r="J39" s="328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10518</v>
      </c>
      <c r="D40" s="2420"/>
      <c r="E40" s="473">
        <f t="shared" si="4"/>
        <v>0</v>
      </c>
      <c r="F40" s="495">
        <f>SUMIF(修正!A57:A68,G2,修正!E57:E68)</f>
        <v>0.3</v>
      </c>
      <c r="G40" s="473">
        <f>ROUND(IF(E2="工业",C40*$M$42,C40*$M$41),0)</f>
        <v>2630</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1.0836999999999999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3112</v>
      </c>
      <c r="D62" s="499">
        <f>SUMIF($J$61:$N$61,C62,J62:N62)</f>
        <v>2.4400000000000002E-2</v>
      </c>
      <c r="E62" s="2458">
        <f>ROUND(SUM(D62:D70),4)</f>
        <v>8.3699999999999997E-2</v>
      </c>
      <c r="F62" s="2329">
        <f>IF(E2="办公",SUMIF(L1:L12,G2,N1:N12),"——")</f>
        <v>9.8000000000000004E-2</v>
      </c>
      <c r="G62" s="2459">
        <f>H62</f>
        <v>1.2200000000000001E-2</v>
      </c>
      <c r="H62" s="2460">
        <f t="shared" ref="H62:H70" si="12">IFERROR(ROUNDDOWN($F$62*I62/2,4),"——")</f>
        <v>1.2200000000000001E-2</v>
      </c>
      <c r="I62" s="499">
        <v>0.25</v>
      </c>
      <c r="J62" s="493">
        <f t="shared" ref="J62:J70" si="13">K62+$G62</f>
        <v>2.4400000000000002E-2</v>
      </c>
      <c r="K62" s="493">
        <f t="shared" ref="K62:K70" si="14">$L62+$G62</f>
        <v>1.2200000000000001E-2</v>
      </c>
      <c r="L62" s="493">
        <v>0</v>
      </c>
      <c r="M62" s="493">
        <f t="shared" ref="M62:N70" si="15">L62-$G62</f>
        <v>-1.2200000000000001E-2</v>
      </c>
      <c r="N62" s="493">
        <f t="shared" si="15"/>
        <v>-2.4400000000000002E-2</v>
      </c>
    </row>
    <row r="63" spans="1:14" s="2259" customFormat="1" ht="38.25">
      <c r="A63" s="2455" t="s">
        <v>2292</v>
      </c>
      <c r="B63" s="499" t="str">
        <f>估价对象房地状况!C18</f>
        <v>估价对象周边道路状况、公共交通通达情况、停车便捷程度，综合评价交通便捷度较好</v>
      </c>
      <c r="C63" s="2325" t="s">
        <v>3112</v>
      </c>
      <c r="D63" s="499">
        <f t="shared" ref="D63:D70" si="16">SUMIF($J$61:$N$61,C63,J63:N63)</f>
        <v>2.5399999999999999E-2</v>
      </c>
      <c r="E63" s="2461"/>
      <c r="F63" s="2402"/>
      <c r="G63" s="2459">
        <f t="shared" ref="G63:G70" si="17">H63</f>
        <v>1.2699999999999999E-2</v>
      </c>
      <c r="H63" s="2460">
        <f t="shared" si="12"/>
        <v>1.2699999999999999E-2</v>
      </c>
      <c r="I63" s="499">
        <v>0.26</v>
      </c>
      <c r="J63" s="493">
        <f t="shared" si="13"/>
        <v>2.5399999999999999E-2</v>
      </c>
      <c r="K63" s="493">
        <f t="shared" si="14"/>
        <v>1.2699999999999999E-2</v>
      </c>
      <c r="L63" s="493">
        <v>0</v>
      </c>
      <c r="M63" s="493">
        <f t="shared" si="15"/>
        <v>-1.2699999999999999E-2</v>
      </c>
      <c r="N63" s="493">
        <f t="shared" si="15"/>
        <v>-2.5399999999999999E-2</v>
      </c>
    </row>
    <row r="64" spans="1:14" s="2259" customFormat="1" ht="36">
      <c r="A64" s="2462" t="s">
        <v>2814</v>
      </c>
      <c r="B64" s="499">
        <f>估价对象房地状况!C19</f>
        <v>0</v>
      </c>
      <c r="C64" s="2325" t="s">
        <v>3112</v>
      </c>
      <c r="D64" s="499">
        <f t="shared" si="16"/>
        <v>1.06E-2</v>
      </c>
      <c r="E64" s="2461"/>
      <c r="F64" s="2402"/>
      <c r="G64" s="2459">
        <f t="shared" si="17"/>
        <v>5.3E-3</v>
      </c>
      <c r="H64" s="2460">
        <f t="shared" si="12"/>
        <v>5.3E-3</v>
      </c>
      <c r="I64" s="499">
        <v>0.11</v>
      </c>
      <c r="J64" s="493">
        <f t="shared" si="13"/>
        <v>1.06E-2</v>
      </c>
      <c r="K64" s="493">
        <f t="shared" si="14"/>
        <v>5.3E-3</v>
      </c>
      <c r="L64" s="493">
        <v>0</v>
      </c>
      <c r="M64" s="493">
        <f t="shared" si="15"/>
        <v>-5.3E-3</v>
      </c>
      <c r="N64" s="493">
        <f t="shared" si="15"/>
        <v>-1.06E-2</v>
      </c>
    </row>
    <row r="65" spans="1:33" s="2259" customFormat="1" ht="36.75">
      <c r="A65" s="2455" t="s">
        <v>2293</v>
      </c>
      <c r="B65" s="2463" t="s">
        <v>2294</v>
      </c>
      <c r="C65" s="2325" t="s">
        <v>3110</v>
      </c>
      <c r="D65" s="499">
        <f t="shared" si="16"/>
        <v>2.3999999999999998E-3</v>
      </c>
      <c r="E65" s="2461"/>
      <c r="F65" s="2402"/>
      <c r="G65" s="2459">
        <f t="shared" si="17"/>
        <v>2.3999999999999998E-3</v>
      </c>
      <c r="H65" s="2460">
        <f t="shared" si="12"/>
        <v>2.3999999999999998E-3</v>
      </c>
      <c r="I65" s="499">
        <v>0.05</v>
      </c>
      <c r="J65" s="493">
        <f t="shared" si="13"/>
        <v>4.7999999999999996E-3</v>
      </c>
      <c r="K65" s="493">
        <f t="shared" si="14"/>
        <v>2.3999999999999998E-3</v>
      </c>
      <c r="L65" s="493">
        <v>0</v>
      </c>
      <c r="M65" s="493">
        <f t="shared" si="15"/>
        <v>-2.3999999999999998E-3</v>
      </c>
      <c r="N65" s="493">
        <f t="shared" si="15"/>
        <v>-4.7999999999999996E-3</v>
      </c>
    </row>
    <row r="66" spans="1:33" s="2259" customFormat="1" ht="24">
      <c r="A66" s="2455" t="s">
        <v>2295</v>
      </c>
      <c r="B66" s="499">
        <f>估价对象房地状况!C24</f>
        <v>0</v>
      </c>
      <c r="C66" s="2325" t="s">
        <v>3111</v>
      </c>
      <c r="D66" s="499">
        <f t="shared" si="16"/>
        <v>0</v>
      </c>
      <c r="E66" s="2461"/>
      <c r="F66" s="2402"/>
      <c r="G66" s="2459">
        <f t="shared" si="17"/>
        <v>2.3999999999999998E-3</v>
      </c>
      <c r="H66" s="2460">
        <f t="shared" si="12"/>
        <v>2.3999999999999998E-3</v>
      </c>
      <c r="I66" s="499">
        <v>0.05</v>
      </c>
      <c r="J66" s="493">
        <f t="shared" si="13"/>
        <v>4.7999999999999996E-3</v>
      </c>
      <c r="K66" s="493">
        <f t="shared" si="14"/>
        <v>2.3999999999999998E-3</v>
      </c>
      <c r="L66" s="493">
        <v>0</v>
      </c>
      <c r="M66" s="493">
        <f t="shared" si="15"/>
        <v>-2.3999999999999998E-3</v>
      </c>
      <c r="N66" s="493">
        <f t="shared" si="15"/>
        <v>-4.7999999999999996E-3</v>
      </c>
    </row>
    <row r="67" spans="1:33" s="2259" customFormat="1" ht="24">
      <c r="A67" s="2455" t="s">
        <v>2296</v>
      </c>
      <c r="B67" s="2464" t="s">
        <v>2297</v>
      </c>
      <c r="C67" s="2325" t="s">
        <v>3110</v>
      </c>
      <c r="D67" s="499">
        <f t="shared" si="16"/>
        <v>2.8999999999999998E-3</v>
      </c>
      <c r="E67" s="2461"/>
      <c r="F67" s="2402"/>
      <c r="G67" s="2459">
        <f t="shared" si="17"/>
        <v>2.8999999999999998E-3</v>
      </c>
      <c r="H67" s="2460">
        <f t="shared" si="12"/>
        <v>2.8999999999999998E-3</v>
      </c>
      <c r="I67" s="499">
        <v>0.06</v>
      </c>
      <c r="J67" s="493">
        <f t="shared" si="13"/>
        <v>5.7999999999999996E-3</v>
      </c>
      <c r="K67" s="493">
        <f t="shared" si="14"/>
        <v>2.8999999999999998E-3</v>
      </c>
      <c r="L67" s="493">
        <v>0</v>
      </c>
      <c r="M67" s="493">
        <f t="shared" si="15"/>
        <v>-2.8999999999999998E-3</v>
      </c>
      <c r="N67" s="493">
        <f t="shared" si="15"/>
        <v>-5.7999999999999996E-3</v>
      </c>
    </row>
    <row r="68" spans="1:33" s="2259" customFormat="1" ht="25.5">
      <c r="A68" s="2455" t="s">
        <v>2298</v>
      </c>
      <c r="B68" s="999" t="str">
        <f>估价对象房地状况!C21</f>
        <v>估价对象所在区域公共配套设施齐备情况</v>
      </c>
      <c r="C68" s="2325" t="s">
        <v>3112</v>
      </c>
      <c r="D68" s="499">
        <f t="shared" si="16"/>
        <v>5.7999999999999996E-3</v>
      </c>
      <c r="E68" s="2461"/>
      <c r="F68" s="2402"/>
      <c r="G68" s="2459">
        <f t="shared" si="17"/>
        <v>2.8999999999999998E-3</v>
      </c>
      <c r="H68" s="2460">
        <f t="shared" si="12"/>
        <v>2.8999999999999998E-3</v>
      </c>
      <c r="I68" s="499">
        <v>0.06</v>
      </c>
      <c r="J68" s="493">
        <f t="shared" si="13"/>
        <v>5.7999999999999996E-3</v>
      </c>
      <c r="K68" s="493">
        <f t="shared" si="14"/>
        <v>2.8999999999999998E-3</v>
      </c>
      <c r="L68" s="493">
        <v>0</v>
      </c>
      <c r="M68" s="493">
        <f t="shared" si="15"/>
        <v>-2.8999999999999998E-3</v>
      </c>
      <c r="N68" s="493">
        <f t="shared" si="15"/>
        <v>-5.7999999999999996E-3</v>
      </c>
    </row>
    <row r="69" spans="1:33" s="2259" customFormat="1" ht="24">
      <c r="A69" s="2455" t="s">
        <v>2299</v>
      </c>
      <c r="B69" s="999" t="str">
        <f>估价对象房地状况!C22</f>
        <v>估价对象所在区域基础设施水平</v>
      </c>
      <c r="C69" s="2325" t="s">
        <v>3112</v>
      </c>
      <c r="D69" s="499">
        <f t="shared" si="16"/>
        <v>8.8000000000000005E-3</v>
      </c>
      <c r="E69" s="2461"/>
      <c r="F69" s="2402"/>
      <c r="G69" s="2459">
        <f t="shared" si="17"/>
        <v>4.4000000000000003E-3</v>
      </c>
      <c r="H69" s="2460">
        <f t="shared" si="12"/>
        <v>4.4000000000000003E-3</v>
      </c>
      <c r="I69" s="499">
        <v>0.09</v>
      </c>
      <c r="J69" s="493">
        <f t="shared" si="13"/>
        <v>8.8000000000000005E-3</v>
      </c>
      <c r="K69" s="493">
        <f t="shared" si="14"/>
        <v>4.4000000000000003E-3</v>
      </c>
      <c r="L69" s="493">
        <v>0</v>
      </c>
      <c r="M69" s="493">
        <f t="shared" si="15"/>
        <v>-4.4000000000000003E-3</v>
      </c>
      <c r="N69" s="493">
        <f t="shared" si="15"/>
        <v>-8.8000000000000005E-3</v>
      </c>
    </row>
    <row r="70" spans="1:33" s="2259" customFormat="1" ht="26.25" thickBot="1">
      <c r="A70" s="2466" t="s">
        <v>2300</v>
      </c>
      <c r="B70" s="2468" t="str">
        <f>估价对象房地状况!C20</f>
        <v>区域自然环境：；人文环境；综合评价环境状况一般</v>
      </c>
      <c r="C70" s="2325" t="s">
        <v>3110</v>
      </c>
      <c r="D70" s="499">
        <f t="shared" si="16"/>
        <v>3.3999999999999998E-3</v>
      </c>
      <c r="E70" s="487"/>
      <c r="F70" s="2402"/>
      <c r="G70" s="2459">
        <f t="shared" si="17"/>
        <v>3.3999999999999998E-3</v>
      </c>
      <c r="H70" s="2460">
        <f t="shared" si="12"/>
        <v>3.3999999999999998E-3</v>
      </c>
      <c r="I70" s="2468">
        <v>7.0000000000000007E-2</v>
      </c>
      <c r="J70" s="493">
        <f t="shared" si="13"/>
        <v>6.7999999999999996E-3</v>
      </c>
      <c r="K70" s="493">
        <f t="shared" si="14"/>
        <v>3.3999999999999998E-3</v>
      </c>
      <c r="L70" s="493">
        <v>0</v>
      </c>
      <c r="M70" s="493">
        <f t="shared" si="15"/>
        <v>-3.3999999999999998E-3</v>
      </c>
      <c r="N70" s="493">
        <f t="shared" si="15"/>
        <v>-6.7999999999999996E-3</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81" t="s">
        <v>2311</v>
      </c>
      <c r="B104" s="3281"/>
      <c r="C104" s="3281"/>
      <c r="D104" s="3281"/>
      <c r="E104" s="3281"/>
      <c r="F104" s="3281"/>
      <c r="G104" s="3281"/>
      <c r="H104" s="3281"/>
      <c r="I104" s="3281"/>
      <c r="J104" s="3281"/>
      <c r="K104" s="2479"/>
      <c r="L104" s="2479"/>
      <c r="M104" s="2479"/>
      <c r="N104" s="2479"/>
    </row>
    <row r="105" spans="1:25">
      <c r="A105" s="3283" t="s">
        <v>2312</v>
      </c>
      <c r="B105" s="3283" t="s">
        <v>2313</v>
      </c>
      <c r="C105" s="2422" t="s">
        <v>2314</v>
      </c>
      <c r="D105" s="2423"/>
      <c r="E105" s="2423"/>
      <c r="F105" s="2423"/>
      <c r="G105" s="2423"/>
      <c r="H105" s="2423"/>
      <c r="I105" s="2423"/>
      <c r="J105" s="2480"/>
      <c r="K105" s="2481"/>
      <c r="L105" s="2481"/>
      <c r="M105" s="2481"/>
      <c r="N105" s="2481"/>
    </row>
    <row r="106" spans="1:25">
      <c r="A106" s="3283"/>
      <c r="B106" s="328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8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8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8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8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8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88"/>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89"/>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82" t="s">
        <v>2316</v>
      </c>
      <c r="B114" s="3282"/>
      <c r="C114" s="3282"/>
      <c r="D114" s="3282"/>
      <c r="E114" s="3282"/>
      <c r="F114" s="3282"/>
      <c r="G114" s="3282"/>
      <c r="H114" s="3282"/>
      <c r="I114" s="3282"/>
      <c r="J114" s="3282"/>
      <c r="K114" s="2483"/>
      <c r="L114" s="2483"/>
      <c r="M114" s="2483"/>
      <c r="N114" s="2483"/>
    </row>
    <row r="116" spans="1:14" ht="13.5" thickBot="1"/>
    <row r="117" spans="1:14" ht="25.5" thickBot="1">
      <c r="A117" s="2382" t="s">
        <v>2317</v>
      </c>
      <c r="B117" s="2484">
        <f>G3</f>
        <v>7.2</v>
      </c>
      <c r="C117" s="2365" t="s">
        <v>2318</v>
      </c>
      <c r="D117" s="500">
        <f>SUMPRODUCT((A119:A123=F117)*(B118:M118=H117)*B119:M123)</f>
        <v>0.91239999999999999</v>
      </c>
      <c r="E117" s="473" t="s">
        <v>2173</v>
      </c>
      <c r="F117" s="501" t="str">
        <f>E2</f>
        <v>办公</v>
      </c>
      <c r="G117" s="473" t="s">
        <v>2174</v>
      </c>
      <c r="H117" s="501" t="str">
        <f>G2</f>
        <v>一级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0.91759999999999997</v>
      </c>
      <c r="C119" s="502">
        <f>B119</f>
        <v>0.91759999999999997</v>
      </c>
      <c r="D119" s="502">
        <f>ROUND(0.949-0.014*B117,4)</f>
        <v>0.84819999999999995</v>
      </c>
      <c r="E119" s="502">
        <f>D119</f>
        <v>0.84819999999999995</v>
      </c>
      <c r="F119" s="502">
        <f>E119</f>
        <v>0.84819999999999995</v>
      </c>
      <c r="G119" s="502">
        <f>F119</f>
        <v>0.84819999999999995</v>
      </c>
      <c r="H119" s="502">
        <f>G119</f>
        <v>0.84819999999999995</v>
      </c>
      <c r="I119" s="502">
        <f>ROUND(0.8486-0.018*B117,4)</f>
        <v>0.71899999999999997</v>
      </c>
      <c r="J119" s="502">
        <f t="shared" ref="J119:M122" si="37">I119</f>
        <v>0.71899999999999997</v>
      </c>
      <c r="K119" s="502">
        <f t="shared" si="37"/>
        <v>0.71899999999999997</v>
      </c>
      <c r="L119" s="502">
        <f t="shared" si="37"/>
        <v>0.71899999999999997</v>
      </c>
      <c r="M119" s="504">
        <f t="shared" si="37"/>
        <v>0.71899999999999997</v>
      </c>
    </row>
    <row r="120" spans="1:14">
      <c r="A120" s="2413" t="s">
        <v>2230</v>
      </c>
      <c r="B120" s="502">
        <f>ROUND(0.993-0.0112*B117,4)</f>
        <v>0.91239999999999999</v>
      </c>
      <c r="C120" s="502">
        <f>B120</f>
        <v>0.91239999999999999</v>
      </c>
      <c r="D120" s="502">
        <f>ROUND(0.9415-0.0142*B117,4)</f>
        <v>0.83930000000000005</v>
      </c>
      <c r="E120" s="502">
        <f t="shared" ref="E120:H121" si="38">D120</f>
        <v>0.83930000000000005</v>
      </c>
      <c r="F120" s="502">
        <f t="shared" si="38"/>
        <v>0.83930000000000005</v>
      </c>
      <c r="G120" s="502">
        <f t="shared" si="38"/>
        <v>0.83930000000000005</v>
      </c>
      <c r="H120" s="502">
        <f t="shared" si="38"/>
        <v>0.83930000000000005</v>
      </c>
      <c r="I120" s="502">
        <f>ROUND(0.838-0.0182*B117,4)</f>
        <v>0.70699999999999996</v>
      </c>
      <c r="J120" s="502">
        <f t="shared" si="37"/>
        <v>0.70699999999999996</v>
      </c>
      <c r="K120" s="502">
        <f t="shared" si="37"/>
        <v>0.70699999999999996</v>
      </c>
      <c r="L120" s="502">
        <f t="shared" si="37"/>
        <v>0.70699999999999996</v>
      </c>
      <c r="M120" s="504">
        <f t="shared" si="37"/>
        <v>0.70699999999999996</v>
      </c>
    </row>
    <row r="121" spans="1:14">
      <c r="A121" s="2413" t="s">
        <v>2231</v>
      </c>
      <c r="B121" s="502">
        <f>ROUND(0.9448-0.0115*B117,4)</f>
        <v>0.86199999999999999</v>
      </c>
      <c r="C121" s="502">
        <f>B121</f>
        <v>0.86199999999999999</v>
      </c>
      <c r="D121" s="502">
        <f>ROUND(0.937-0.0145*B117,4)</f>
        <v>0.83260000000000001</v>
      </c>
      <c r="E121" s="502">
        <f t="shared" si="38"/>
        <v>0.83260000000000001</v>
      </c>
      <c r="F121" s="502">
        <f t="shared" si="38"/>
        <v>0.83260000000000001</v>
      </c>
      <c r="G121" s="502">
        <f t="shared" si="38"/>
        <v>0.83260000000000001</v>
      </c>
      <c r="H121" s="502">
        <f t="shared" si="38"/>
        <v>0.83260000000000001</v>
      </c>
      <c r="I121" s="502">
        <f>ROUND(0.7965-0.0185*B117,4)</f>
        <v>0.6633</v>
      </c>
      <c r="J121" s="502">
        <f t="shared" si="37"/>
        <v>0.6633</v>
      </c>
      <c r="K121" s="502">
        <f t="shared" si="37"/>
        <v>0.6633</v>
      </c>
      <c r="L121" s="502">
        <f t="shared" si="37"/>
        <v>0.6633</v>
      </c>
      <c r="M121" s="504">
        <f t="shared" si="37"/>
        <v>0.6633</v>
      </c>
    </row>
    <row r="122" spans="1:14" ht="13.5" thickBot="1">
      <c r="A122" s="2417" t="s">
        <v>2232</v>
      </c>
      <c r="B122" s="503">
        <f>ROUND(0.7836-0.012*B117,4)</f>
        <v>0.69720000000000004</v>
      </c>
      <c r="C122" s="503">
        <f>B122</f>
        <v>0.69720000000000004</v>
      </c>
      <c r="D122" s="503">
        <f>ROUND(0.753-0.015*B117,4)</f>
        <v>0.64500000000000002</v>
      </c>
      <c r="E122" s="503">
        <f>D122</f>
        <v>0.64500000000000002</v>
      </c>
      <c r="F122" s="503">
        <f>E122</f>
        <v>0.64500000000000002</v>
      </c>
      <c r="G122" s="503">
        <f>ROUND(0.6612-0.018*B117,4)</f>
        <v>0.53159999999999996</v>
      </c>
      <c r="H122" s="503">
        <f>G122</f>
        <v>0.53159999999999996</v>
      </c>
      <c r="I122" s="503">
        <f>ROUND(0.5905-0.019*B117,4)</f>
        <v>0.45369999999999999</v>
      </c>
      <c r="J122" s="503">
        <f t="shared" si="37"/>
        <v>0.45369999999999999</v>
      </c>
      <c r="K122" s="503">
        <f t="shared" si="37"/>
        <v>0.45369999999999999</v>
      </c>
      <c r="L122" s="503">
        <f t="shared" si="37"/>
        <v>0.45369999999999999</v>
      </c>
      <c r="M122" s="505">
        <f t="shared" si="37"/>
        <v>0.45369999999999999</v>
      </c>
    </row>
    <row r="123" spans="1:14">
      <c r="A123" s="2492" t="s">
        <v>2901</v>
      </c>
      <c r="B123" s="502">
        <f>ROUND(0.9404-0.0106*B117,4)</f>
        <v>0.86409999999999998</v>
      </c>
      <c r="C123" s="502">
        <f>B123</f>
        <v>0.86409999999999998</v>
      </c>
      <c r="D123" s="502">
        <f>ROUND(0.8955-0.0135*B117,4)</f>
        <v>0.79830000000000001</v>
      </c>
      <c r="E123" s="502">
        <f t="shared" ref="E123" si="39">D123</f>
        <v>0.79830000000000001</v>
      </c>
      <c r="F123" s="502">
        <f t="shared" ref="F123" si="40">E123</f>
        <v>0.79830000000000001</v>
      </c>
      <c r="G123" s="502">
        <f t="shared" ref="G123" si="41">F123</f>
        <v>0.79830000000000001</v>
      </c>
      <c r="H123" s="502">
        <f t="shared" ref="H123" si="42">G123</f>
        <v>0.79830000000000001</v>
      </c>
      <c r="I123" s="502">
        <f>ROUND(0.7632-0.0166*B117,4)</f>
        <v>0.64370000000000005</v>
      </c>
      <c r="J123" s="502">
        <f t="shared" ref="J123" si="43">I123</f>
        <v>0.64370000000000005</v>
      </c>
      <c r="K123" s="502">
        <f t="shared" ref="K123" si="44">J123</f>
        <v>0.64370000000000005</v>
      </c>
      <c r="L123" s="502">
        <f t="shared" ref="L123" si="45">K123</f>
        <v>0.64370000000000005</v>
      </c>
      <c r="M123" s="504">
        <f t="shared" ref="M123" si="46">L123</f>
        <v>0.64370000000000005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85" zoomScaleNormal="80" zoomScaleSheetLayoutView="85" workbookViewId="0">
      <selection activeCell="E37" activeCellId="1" sqref="E33 E3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4174.2299999999996</v>
      </c>
      <c r="E1" s="2258"/>
      <c r="F1" s="2258"/>
      <c r="G1" s="2258"/>
      <c r="H1" s="2258"/>
      <c r="I1" s="2258"/>
      <c r="J1" s="2258"/>
      <c r="L1" s="2260" t="s">
        <v>2165</v>
      </c>
      <c r="M1" s="474">
        <f>SUMPRODUCT((区片价!B5:B9=I2)*(区片价!C3:G3=E2)*(区片价!C5:G9))</f>
        <v>36990</v>
      </c>
      <c r="N1" s="473">
        <f>SUMPRODUCT((因素修正幅度!B5:B9=I2)*(因素修正幅度!C3:G3=E2)*(因素修正幅度!C5:G9))</f>
        <v>9.8000000000000004E-2</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11834</v>
      </c>
      <c r="C2" s="2266" t="s">
        <v>2172</v>
      </c>
      <c r="D2" s="473" t="s">
        <v>2173</v>
      </c>
      <c r="E2" s="2267" t="s">
        <v>886</v>
      </c>
      <c r="F2" s="473" t="s">
        <v>2174</v>
      </c>
      <c r="G2" s="473" t="str">
        <f>IF(E2="商业",项目基本情况!B37,IF(E2="办公",项目基本情况!C37,IF(E2="住宅",项目基本情况!D37,IF(E2="工业",项目基本情况!E37,项目基本情况!F37))))</f>
        <v>一级</v>
      </c>
      <c r="H2" s="473" t="s">
        <v>2175</v>
      </c>
      <c r="I2" s="473" t="str">
        <f>IF(E2="商业",项目基本情况!B38,IF(E2="办公",项目基本情况!C38,IF(E2="住宅",项目基本情况!D38,IF(E2="工业",项目基本情况!E38,项目基本情况!F38))))</f>
        <v>Ⅰ—02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1.5206</v>
      </c>
      <c r="T2" s="477">
        <f t="shared" ref="T2:T16" si="0">ROUND($C$5*$C$22*$C$23*$C$24*S2*$C$28,0)</f>
        <v>46726</v>
      </c>
      <c r="U2" s="2269">
        <f>D33</f>
        <v>1132.3699999999999</v>
      </c>
      <c r="V2" s="477">
        <f>ROUND(T2*U2/10000,0)</f>
        <v>5291</v>
      </c>
      <c r="W2" s="2262"/>
      <c r="X2" s="2262"/>
      <c r="Y2" s="2262"/>
      <c r="Z2" s="2262"/>
      <c r="AA2" s="2262"/>
      <c r="AB2" s="2262"/>
      <c r="AC2" s="2262"/>
      <c r="AD2" s="2263"/>
      <c r="AE2" s="2263"/>
      <c r="AF2" s="2263"/>
      <c r="AG2" s="2263"/>
      <c r="AH2" s="2263"/>
      <c r="AI2" s="2263"/>
      <c r="AJ2" s="2264"/>
    </row>
    <row r="3" spans="1:36" ht="15.75">
      <c r="A3" s="2265" t="s">
        <v>2177</v>
      </c>
      <c r="B3" s="2265">
        <f>ROUND(B2*10000/D1,0)</f>
        <v>28350</v>
      </c>
      <c r="C3" s="2266" t="s">
        <v>2178</v>
      </c>
      <c r="D3" s="473" t="s">
        <v>2179</v>
      </c>
      <c r="E3" s="2267" t="s">
        <v>2823</v>
      </c>
      <c r="F3" s="2270" t="s">
        <v>3100</v>
      </c>
      <c r="G3" s="2271">
        <v>7.2</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1.2072000000000001</v>
      </c>
      <c r="T3" s="477">
        <f t="shared" si="0"/>
        <v>37095</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5"/>
      <c r="B4" s="3276"/>
      <c r="C4" s="3276"/>
      <c r="D4" s="3277"/>
      <c r="E4" s="3277"/>
      <c r="F4" s="3277"/>
      <c r="G4" s="3277"/>
      <c r="H4" s="3277"/>
      <c r="I4" s="3277"/>
      <c r="J4" s="327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1.0430999999999999</v>
      </c>
      <c r="T4" s="477">
        <f t="shared" si="0"/>
        <v>32053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36959</v>
      </c>
      <c r="D5" s="2274">
        <f>ROUND(C6*C17+C20,0)</f>
        <v>36959</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0.94389999999999996</v>
      </c>
      <c r="T5" s="477">
        <f t="shared" si="0"/>
        <v>29005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36990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0.89959999999999996</v>
      </c>
      <c r="T6" s="477">
        <f t="shared" si="0"/>
        <v>27643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2994"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999" t="s">
        <v>2193</v>
      </c>
      <c r="X7" s="498" t="str">
        <f>G2</f>
        <v>一级</v>
      </c>
      <c r="Y7" s="498" t="s">
        <v>2194</v>
      </c>
      <c r="Z7" s="498">
        <f>G3</f>
        <v>7.2</v>
      </c>
      <c r="AA7" s="2262"/>
      <c r="AB7" s="2262"/>
      <c r="AC7" s="2262"/>
      <c r="AD7" s="2263"/>
      <c r="AE7" s="2263"/>
      <c r="AF7" s="2263"/>
      <c r="AG7" s="2263"/>
      <c r="AH7" s="2263"/>
      <c r="AI7" s="2263"/>
      <c r="AJ7" s="2264"/>
    </row>
    <row r="8" spans="1:36" ht="25.5">
      <c r="A8" s="2294"/>
      <c r="B8" s="473" t="s">
        <v>2195</v>
      </c>
      <c r="C8" s="2267" t="s">
        <v>3109</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3" t="s">
        <v>2198</v>
      </c>
      <c r="X8" s="327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2992" t="s">
        <v>2223</v>
      </c>
      <c r="C14" s="2321" t="s">
        <v>2224</v>
      </c>
      <c r="D14" s="2993"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993"/>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94" t="s">
        <v>2233</v>
      </c>
      <c r="C20" s="2994">
        <f>ROUND(IF(F21="与级别开发程度一致",0,(G21-E21)/C21),0)</f>
        <v>-31</v>
      </c>
      <c r="D20" s="3279" t="s">
        <v>2237</v>
      </c>
      <c r="E20" s="3280"/>
      <c r="F20" s="3279" t="s">
        <v>2234</v>
      </c>
      <c r="G20" s="3280"/>
      <c r="H20" s="2347" t="s">
        <v>3101</v>
      </c>
      <c r="I20" s="2347" t="s">
        <v>3102</v>
      </c>
      <c r="J20" s="2989" t="s">
        <v>3103</v>
      </c>
      <c r="K20" s="2347" t="s">
        <v>3104</v>
      </c>
      <c r="L20" s="2347" t="s">
        <v>3105</v>
      </c>
      <c r="M20" s="2347" t="s">
        <v>3106</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3.5</v>
      </c>
      <c r="D21" s="497" t="str">
        <f>IF(OR(G2="八级",G2="九级",G2="十级",G2="十一级",G2="十二级"),"五通一平","七通一平")</f>
        <v>七通一平</v>
      </c>
      <c r="E21" s="484">
        <f>SUMPRODUCT((修正!B1:M1=G2)*(修正!B17:M17))</f>
        <v>375</v>
      </c>
      <c r="F21" s="2351" t="s">
        <v>3091</v>
      </c>
      <c r="G21" s="485">
        <f>SUM(H21:O21)</f>
        <v>265</v>
      </c>
      <c r="H21" s="482">
        <f>SUMPRODUCT((七通一平=H20)*(修正!B1:M1=G2)*(修正!B8:M16))</f>
        <v>80</v>
      </c>
      <c r="I21" s="482">
        <f>SUMPRODUCT((七通一平=I20)*(修正!B1:M1=G2)*(修正!B8:M16))</f>
        <v>70</v>
      </c>
      <c r="J21" s="486">
        <f>SUMPRODUCT((七通一平=J20)*(修正!B1:M1=G2)*(修正!B8:M16))</f>
        <v>20</v>
      </c>
      <c r="K21" s="482">
        <f>SUMPRODUCT((七通一平=K20)*(修正!B1:M1=G2)*(修正!B8:M16))</f>
        <v>30</v>
      </c>
      <c r="L21" s="482">
        <f>SUMPRODUCT((七通一平=L20)*(修正!B1:M1=G2)*(修正!B8:M16))</f>
        <v>45</v>
      </c>
      <c r="M21" s="482">
        <f>SUMPRODUCT((七通一平=M20)*(修正!B1:M1=G2)*(修正!B8:M16))</f>
        <v>20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44818</v>
      </c>
      <c r="H23" s="2361" t="s">
        <v>3107</v>
      </c>
      <c r="I23" s="2360" t="str">
        <f>IF(H23="季度增幅（自定义）",SUMIF(N25:N28,E2,O25:O28),"")</f>
        <v/>
      </c>
      <c r="J23" s="2982" t="s">
        <v>3108</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0.76380000000000003</v>
      </c>
      <c r="D24" s="2365" t="s">
        <v>2246</v>
      </c>
      <c r="E24" s="2365">
        <f>存贷款利率!E20/100</f>
        <v>4.3499999999999997E-2</v>
      </c>
      <c r="F24" s="2365" t="s">
        <v>2238</v>
      </c>
      <c r="G24" s="2366">
        <f>SUMIF(M30:Q30,E2,M33:Q33)</f>
        <v>5.5E-2</v>
      </c>
      <c r="H24" s="2365" t="s">
        <v>2247</v>
      </c>
      <c r="I24" s="2367">
        <f>项目基本情况!E15</f>
        <v>20.94</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3113</v>
      </c>
      <c r="C25" s="491">
        <f>IF(B25="容积率修正",IF(G3&lt;10,D26,J26),C27)</f>
        <v>1.5206</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0.92220000000000002</v>
      </c>
      <c r="E26" s="493">
        <f>ROUNDDOWN(G3,1)</f>
        <v>7.2</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0.92220000000000002</v>
      </c>
      <c r="G26" s="493">
        <f>ROUNDUP(G3,1)</f>
        <v>7.2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0.92220000000000002</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1.5206</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1.0674999999999999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11834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2959</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46726</v>
      </c>
      <c r="D33" s="2420">
        <f>'[3]数据-汇总表'!$F$19</f>
        <v>1132.3699999999999</v>
      </c>
      <c r="E33" s="2998">
        <f>ROUND(C33*D33/10000,0)</f>
        <v>5291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998">
        <f>ROUND(IF(B25="楼层修正",SUM(V2:V16)*M41,C34*D34/10000),0)</f>
        <v>1323</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995"/>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84"/>
      <c r="B37" s="2439" t="s">
        <v>2275</v>
      </c>
      <c r="C37" s="495">
        <f>ROUND(D5*C22*C23*C24*C28*F37,0)</f>
        <v>21510</v>
      </c>
      <c r="D37" s="2420">
        <f>'[3]数据-汇总表'!$G$19</f>
        <v>3041.86</v>
      </c>
      <c r="E37" s="473">
        <f>ROUND(C37*D37/10000,0)</f>
        <v>6543</v>
      </c>
      <c r="F37" s="473">
        <f>SUMIF(修正!A57:A68,G2,修正!B57:B68)</f>
        <v>0.7</v>
      </c>
      <c r="G37" s="473">
        <f>ROUND(IF(E2="工业",C37*$M$42,C37*$M$41),0)</f>
        <v>5378</v>
      </c>
      <c r="H37" s="473">
        <f>D37</f>
        <v>3041.86</v>
      </c>
      <c r="I37" s="473">
        <f>ROUND(G37*H37/10000,0)</f>
        <v>1636</v>
      </c>
      <c r="J37" s="328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85"/>
      <c r="B38" s="2321" t="s">
        <v>2276</v>
      </c>
      <c r="C38" s="495">
        <f>ROUND(D5*C22*C23*C24*C28*F38,0)</f>
        <v>12291</v>
      </c>
      <c r="D38" s="2420"/>
      <c r="E38" s="473">
        <f t="shared" ref="E38:E42" si="4">ROUND(C38*D38/10000,0)</f>
        <v>0</v>
      </c>
      <c r="F38" s="473">
        <f>SUMIF(修正!A57:A68,G2,修正!C57:C68)</f>
        <v>0.4</v>
      </c>
      <c r="G38" s="473">
        <f>ROUND(IF(E2="工业",C38*$M$42,C38*$M$41),0)</f>
        <v>3073</v>
      </c>
      <c r="H38" s="473">
        <f t="shared" ref="H38:H42" si="5">D38</f>
        <v>0</v>
      </c>
      <c r="I38" s="473">
        <f t="shared" ref="I38:I42" si="6">ROUND(G38*H38/10000,0)</f>
        <v>0</v>
      </c>
      <c r="J38" s="328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85"/>
      <c r="B39" s="2321" t="s">
        <v>2940</v>
      </c>
      <c r="C39" s="495">
        <f>ROUND(D5*C22*C23*C24*C28*F39,0)</f>
        <v>9219</v>
      </c>
      <c r="D39" s="2420"/>
      <c r="E39" s="473">
        <f t="shared" si="4"/>
        <v>0</v>
      </c>
      <c r="F39" s="473">
        <f>SUMIF(修正!A57:A68,G2,修正!D57:D68)</f>
        <v>0.3</v>
      </c>
      <c r="G39" s="473">
        <f>ROUND(IF(E2="工业",C39*$M$42,C39*$M$41),0)</f>
        <v>2305</v>
      </c>
      <c r="H39" s="473">
        <f t="shared" si="5"/>
        <v>0</v>
      </c>
      <c r="I39" s="473">
        <f t="shared" si="6"/>
        <v>0</v>
      </c>
      <c r="J39" s="328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9219</v>
      </c>
      <c r="D40" s="2420"/>
      <c r="E40" s="473">
        <f t="shared" si="4"/>
        <v>0</v>
      </c>
      <c r="F40" s="495">
        <f>SUMIF(修正!A57:A68,G2,修正!E57:E68)</f>
        <v>0.3</v>
      </c>
      <c r="G40" s="473">
        <f>ROUND(IF(E2="工业",C40*$M$42,C40*$M$41),0)</f>
        <v>2305</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0.3</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0.2</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2991">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1.0674999999999999</v>
      </c>
      <c r="C49" s="2451"/>
      <c r="D49" s="2452"/>
      <c r="E49" s="2453"/>
      <c r="F49" s="2454"/>
      <c r="G49" s="2448"/>
      <c r="H49" s="2448"/>
      <c r="I49" s="2448"/>
      <c r="J49" s="2448"/>
      <c r="K49" s="2448"/>
      <c r="L49" s="2448"/>
      <c r="M49" s="2448"/>
    </row>
    <row r="50" spans="1:14" s="2259" customFormat="1" ht="24.75">
      <c r="A50" s="2455" t="s">
        <v>2283</v>
      </c>
      <c r="B50" s="2991" t="s">
        <v>2284</v>
      </c>
      <c r="C50" s="2991" t="s">
        <v>2285</v>
      </c>
      <c r="D50" s="2991" t="s">
        <v>2286</v>
      </c>
      <c r="E50" s="2414" t="s">
        <v>2287</v>
      </c>
      <c r="F50" s="2456" t="s">
        <v>2288</v>
      </c>
      <c r="G50" s="2457" t="s">
        <v>517</v>
      </c>
      <c r="H50" s="502" t="s">
        <v>2289</v>
      </c>
      <c r="I50" s="2991" t="s">
        <v>2290</v>
      </c>
      <c r="J50" s="2990" t="s">
        <v>1956</v>
      </c>
      <c r="K50" s="2990" t="s">
        <v>1957</v>
      </c>
      <c r="L50" s="2990" t="s">
        <v>1958</v>
      </c>
      <c r="M50" s="2990" t="s">
        <v>1959</v>
      </c>
      <c r="N50" s="2990" t="s">
        <v>1960</v>
      </c>
    </row>
    <row r="51" spans="1:14" s="2259" customFormat="1" ht="38.25">
      <c r="A51" s="2455" t="s">
        <v>2291</v>
      </c>
      <c r="B51" s="2991" t="str">
        <f>估价对象房地状况!C4</f>
        <v>估价对象位于XX商圈，周边商业氛围成熟，人流量大，商业繁华度好</v>
      </c>
      <c r="C51" s="2325" t="s">
        <v>3110</v>
      </c>
      <c r="D51" s="2991">
        <f t="shared" ref="D51:D59" si="7">SUMIF($J$50:$N$50,C51,J51:N51)</f>
        <v>1.47E-2</v>
      </c>
      <c r="E51" s="2458">
        <f>ROUND(SUM(D51:D59),4)</f>
        <v>6.7500000000000004E-2</v>
      </c>
      <c r="F51" s="2329">
        <f>IF(E2="商业",SUMIF(L1:L12,G2,N1:N12),"——")</f>
        <v>9.8000000000000004E-2</v>
      </c>
      <c r="G51" s="2459">
        <f>H51</f>
        <v>1.47E-2</v>
      </c>
      <c r="H51" s="2460">
        <f t="shared" ref="H51:H59" si="8">IFERROR(ROUNDDOWN($F$51*I51/2,4),"——")</f>
        <v>1.47E-2</v>
      </c>
      <c r="I51" s="2991">
        <v>0.3</v>
      </c>
      <c r="J51" s="493">
        <f t="shared" ref="J51:J59" si="9">K51+$G51</f>
        <v>2.9399999999999999E-2</v>
      </c>
      <c r="K51" s="493">
        <f t="shared" ref="K51:K59" si="10">$L51+$G51</f>
        <v>1.47E-2</v>
      </c>
      <c r="L51" s="493">
        <v>0</v>
      </c>
      <c r="M51" s="493">
        <f t="shared" ref="M51:N59" si="11">L51-$G51</f>
        <v>-1.47E-2</v>
      </c>
      <c r="N51" s="493">
        <f t="shared" si="11"/>
        <v>-2.9399999999999999E-2</v>
      </c>
    </row>
    <row r="52" spans="1:14" s="2259" customFormat="1" ht="38.25">
      <c r="A52" s="2455" t="s">
        <v>2292</v>
      </c>
      <c r="B52" s="2991" t="str">
        <f>估价对象房地状况!C18</f>
        <v>估价对象周边道路状况、公共交通通达情况、停车便捷程度，综合评价交通便捷度较好</v>
      </c>
      <c r="C52" s="2325" t="s">
        <v>3112</v>
      </c>
      <c r="D52" s="2991">
        <f t="shared" si="7"/>
        <v>2.1399999999999999E-2</v>
      </c>
      <c r="E52" s="2461"/>
      <c r="F52" s="2402"/>
      <c r="G52" s="2459">
        <f t="shared" ref="G52:G59" si="12">H52</f>
        <v>1.0699999999999999E-2</v>
      </c>
      <c r="H52" s="2460">
        <f t="shared" si="8"/>
        <v>1.0699999999999999E-2</v>
      </c>
      <c r="I52" s="2991">
        <v>0.22</v>
      </c>
      <c r="J52" s="493">
        <f t="shared" si="9"/>
        <v>2.1399999999999999E-2</v>
      </c>
      <c r="K52" s="493">
        <f t="shared" si="10"/>
        <v>1.0699999999999999E-2</v>
      </c>
      <c r="L52" s="493">
        <v>0</v>
      </c>
      <c r="M52" s="493">
        <f t="shared" si="11"/>
        <v>-1.0699999999999999E-2</v>
      </c>
      <c r="N52" s="493">
        <f t="shared" si="11"/>
        <v>-2.1399999999999999E-2</v>
      </c>
    </row>
    <row r="53" spans="1:14" s="2259" customFormat="1" ht="36">
      <c r="A53" s="2462" t="s">
        <v>2814</v>
      </c>
      <c r="B53" s="2991">
        <f>估价对象房地状况!C19</f>
        <v>0</v>
      </c>
      <c r="C53" s="2325" t="s">
        <v>3112</v>
      </c>
      <c r="D53" s="2991">
        <f t="shared" si="7"/>
        <v>1.1599999999999999E-2</v>
      </c>
      <c r="E53" s="2461"/>
      <c r="F53" s="2402"/>
      <c r="G53" s="2459">
        <f t="shared" si="12"/>
        <v>5.7999999999999996E-3</v>
      </c>
      <c r="H53" s="2460">
        <f t="shared" si="8"/>
        <v>5.7999999999999996E-3</v>
      </c>
      <c r="I53" s="2991">
        <v>0.12</v>
      </c>
      <c r="J53" s="493">
        <f t="shared" si="9"/>
        <v>1.1599999999999999E-2</v>
      </c>
      <c r="K53" s="493">
        <f t="shared" si="10"/>
        <v>5.7999999999999996E-3</v>
      </c>
      <c r="L53" s="493">
        <v>0</v>
      </c>
      <c r="M53" s="493">
        <f t="shared" si="11"/>
        <v>-5.7999999999999996E-3</v>
      </c>
      <c r="N53" s="493">
        <f t="shared" si="11"/>
        <v>-1.1599999999999999E-2</v>
      </c>
    </row>
    <row r="54" spans="1:14" s="2259" customFormat="1" ht="36.75">
      <c r="A54" s="2455" t="s">
        <v>2293</v>
      </c>
      <c r="B54" s="2463" t="s">
        <v>2294</v>
      </c>
      <c r="C54" s="2325" t="s">
        <v>3110</v>
      </c>
      <c r="D54" s="2991">
        <f t="shared" si="7"/>
        <v>2.3999999999999998E-3</v>
      </c>
      <c r="E54" s="2461"/>
      <c r="F54" s="2402"/>
      <c r="G54" s="2459">
        <f t="shared" si="12"/>
        <v>2.3999999999999998E-3</v>
      </c>
      <c r="H54" s="2460">
        <f t="shared" si="8"/>
        <v>2.3999999999999998E-3</v>
      </c>
      <c r="I54" s="2991">
        <v>0.05</v>
      </c>
      <c r="J54" s="493">
        <f t="shared" si="9"/>
        <v>4.7999999999999996E-3</v>
      </c>
      <c r="K54" s="493">
        <f t="shared" si="10"/>
        <v>2.3999999999999998E-3</v>
      </c>
      <c r="L54" s="493">
        <v>0</v>
      </c>
      <c r="M54" s="493">
        <f t="shared" si="11"/>
        <v>-2.3999999999999998E-3</v>
      </c>
      <c r="N54" s="493">
        <f t="shared" si="11"/>
        <v>-4.7999999999999996E-3</v>
      </c>
    </row>
    <row r="55" spans="1:14" s="2259" customFormat="1" ht="24">
      <c r="A55" s="2455" t="s">
        <v>2295</v>
      </c>
      <c r="B55" s="2991">
        <f>估价对象房地状况!C24</f>
        <v>0</v>
      </c>
      <c r="C55" s="2325" t="s">
        <v>3111</v>
      </c>
      <c r="D55" s="2991">
        <f t="shared" si="7"/>
        <v>0</v>
      </c>
      <c r="E55" s="2461"/>
      <c r="F55" s="2402"/>
      <c r="G55" s="2459">
        <f t="shared" si="12"/>
        <v>3.8999999999999998E-3</v>
      </c>
      <c r="H55" s="2460">
        <f t="shared" si="8"/>
        <v>3.8999999999999998E-3</v>
      </c>
      <c r="I55" s="2991">
        <v>0.08</v>
      </c>
      <c r="J55" s="493">
        <f t="shared" si="9"/>
        <v>7.7999999999999996E-3</v>
      </c>
      <c r="K55" s="493">
        <f t="shared" si="10"/>
        <v>3.8999999999999998E-3</v>
      </c>
      <c r="L55" s="493">
        <v>0</v>
      </c>
      <c r="M55" s="493">
        <f t="shared" si="11"/>
        <v>-3.8999999999999998E-3</v>
      </c>
      <c r="N55" s="493">
        <f t="shared" si="11"/>
        <v>-7.7999999999999996E-3</v>
      </c>
    </row>
    <row r="56" spans="1:14" s="2259" customFormat="1" ht="24">
      <c r="A56" s="2455" t="s">
        <v>2296</v>
      </c>
      <c r="B56" s="2464" t="s">
        <v>2297</v>
      </c>
      <c r="C56" s="2325" t="s">
        <v>3110</v>
      </c>
      <c r="D56" s="2991">
        <f t="shared" si="7"/>
        <v>2.3999999999999998E-3</v>
      </c>
      <c r="E56" s="2461"/>
      <c r="F56" s="2402"/>
      <c r="G56" s="2459">
        <f t="shared" si="12"/>
        <v>2.3999999999999998E-3</v>
      </c>
      <c r="H56" s="2460">
        <f t="shared" si="8"/>
        <v>2.3999999999999998E-3</v>
      </c>
      <c r="I56" s="2991">
        <v>0.05</v>
      </c>
      <c r="J56" s="493">
        <f t="shared" si="9"/>
        <v>4.7999999999999996E-3</v>
      </c>
      <c r="K56" s="493">
        <f t="shared" si="10"/>
        <v>2.3999999999999998E-3</v>
      </c>
      <c r="L56" s="493">
        <v>0</v>
      </c>
      <c r="M56" s="493">
        <f t="shared" si="11"/>
        <v>-2.3999999999999998E-3</v>
      </c>
      <c r="N56" s="493">
        <f t="shared" si="11"/>
        <v>-4.7999999999999996E-3</v>
      </c>
    </row>
    <row r="57" spans="1:14" s="2259" customFormat="1" ht="25.5">
      <c r="A57" s="2465" t="s">
        <v>2298</v>
      </c>
      <c r="B57" s="2992" t="str">
        <f>估价对象房地状况!C21</f>
        <v>估价对象所在区域公共配套设施齐备情况</v>
      </c>
      <c r="C57" s="2325" t="s">
        <v>3112</v>
      </c>
      <c r="D57" s="2991">
        <f t="shared" si="7"/>
        <v>4.7999999999999996E-3</v>
      </c>
      <c r="E57" s="2461"/>
      <c r="F57" s="2402"/>
      <c r="G57" s="2459">
        <f t="shared" si="12"/>
        <v>2.3999999999999998E-3</v>
      </c>
      <c r="H57" s="2460">
        <f t="shared" si="8"/>
        <v>2.3999999999999998E-3</v>
      </c>
      <c r="I57" s="2991">
        <v>0.05</v>
      </c>
      <c r="J57" s="493">
        <f t="shared" si="9"/>
        <v>4.7999999999999996E-3</v>
      </c>
      <c r="K57" s="493">
        <f t="shared" si="10"/>
        <v>2.3999999999999998E-3</v>
      </c>
      <c r="L57" s="493">
        <v>0</v>
      </c>
      <c r="M57" s="493">
        <f t="shared" si="11"/>
        <v>-2.3999999999999998E-3</v>
      </c>
      <c r="N57" s="493">
        <f t="shared" si="11"/>
        <v>-4.7999999999999996E-3</v>
      </c>
    </row>
    <row r="58" spans="1:14" s="2259" customFormat="1" ht="24">
      <c r="A58" s="2465" t="s">
        <v>2299</v>
      </c>
      <c r="B58" s="2991" t="str">
        <f>估价对象房地状况!C22</f>
        <v>估价对象所在区域基础设施水平</v>
      </c>
      <c r="C58" s="2325" t="s">
        <v>3112</v>
      </c>
      <c r="D58" s="2991">
        <f t="shared" si="7"/>
        <v>7.7999999999999996E-3</v>
      </c>
      <c r="E58" s="2461"/>
      <c r="F58" s="2402"/>
      <c r="G58" s="2459">
        <f t="shared" si="12"/>
        <v>3.8999999999999998E-3</v>
      </c>
      <c r="H58" s="2460">
        <f t="shared" si="8"/>
        <v>3.8999999999999998E-3</v>
      </c>
      <c r="I58" s="2991">
        <v>0.08</v>
      </c>
      <c r="J58" s="493">
        <f t="shared" si="9"/>
        <v>7.7999999999999996E-3</v>
      </c>
      <c r="K58" s="493">
        <f t="shared" si="10"/>
        <v>3.8999999999999998E-3</v>
      </c>
      <c r="L58" s="493">
        <v>0</v>
      </c>
      <c r="M58" s="493">
        <f t="shared" si="11"/>
        <v>-3.8999999999999998E-3</v>
      </c>
      <c r="N58" s="493">
        <f t="shared" si="11"/>
        <v>-7.7999999999999996E-3</v>
      </c>
    </row>
    <row r="59" spans="1:14" s="2259" customFormat="1" ht="26.25" thickBot="1">
      <c r="A59" s="2466" t="s">
        <v>2300</v>
      </c>
      <c r="B59" s="2467" t="str">
        <f>估价对象房地状况!C20</f>
        <v>区域自然环境：；人文环境；综合评价环境状况一般</v>
      </c>
      <c r="C59" s="2325" t="s">
        <v>3110</v>
      </c>
      <c r="D59" s="2991">
        <f t="shared" si="7"/>
        <v>2.3999999999999998E-3</v>
      </c>
      <c r="E59" s="487"/>
      <c r="F59" s="2402"/>
      <c r="G59" s="2459">
        <f t="shared" si="12"/>
        <v>2.3999999999999998E-3</v>
      </c>
      <c r="H59" s="2460">
        <f t="shared" si="8"/>
        <v>2.3999999999999998E-3</v>
      </c>
      <c r="I59" s="2468">
        <v>0.05</v>
      </c>
      <c r="J59" s="493">
        <f t="shared" si="9"/>
        <v>4.7999999999999996E-3</v>
      </c>
      <c r="K59" s="493">
        <f t="shared" si="10"/>
        <v>2.3999999999999998E-3</v>
      </c>
      <c r="L59" s="493">
        <v>0</v>
      </c>
      <c r="M59" s="493">
        <f t="shared" si="11"/>
        <v>-2.3999999999999998E-3</v>
      </c>
      <c r="N59" s="493">
        <f t="shared" si="11"/>
        <v>-4.7999999999999996E-3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2991"/>
      <c r="C61" s="2991" t="s">
        <v>2285</v>
      </c>
      <c r="D61" s="2991" t="s">
        <v>2286</v>
      </c>
      <c r="E61" s="2414" t="s">
        <v>2287</v>
      </c>
      <c r="F61" s="2456" t="s">
        <v>2302</v>
      </c>
      <c r="G61" s="2991" t="s">
        <v>517</v>
      </c>
      <c r="H61" s="502" t="s">
        <v>2289</v>
      </c>
      <c r="I61" s="2991" t="s">
        <v>2290</v>
      </c>
      <c r="J61" s="2990" t="s">
        <v>1956</v>
      </c>
      <c r="K61" s="2990" t="s">
        <v>1957</v>
      </c>
      <c r="L61" s="2990" t="s">
        <v>1958</v>
      </c>
      <c r="M61" s="2990" t="s">
        <v>1959</v>
      </c>
      <c r="N61" s="2990" t="s">
        <v>1960</v>
      </c>
    </row>
    <row r="62" spans="1:14" s="2259" customFormat="1" ht="38.25">
      <c r="A62" s="2455" t="s">
        <v>2303</v>
      </c>
      <c r="B62" s="2991" t="str">
        <f>估价对象房地状况!C17</f>
        <v>估价对象位于XX商圈，周边办公楼项目较多，入驻率高，办公集聚程度较好</v>
      </c>
      <c r="C62" s="2325"/>
      <c r="D62" s="2991">
        <f>SUMIF($J$61:$N$61,C62,J62:N62)</f>
        <v>0</v>
      </c>
      <c r="E62" s="2458">
        <f>ROUND(SUM(D62:D70),4)</f>
        <v>0</v>
      </c>
      <c r="F62" s="2329" t="str">
        <f>IF(E2="办公",SUMIF(L1:L12,G2,N1:N12),"——")</f>
        <v>——</v>
      </c>
      <c r="G62" s="2459"/>
      <c r="H62" s="2460" t="str">
        <f t="shared" ref="H62:H70" si="13">IFERROR(ROUNDDOWN($F$62*I62/2,4),"——")</f>
        <v>——</v>
      </c>
      <c r="I62" s="2991">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2991" t="str">
        <f>估价对象房地状况!C18</f>
        <v>估价对象周边道路状况、公共交通通达情况、停车便捷程度，综合评价交通便捷度较好</v>
      </c>
      <c r="C63" s="2325"/>
      <c r="D63" s="2991">
        <f t="shared" ref="D63:D70" si="17">SUMIF($J$61:$N$61,C63,J63:N63)</f>
        <v>0</v>
      </c>
      <c r="E63" s="2461"/>
      <c r="F63" s="2402"/>
      <c r="G63" s="2459"/>
      <c r="H63" s="2460" t="str">
        <f t="shared" si="13"/>
        <v>——</v>
      </c>
      <c r="I63" s="2991">
        <v>0.26</v>
      </c>
      <c r="J63" s="493">
        <f t="shared" si="14"/>
        <v>0</v>
      </c>
      <c r="K63" s="493">
        <f t="shared" si="15"/>
        <v>0</v>
      </c>
      <c r="L63" s="493">
        <v>0</v>
      </c>
      <c r="M63" s="493">
        <f t="shared" si="16"/>
        <v>0</v>
      </c>
      <c r="N63" s="493">
        <f t="shared" si="16"/>
        <v>0</v>
      </c>
    </row>
    <row r="64" spans="1:14" s="2259" customFormat="1" ht="36">
      <c r="A64" s="2462" t="s">
        <v>2814</v>
      </c>
      <c r="B64" s="2991">
        <f>估价对象房地状况!C19</f>
        <v>0</v>
      </c>
      <c r="C64" s="2325"/>
      <c r="D64" s="2991">
        <f t="shared" si="17"/>
        <v>0</v>
      </c>
      <c r="E64" s="2461"/>
      <c r="F64" s="2402"/>
      <c r="G64" s="2459"/>
      <c r="H64" s="2460" t="str">
        <f t="shared" si="13"/>
        <v>——</v>
      </c>
      <c r="I64" s="2991">
        <v>0.11</v>
      </c>
      <c r="J64" s="493">
        <f t="shared" si="14"/>
        <v>0</v>
      </c>
      <c r="K64" s="493">
        <f t="shared" si="15"/>
        <v>0</v>
      </c>
      <c r="L64" s="493">
        <v>0</v>
      </c>
      <c r="M64" s="493">
        <f t="shared" si="16"/>
        <v>0</v>
      </c>
      <c r="N64" s="493">
        <f t="shared" si="16"/>
        <v>0</v>
      </c>
    </row>
    <row r="65" spans="1:33" s="2259" customFormat="1" ht="36.75">
      <c r="A65" s="2455" t="s">
        <v>2293</v>
      </c>
      <c r="B65" s="2463" t="s">
        <v>2294</v>
      </c>
      <c r="C65" s="2325"/>
      <c r="D65" s="2991">
        <f t="shared" si="17"/>
        <v>0</v>
      </c>
      <c r="E65" s="2461"/>
      <c r="F65" s="2402"/>
      <c r="G65" s="2459"/>
      <c r="H65" s="2460" t="str">
        <f t="shared" si="13"/>
        <v>——</v>
      </c>
      <c r="I65" s="2991">
        <v>0.05</v>
      </c>
      <c r="J65" s="493">
        <f t="shared" si="14"/>
        <v>0</v>
      </c>
      <c r="K65" s="493">
        <f t="shared" si="15"/>
        <v>0</v>
      </c>
      <c r="L65" s="493">
        <v>0</v>
      </c>
      <c r="M65" s="493">
        <f t="shared" si="16"/>
        <v>0</v>
      </c>
      <c r="N65" s="493">
        <f t="shared" si="16"/>
        <v>0</v>
      </c>
    </row>
    <row r="66" spans="1:33" s="2259" customFormat="1" ht="24">
      <c r="A66" s="2455" t="s">
        <v>2295</v>
      </c>
      <c r="B66" s="2991">
        <f>估价对象房地状况!C24</f>
        <v>0</v>
      </c>
      <c r="C66" s="2325"/>
      <c r="D66" s="2991">
        <f t="shared" si="17"/>
        <v>0</v>
      </c>
      <c r="E66" s="2461"/>
      <c r="F66" s="2402"/>
      <c r="G66" s="2459"/>
      <c r="H66" s="2460" t="str">
        <f t="shared" si="13"/>
        <v>——</v>
      </c>
      <c r="I66" s="2991">
        <v>0.05</v>
      </c>
      <c r="J66" s="493">
        <f t="shared" si="14"/>
        <v>0</v>
      </c>
      <c r="K66" s="493">
        <f t="shared" si="15"/>
        <v>0</v>
      </c>
      <c r="L66" s="493">
        <v>0</v>
      </c>
      <c r="M66" s="493">
        <f t="shared" si="16"/>
        <v>0</v>
      </c>
      <c r="N66" s="493">
        <f t="shared" si="16"/>
        <v>0</v>
      </c>
    </row>
    <row r="67" spans="1:33" s="2259" customFormat="1" ht="24">
      <c r="A67" s="2455" t="s">
        <v>2296</v>
      </c>
      <c r="B67" s="2464" t="s">
        <v>2297</v>
      </c>
      <c r="C67" s="2325"/>
      <c r="D67" s="2991">
        <f t="shared" si="17"/>
        <v>0</v>
      </c>
      <c r="E67" s="2461"/>
      <c r="F67" s="2402"/>
      <c r="G67" s="2459"/>
      <c r="H67" s="2460" t="str">
        <f t="shared" si="13"/>
        <v>——</v>
      </c>
      <c r="I67" s="2991">
        <v>0.06</v>
      </c>
      <c r="J67" s="493">
        <f t="shared" si="14"/>
        <v>0</v>
      </c>
      <c r="K67" s="493">
        <f t="shared" si="15"/>
        <v>0</v>
      </c>
      <c r="L67" s="493">
        <v>0</v>
      </c>
      <c r="M67" s="493">
        <f t="shared" si="16"/>
        <v>0</v>
      </c>
      <c r="N67" s="493">
        <f t="shared" si="16"/>
        <v>0</v>
      </c>
    </row>
    <row r="68" spans="1:33" s="2259" customFormat="1" ht="25.5">
      <c r="A68" s="2455" t="s">
        <v>2298</v>
      </c>
      <c r="B68" s="2992" t="str">
        <f>估价对象房地状况!C21</f>
        <v>估价对象所在区域公共配套设施齐备情况</v>
      </c>
      <c r="C68" s="2325"/>
      <c r="D68" s="2991">
        <f t="shared" si="17"/>
        <v>0</v>
      </c>
      <c r="E68" s="2461"/>
      <c r="F68" s="2402"/>
      <c r="G68" s="2459"/>
      <c r="H68" s="2460" t="str">
        <f t="shared" si="13"/>
        <v>——</v>
      </c>
      <c r="I68" s="2991">
        <v>0.06</v>
      </c>
      <c r="J68" s="493">
        <f t="shared" si="14"/>
        <v>0</v>
      </c>
      <c r="K68" s="493">
        <f t="shared" si="15"/>
        <v>0</v>
      </c>
      <c r="L68" s="493">
        <v>0</v>
      </c>
      <c r="M68" s="493">
        <f t="shared" si="16"/>
        <v>0</v>
      </c>
      <c r="N68" s="493">
        <f t="shared" si="16"/>
        <v>0</v>
      </c>
    </row>
    <row r="69" spans="1:33" s="2259" customFormat="1" ht="24">
      <c r="A69" s="2455" t="s">
        <v>2299</v>
      </c>
      <c r="B69" s="2992" t="str">
        <f>估价对象房地状况!C22</f>
        <v>估价对象所在区域基础设施水平</v>
      </c>
      <c r="C69" s="2325"/>
      <c r="D69" s="2991">
        <f t="shared" si="17"/>
        <v>0</v>
      </c>
      <c r="E69" s="2461"/>
      <c r="F69" s="2402"/>
      <c r="G69" s="2459"/>
      <c r="H69" s="2460" t="str">
        <f t="shared" si="13"/>
        <v>——</v>
      </c>
      <c r="I69" s="2991">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2991">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2991"/>
      <c r="C72" s="2991" t="s">
        <v>2285</v>
      </c>
      <c r="D72" s="2991" t="s">
        <v>2286</v>
      </c>
      <c r="E72" s="2414" t="s">
        <v>2287</v>
      </c>
      <c r="F72" s="2456" t="s">
        <v>2302</v>
      </c>
      <c r="G72" s="2991" t="s">
        <v>517</v>
      </c>
      <c r="H72" s="502" t="s">
        <v>2289</v>
      </c>
      <c r="I72" s="2991" t="s">
        <v>2290</v>
      </c>
      <c r="J72" s="2990" t="s">
        <v>1956</v>
      </c>
      <c r="K72" s="2990" t="s">
        <v>1957</v>
      </c>
      <c r="L72" s="2990" t="s">
        <v>1958</v>
      </c>
      <c r="M72" s="2990" t="s">
        <v>1959</v>
      </c>
      <c r="N72" s="2990" t="s">
        <v>1960</v>
      </c>
    </row>
    <row r="73" spans="1:33" s="2259" customFormat="1" ht="51">
      <c r="A73" s="2462" t="s">
        <v>2816</v>
      </c>
      <c r="B73" s="2991" t="str">
        <f>估价对象房地状况!C15</f>
        <v>估价对象周边居住用地比例、居住小区规模和社区发展完善程度，综合评价居住社区成熟度一般</v>
      </c>
      <c r="C73" s="2325"/>
      <c r="D73" s="2991">
        <f t="shared" ref="D73:D81" si="18">SUMIF($J$72:$N$72,C73,J73:N73)</f>
        <v>0</v>
      </c>
      <c r="E73" s="2458">
        <f>ROUND(SUM(D73:D81),4)</f>
        <v>0</v>
      </c>
      <c r="F73" s="2329" t="str">
        <f>IF(E2="住宅",SUMIF(L1:L12,G2,N1:N12),"——")</f>
        <v>——</v>
      </c>
      <c r="G73" s="2459"/>
      <c r="H73" s="2460" t="str">
        <f t="shared" ref="H73:H81" si="19">IFERROR(ROUNDDOWN($F$73*I73/2,4),"——")</f>
        <v>——</v>
      </c>
      <c r="I73" s="2991">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2991" t="str">
        <f>估价对象房地状况!C18</f>
        <v>估价对象周边道路状况、公共交通通达情况、停车便捷程度，综合评价交通便捷度较好</v>
      </c>
      <c r="C74" s="2325"/>
      <c r="D74" s="2991">
        <f t="shared" si="18"/>
        <v>0</v>
      </c>
      <c r="E74" s="2461"/>
      <c r="F74" s="2329"/>
      <c r="G74" s="2459"/>
      <c r="H74" s="2460" t="str">
        <f t="shared" si="19"/>
        <v>——</v>
      </c>
      <c r="I74" s="2991">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2991">
        <f>估价对象房地状况!C19</f>
        <v>0</v>
      </c>
      <c r="C75" s="2325"/>
      <c r="D75" s="2991">
        <f t="shared" si="18"/>
        <v>0</v>
      </c>
      <c r="E75" s="2461"/>
      <c r="F75" s="2329"/>
      <c r="G75" s="2459"/>
      <c r="H75" s="2460" t="str">
        <f t="shared" si="19"/>
        <v>——</v>
      </c>
      <c r="I75" s="2991">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2991">
        <f>估价对象房地状况!C24</f>
        <v>0</v>
      </c>
      <c r="C76" s="2325"/>
      <c r="D76" s="2991">
        <f t="shared" si="18"/>
        <v>0</v>
      </c>
      <c r="E76" s="2461"/>
      <c r="F76" s="2329"/>
      <c r="G76" s="2459"/>
      <c r="H76" s="2460" t="str">
        <f t="shared" si="19"/>
        <v>——</v>
      </c>
      <c r="I76" s="2991">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2992" t="str">
        <f>估价对象房地状况!C21</f>
        <v>估价对象所在区域公共配套设施齐备情况</v>
      </c>
      <c r="C77" s="2325"/>
      <c r="D77" s="2991">
        <f t="shared" si="18"/>
        <v>0</v>
      </c>
      <c r="E77" s="2461"/>
      <c r="F77" s="2329"/>
      <c r="G77" s="2459"/>
      <c r="H77" s="2460" t="str">
        <f t="shared" si="19"/>
        <v>——</v>
      </c>
      <c r="I77" s="2991">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2992" t="str">
        <f>估价对象房地状况!C22</f>
        <v>估价对象所在区域基础设施水平</v>
      </c>
      <c r="C78" s="2325"/>
      <c r="D78" s="2991">
        <f t="shared" si="18"/>
        <v>0</v>
      </c>
      <c r="E78" s="2461"/>
      <c r="F78" s="2329"/>
      <c r="G78" s="2459"/>
      <c r="H78" s="2460" t="str">
        <f t="shared" si="19"/>
        <v>——</v>
      </c>
      <c r="I78" s="2991">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2991">
        <f t="shared" si="18"/>
        <v>0</v>
      </c>
      <c r="E79" s="2461"/>
      <c r="F79" s="2329"/>
      <c r="G79" s="2459"/>
      <c r="H79" s="2460" t="str">
        <f t="shared" si="19"/>
        <v>——</v>
      </c>
      <c r="I79" s="2991">
        <v>0.05</v>
      </c>
      <c r="J79" s="493">
        <f t="shared" si="20"/>
        <v>0</v>
      </c>
      <c r="K79" s="493">
        <f t="shared" si="21"/>
        <v>0</v>
      </c>
      <c r="L79" s="493">
        <v>0</v>
      </c>
      <c r="M79" s="493">
        <f t="shared" si="22"/>
        <v>0</v>
      </c>
      <c r="N79" s="493">
        <f t="shared" si="22"/>
        <v>0</v>
      </c>
      <c r="AA79" s="2261"/>
      <c r="AG79" s="2259"/>
    </row>
    <row r="80" spans="1:33" ht="25.5">
      <c r="A80" s="2455" t="s">
        <v>2300</v>
      </c>
      <c r="B80" s="2991" t="str">
        <f>估价对象房地状况!C20</f>
        <v>区域自然环境：；人文环境；综合评价环境状况一般</v>
      </c>
      <c r="C80" s="2325"/>
      <c r="D80" s="2991">
        <f t="shared" si="18"/>
        <v>0</v>
      </c>
      <c r="E80" s="2461"/>
      <c r="F80" s="2329"/>
      <c r="G80" s="2459"/>
      <c r="H80" s="2460" t="str">
        <f t="shared" si="19"/>
        <v>——</v>
      </c>
      <c r="I80" s="2991">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2991">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2991"/>
      <c r="C83" s="2991" t="s">
        <v>2285</v>
      </c>
      <c r="D83" s="2991" t="s">
        <v>2286</v>
      </c>
      <c r="E83" s="2414" t="s">
        <v>2287</v>
      </c>
      <c r="F83" s="2456" t="s">
        <v>2302</v>
      </c>
      <c r="G83" s="2991" t="s">
        <v>517</v>
      </c>
      <c r="H83" s="502" t="s">
        <v>2289</v>
      </c>
      <c r="I83" s="2991" t="s">
        <v>2290</v>
      </c>
      <c r="J83" s="2990" t="s">
        <v>1956</v>
      </c>
      <c r="K83" s="2990" t="s">
        <v>1957</v>
      </c>
      <c r="L83" s="2990" t="s">
        <v>1958</v>
      </c>
      <c r="M83" s="2990" t="s">
        <v>1959</v>
      </c>
      <c r="N83" s="2990" t="s">
        <v>1960</v>
      </c>
      <c r="AA83" s="2261"/>
      <c r="AG83" s="2259"/>
    </row>
    <row r="84" spans="1:33" ht="25.5">
      <c r="A84" s="2455" t="s">
        <v>2308</v>
      </c>
      <c r="B84" s="2991" t="str">
        <f>估价对象房地状况!G15</f>
        <v>估价对象位于XX开发区，园区建设成熟度XX，产业集聚程度XX</v>
      </c>
      <c r="C84" s="2325"/>
      <c r="D84" s="2991">
        <f t="shared" ref="D84:D91" si="23">SUMIF($J$83:$N$83,C84,J84:N84)</f>
        <v>0</v>
      </c>
      <c r="E84" s="2458">
        <f>ROUND(SUM(D84:D91),4)</f>
        <v>0</v>
      </c>
      <c r="F84" s="2329" t="str">
        <f>IF(E2="工业",SUMIF(L1:L12,G2,N1:N12),"——")</f>
        <v>——</v>
      </c>
      <c r="G84" s="2459"/>
      <c r="H84" s="2460" t="str">
        <f t="shared" ref="H84:H91" si="24">IFERROR(ROUNDDOWN($F$84*I84/2,4),"——")</f>
        <v>——</v>
      </c>
      <c r="I84" s="2991">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2991" t="str">
        <f>估价对象房地状况!G16</f>
        <v>估价对象周边道路状况、公共交通通达情况、停车便捷程度，综合评价交通便捷度较好</v>
      </c>
      <c r="C85" s="2325"/>
      <c r="D85" s="2991">
        <f t="shared" si="23"/>
        <v>0</v>
      </c>
      <c r="E85" s="2461"/>
      <c r="F85" s="2329"/>
      <c r="G85" s="2459"/>
      <c r="H85" s="2460" t="str">
        <f t="shared" si="24"/>
        <v>——</v>
      </c>
      <c r="I85" s="2991">
        <v>0.3</v>
      </c>
      <c r="J85" s="493">
        <f t="shared" si="25"/>
        <v>0</v>
      </c>
      <c r="K85" s="493">
        <f t="shared" si="26"/>
        <v>0</v>
      </c>
      <c r="L85" s="493">
        <v>0</v>
      </c>
      <c r="M85" s="493">
        <f t="shared" si="27"/>
        <v>0</v>
      </c>
      <c r="N85" s="493">
        <f t="shared" si="27"/>
        <v>0</v>
      </c>
      <c r="AA85" s="2261"/>
      <c r="AG85" s="2259"/>
    </row>
    <row r="86" spans="1:33" ht="36">
      <c r="A86" s="2462" t="s">
        <v>2814</v>
      </c>
      <c r="B86" s="2991">
        <f>估价对象房地状况!G17</f>
        <v>0</v>
      </c>
      <c r="C86" s="2325"/>
      <c r="D86" s="2991">
        <f t="shared" si="23"/>
        <v>0</v>
      </c>
      <c r="E86" s="2461"/>
      <c r="F86" s="2329"/>
      <c r="G86" s="2459"/>
      <c r="H86" s="2460" t="str">
        <f t="shared" si="24"/>
        <v>——</v>
      </c>
      <c r="I86" s="2991">
        <v>0.1</v>
      </c>
      <c r="J86" s="493">
        <f t="shared" si="25"/>
        <v>0</v>
      </c>
      <c r="K86" s="493">
        <f t="shared" si="26"/>
        <v>0</v>
      </c>
      <c r="L86" s="493">
        <v>0</v>
      </c>
      <c r="M86" s="493">
        <f t="shared" si="27"/>
        <v>0</v>
      </c>
      <c r="N86" s="493">
        <f t="shared" si="27"/>
        <v>0</v>
      </c>
      <c r="AA86" s="2261"/>
      <c r="AG86" s="2259"/>
    </row>
    <row r="87" spans="1:33" ht="14.25">
      <c r="A87" s="2455" t="s">
        <v>2305</v>
      </c>
      <c r="B87" s="2991">
        <f>估价对象房地状况!G22</f>
        <v>0</v>
      </c>
      <c r="C87" s="2325"/>
      <c r="D87" s="2991">
        <f t="shared" si="23"/>
        <v>0</v>
      </c>
      <c r="E87" s="2461"/>
      <c r="F87" s="2329"/>
      <c r="G87" s="2459"/>
      <c r="H87" s="2460" t="str">
        <f t="shared" si="24"/>
        <v>——</v>
      </c>
      <c r="I87" s="2991">
        <v>0.05</v>
      </c>
      <c r="J87" s="493">
        <f t="shared" si="25"/>
        <v>0</v>
      </c>
      <c r="K87" s="493">
        <f t="shared" si="26"/>
        <v>0</v>
      </c>
      <c r="L87" s="493">
        <v>0</v>
      </c>
      <c r="M87" s="493">
        <f t="shared" si="27"/>
        <v>0</v>
      </c>
      <c r="N87" s="493">
        <f t="shared" si="27"/>
        <v>0</v>
      </c>
      <c r="AA87" s="2261"/>
      <c r="AG87" s="2259"/>
    </row>
    <row r="88" spans="1:33" ht="25.5">
      <c r="A88" s="2455" t="s">
        <v>2298</v>
      </c>
      <c r="B88" s="2992" t="str">
        <f>估价对象房地状况!G19</f>
        <v>估价对象所在区域公共配套设施齐备情况</v>
      </c>
      <c r="C88" s="2325"/>
      <c r="D88" s="2991">
        <f t="shared" si="23"/>
        <v>0</v>
      </c>
      <c r="E88" s="2461"/>
      <c r="F88" s="2329"/>
      <c r="G88" s="2459"/>
      <c r="H88" s="2460" t="str">
        <f t="shared" si="24"/>
        <v>——</v>
      </c>
      <c r="I88" s="2991">
        <v>0.06</v>
      </c>
      <c r="J88" s="493">
        <f t="shared" si="25"/>
        <v>0</v>
      </c>
      <c r="K88" s="493">
        <f t="shared" si="26"/>
        <v>0</v>
      </c>
      <c r="L88" s="493">
        <v>0</v>
      </c>
      <c r="M88" s="493">
        <f t="shared" si="27"/>
        <v>0</v>
      </c>
      <c r="N88" s="493">
        <f t="shared" si="27"/>
        <v>0</v>
      </c>
    </row>
    <row r="89" spans="1:33" ht="24">
      <c r="A89" s="2455" t="s">
        <v>2299</v>
      </c>
      <c r="B89" s="2992" t="str">
        <f>估价对象房地状况!G20</f>
        <v>估价对象所在区域基础设施水平</v>
      </c>
      <c r="C89" s="2325"/>
      <c r="D89" s="2991">
        <f t="shared" si="23"/>
        <v>0</v>
      </c>
      <c r="E89" s="2461"/>
      <c r="F89" s="2329"/>
      <c r="G89" s="2459"/>
      <c r="H89" s="2460" t="str">
        <f t="shared" si="24"/>
        <v>——</v>
      </c>
      <c r="I89" s="2991">
        <v>0.12</v>
      </c>
      <c r="J89" s="493">
        <f t="shared" si="25"/>
        <v>0</v>
      </c>
      <c r="K89" s="493">
        <f t="shared" si="26"/>
        <v>0</v>
      </c>
      <c r="L89" s="493">
        <v>0</v>
      </c>
      <c r="M89" s="493">
        <f t="shared" si="27"/>
        <v>0</v>
      </c>
      <c r="N89" s="493">
        <f t="shared" si="27"/>
        <v>0</v>
      </c>
    </row>
    <row r="90" spans="1:33" ht="24">
      <c r="A90" s="2455" t="s">
        <v>2296</v>
      </c>
      <c r="B90" s="2464" t="s">
        <v>2309</v>
      </c>
      <c r="C90" s="2325"/>
      <c r="D90" s="2991">
        <f t="shared" si="23"/>
        <v>0</v>
      </c>
      <c r="E90" s="2461"/>
      <c r="F90" s="2329"/>
      <c r="G90" s="2459"/>
      <c r="H90" s="2460" t="str">
        <f t="shared" si="24"/>
        <v>——</v>
      </c>
      <c r="I90" s="2991">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2991">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2710</v>
      </c>
      <c r="B92" s="2450">
        <f>1+E94</f>
        <v>1</v>
      </c>
      <c r="C92" s="2473"/>
      <c r="D92" s="2473"/>
      <c r="E92" s="2473"/>
      <c r="F92" s="2473"/>
      <c r="S92" s="2259"/>
      <c r="T92" s="2259"/>
      <c r="U92" s="2259"/>
      <c r="V92" s="2259"/>
      <c r="W92" s="2259"/>
      <c r="X92" s="2259"/>
      <c r="Y92" s="2259"/>
    </row>
    <row r="93" spans="1:33" s="2259" customFormat="1" ht="24.75">
      <c r="A93" s="2455" t="s">
        <v>2283</v>
      </c>
      <c r="B93" s="2991"/>
      <c r="C93" s="2991" t="s">
        <v>2285</v>
      </c>
      <c r="D93" s="2991" t="s">
        <v>2286</v>
      </c>
      <c r="E93" s="2414" t="s">
        <v>2287</v>
      </c>
      <c r="F93" s="2456" t="s">
        <v>2302</v>
      </c>
      <c r="G93" s="2991" t="s">
        <v>517</v>
      </c>
      <c r="H93" s="502" t="s">
        <v>2289</v>
      </c>
      <c r="I93" s="2991" t="s">
        <v>2290</v>
      </c>
      <c r="J93" s="2990" t="s">
        <v>1956</v>
      </c>
      <c r="K93" s="2990" t="s">
        <v>1957</v>
      </c>
      <c r="L93" s="2990" t="s">
        <v>1958</v>
      </c>
      <c r="M93" s="2990" t="s">
        <v>1959</v>
      </c>
      <c r="N93" s="2990" t="s">
        <v>1960</v>
      </c>
    </row>
    <row r="94" spans="1:33" s="2259" customFormat="1" ht="24">
      <c r="A94" s="2462" t="s">
        <v>2818</v>
      </c>
      <c r="B94" s="605"/>
      <c r="C94" s="2325"/>
      <c r="D94" s="2991">
        <f>SUMIF($J$93:$N$93,C94,J94:N94)</f>
        <v>0</v>
      </c>
      <c r="E94" s="2458">
        <f>ROUND(SUM(D94:D102),4)</f>
        <v>0</v>
      </c>
      <c r="F94" s="2329" t="str">
        <f>IF(E2="公共服务",SUMIF(L1:L12,G2,N1:N12),"——")</f>
        <v>——</v>
      </c>
      <c r="G94" s="2459"/>
      <c r="H94" s="2460" t="str">
        <f>IFERROR(ROUNDDOWN($F$94*I94/2,4),"——")</f>
        <v>——</v>
      </c>
      <c r="I94" s="2991">
        <v>0.25</v>
      </c>
      <c r="J94" s="493">
        <f t="shared" ref="J94:J102" si="28">K94+$G94</f>
        <v>0</v>
      </c>
      <c r="K94" s="493">
        <f t="shared" ref="K94:K102" si="29">$L94+$G94</f>
        <v>0</v>
      </c>
      <c r="L94" s="493">
        <v>0</v>
      </c>
      <c r="M94" s="493">
        <f t="shared" ref="M94:N102" si="30">L94-$G94</f>
        <v>0</v>
      </c>
      <c r="N94" s="493">
        <f t="shared" si="30"/>
        <v>0</v>
      </c>
    </row>
    <row r="95" spans="1:33" s="2259" customFormat="1" ht="38.25">
      <c r="A95" s="2455" t="s">
        <v>2292</v>
      </c>
      <c r="B95" s="2991" t="str">
        <f>估价对象房地状况!C18</f>
        <v>估价对象周边道路状况、公共交通通达情况、停车便捷程度，综合评价交通便捷度较好</v>
      </c>
      <c r="C95" s="2325"/>
      <c r="D95" s="2991">
        <f t="shared" ref="D95:D102" si="31">SUMIF($J$61:$N$61,C95,J95:N95)</f>
        <v>0</v>
      </c>
      <c r="E95" s="2461"/>
      <c r="F95" s="2329"/>
      <c r="G95" s="2459"/>
      <c r="H95" s="2460" t="str">
        <f>IFERROR(ROUNDDOWN($F$94*I95/2,4),"——")</f>
        <v>——</v>
      </c>
      <c r="I95" s="2991">
        <v>0.26</v>
      </c>
      <c r="J95" s="493">
        <f t="shared" si="28"/>
        <v>0</v>
      </c>
      <c r="K95" s="493">
        <f t="shared" si="29"/>
        <v>0</v>
      </c>
      <c r="L95" s="493">
        <v>0</v>
      </c>
      <c r="M95" s="493">
        <f t="shared" si="30"/>
        <v>0</v>
      </c>
      <c r="N95" s="493">
        <f t="shared" si="30"/>
        <v>0</v>
      </c>
    </row>
    <row r="96" spans="1:33" s="2259" customFormat="1" ht="36">
      <c r="A96" s="2462" t="s">
        <v>2814</v>
      </c>
      <c r="B96" s="2991">
        <f>估价对象房地状况!C19</f>
        <v>0</v>
      </c>
      <c r="C96" s="2325"/>
      <c r="D96" s="2991">
        <f t="shared" si="31"/>
        <v>0</v>
      </c>
      <c r="E96" s="2461"/>
      <c r="F96" s="2329"/>
      <c r="G96" s="2459"/>
      <c r="H96" s="2460" t="str">
        <f t="shared" ref="H96:H102" si="32">IFERROR(ROUNDDOWN($F$94*I96/2,4),"——")</f>
        <v>——</v>
      </c>
      <c r="I96" s="2991">
        <v>0.11</v>
      </c>
      <c r="J96" s="493">
        <f t="shared" si="28"/>
        <v>0</v>
      </c>
      <c r="K96" s="493">
        <f t="shared" si="29"/>
        <v>0</v>
      </c>
      <c r="L96" s="493">
        <v>0</v>
      </c>
      <c r="M96" s="493">
        <f t="shared" si="30"/>
        <v>0</v>
      </c>
      <c r="N96" s="493">
        <f t="shared" si="30"/>
        <v>0</v>
      </c>
    </row>
    <row r="97" spans="1:25" s="2259" customFormat="1" ht="36.75">
      <c r="A97" s="2455" t="s">
        <v>2293</v>
      </c>
      <c r="B97" s="2463" t="s">
        <v>2294</v>
      </c>
      <c r="C97" s="2325"/>
      <c r="D97" s="2991">
        <f t="shared" si="31"/>
        <v>0</v>
      </c>
      <c r="E97" s="2461"/>
      <c r="F97" s="2329"/>
      <c r="G97" s="2459"/>
      <c r="H97" s="2460" t="str">
        <f t="shared" si="32"/>
        <v>——</v>
      </c>
      <c r="I97" s="2991">
        <v>0.05</v>
      </c>
      <c r="J97" s="493">
        <f t="shared" si="28"/>
        <v>0</v>
      </c>
      <c r="K97" s="493">
        <f t="shared" si="29"/>
        <v>0</v>
      </c>
      <c r="L97" s="493">
        <v>0</v>
      </c>
      <c r="M97" s="493">
        <f t="shared" si="30"/>
        <v>0</v>
      </c>
      <c r="N97" s="493">
        <f t="shared" si="30"/>
        <v>0</v>
      </c>
    </row>
    <row r="98" spans="1:25" s="2259" customFormat="1" ht="24">
      <c r="A98" s="2455" t="s">
        <v>2295</v>
      </c>
      <c r="B98" s="2991">
        <f>估价对象房地状况!C24</f>
        <v>0</v>
      </c>
      <c r="C98" s="2325"/>
      <c r="D98" s="2991">
        <f t="shared" si="31"/>
        <v>0</v>
      </c>
      <c r="E98" s="2461"/>
      <c r="F98" s="2329"/>
      <c r="G98" s="2459"/>
      <c r="H98" s="2460" t="str">
        <f t="shared" si="32"/>
        <v>——</v>
      </c>
      <c r="I98" s="2991">
        <v>0.05</v>
      </c>
      <c r="J98" s="493">
        <f t="shared" si="28"/>
        <v>0</v>
      </c>
      <c r="K98" s="493">
        <f t="shared" si="29"/>
        <v>0</v>
      </c>
      <c r="L98" s="493">
        <v>0</v>
      </c>
      <c r="M98" s="493">
        <f t="shared" si="30"/>
        <v>0</v>
      </c>
      <c r="N98" s="493">
        <f t="shared" si="30"/>
        <v>0</v>
      </c>
    </row>
    <row r="99" spans="1:25" s="2259" customFormat="1" ht="24">
      <c r="A99" s="2455" t="s">
        <v>2296</v>
      </c>
      <c r="B99" s="2464" t="s">
        <v>2297</v>
      </c>
      <c r="C99" s="2325"/>
      <c r="D99" s="2991">
        <f t="shared" si="31"/>
        <v>0</v>
      </c>
      <c r="E99" s="2461"/>
      <c r="F99" s="2329"/>
      <c r="G99" s="2459"/>
      <c r="H99" s="2460" t="str">
        <f t="shared" si="32"/>
        <v>——</v>
      </c>
      <c r="I99" s="2991">
        <v>0.06</v>
      </c>
      <c r="J99" s="493">
        <f t="shared" si="28"/>
        <v>0</v>
      </c>
      <c r="K99" s="493">
        <f t="shared" si="29"/>
        <v>0</v>
      </c>
      <c r="L99" s="493">
        <v>0</v>
      </c>
      <c r="M99" s="493">
        <f t="shared" si="30"/>
        <v>0</v>
      </c>
      <c r="N99" s="493">
        <f t="shared" si="30"/>
        <v>0</v>
      </c>
    </row>
    <row r="100" spans="1:25" s="2259" customFormat="1" ht="25.5">
      <c r="A100" s="2455" t="s">
        <v>2298</v>
      </c>
      <c r="B100" s="2992" t="str">
        <f>估价对象房地状况!C21</f>
        <v>估价对象所在区域公共配套设施齐备情况</v>
      </c>
      <c r="C100" s="2325"/>
      <c r="D100" s="2991">
        <f t="shared" si="31"/>
        <v>0</v>
      </c>
      <c r="E100" s="2461"/>
      <c r="F100" s="2329"/>
      <c r="G100" s="2459"/>
      <c r="H100" s="2460" t="str">
        <f t="shared" si="32"/>
        <v>——</v>
      </c>
      <c r="I100" s="2991">
        <v>0.06</v>
      </c>
      <c r="J100" s="493">
        <f t="shared" si="28"/>
        <v>0</v>
      </c>
      <c r="K100" s="493">
        <f t="shared" si="29"/>
        <v>0</v>
      </c>
      <c r="L100" s="493">
        <v>0</v>
      </c>
      <c r="M100" s="493">
        <f t="shared" si="30"/>
        <v>0</v>
      </c>
      <c r="N100" s="493">
        <f t="shared" si="30"/>
        <v>0</v>
      </c>
    </row>
    <row r="101" spans="1:25" s="2259" customFormat="1" ht="24">
      <c r="A101" s="2455" t="s">
        <v>2299</v>
      </c>
      <c r="B101" s="2992" t="str">
        <f>估价对象房地状况!C22</f>
        <v>估价对象所在区域基础设施水平</v>
      </c>
      <c r="C101" s="2325"/>
      <c r="D101" s="2991">
        <f t="shared" si="31"/>
        <v>0</v>
      </c>
      <c r="E101" s="2461"/>
      <c r="F101" s="2329"/>
      <c r="G101" s="2459"/>
      <c r="H101" s="2460" t="str">
        <f t="shared" si="32"/>
        <v>——</v>
      </c>
      <c r="I101" s="2991">
        <v>0.09</v>
      </c>
      <c r="J101" s="493">
        <f t="shared" si="28"/>
        <v>0</v>
      </c>
      <c r="K101" s="493">
        <f t="shared" si="29"/>
        <v>0</v>
      </c>
      <c r="L101" s="493">
        <v>0</v>
      </c>
      <c r="M101" s="493">
        <f t="shared" si="30"/>
        <v>0</v>
      </c>
      <c r="N101" s="493">
        <f t="shared" si="30"/>
        <v>0</v>
      </c>
    </row>
    <row r="102" spans="1:25" s="2259" customFormat="1" ht="26.25" thickBot="1">
      <c r="A102" s="2466" t="s">
        <v>2300</v>
      </c>
      <c r="B102" s="2468" t="str">
        <f>估价对象房地状况!C20</f>
        <v>区域自然环境：；人文环境；综合评价环境状况一般</v>
      </c>
      <c r="C102" s="2325"/>
      <c r="D102" s="2991">
        <f t="shared" si="31"/>
        <v>0</v>
      </c>
      <c r="E102" s="487"/>
      <c r="F102" s="2329"/>
      <c r="G102" s="2459"/>
      <c r="H102" s="2460" t="str">
        <f t="shared" si="32"/>
        <v>——</v>
      </c>
      <c r="I102" s="2468">
        <v>7.0000000000000007E-2</v>
      </c>
      <c r="J102" s="493">
        <f t="shared" si="28"/>
        <v>0</v>
      </c>
      <c r="K102" s="493">
        <f t="shared" si="29"/>
        <v>0</v>
      </c>
      <c r="L102" s="493">
        <v>0</v>
      </c>
      <c r="M102" s="493">
        <f t="shared" si="30"/>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81" t="s">
        <v>2311</v>
      </c>
      <c r="B104" s="3281"/>
      <c r="C104" s="3281"/>
      <c r="D104" s="3281"/>
      <c r="E104" s="3281"/>
      <c r="F104" s="3281"/>
      <c r="G104" s="3281"/>
      <c r="H104" s="3281"/>
      <c r="I104" s="3281"/>
      <c r="J104" s="3281"/>
      <c r="K104" s="2996"/>
      <c r="L104" s="2996"/>
      <c r="M104" s="2996"/>
      <c r="N104" s="2996"/>
    </row>
    <row r="105" spans="1:25">
      <c r="A105" s="3283" t="s">
        <v>2312</v>
      </c>
      <c r="B105" s="3283" t="s">
        <v>2313</v>
      </c>
      <c r="C105" s="2422" t="s">
        <v>2314</v>
      </c>
      <c r="D105" s="2423"/>
      <c r="E105" s="2423"/>
      <c r="F105" s="2423"/>
      <c r="G105" s="2423"/>
      <c r="H105" s="2423"/>
      <c r="I105" s="2423"/>
      <c r="J105" s="2480"/>
      <c r="K105" s="2481"/>
      <c r="L105" s="2481"/>
      <c r="M105" s="2481"/>
      <c r="N105" s="2481"/>
    </row>
    <row r="106" spans="1:25">
      <c r="A106" s="3283"/>
      <c r="B106" s="3283"/>
      <c r="C106" s="2998" t="s">
        <v>2199</v>
      </c>
      <c r="D106" s="2998" t="s">
        <v>2200</v>
      </c>
      <c r="E106" s="2998" t="s">
        <v>2201</v>
      </c>
      <c r="F106" s="2998" t="s">
        <v>2202</v>
      </c>
      <c r="G106" s="2998" t="s">
        <v>2203</v>
      </c>
      <c r="H106" s="2998" t="s">
        <v>2204</v>
      </c>
      <c r="I106" s="2998" t="s">
        <v>2205</v>
      </c>
      <c r="J106" s="2998" t="s">
        <v>2206</v>
      </c>
      <c r="K106" s="2998" t="s">
        <v>2207</v>
      </c>
      <c r="L106" s="2998" t="s">
        <v>2208</v>
      </c>
      <c r="M106" s="2998" t="s">
        <v>2209</v>
      </c>
      <c r="N106" s="2998" t="s">
        <v>2210</v>
      </c>
    </row>
    <row r="107" spans="1:25">
      <c r="A107" s="3287" t="s">
        <v>2315</v>
      </c>
      <c r="B107" s="2998">
        <v>1</v>
      </c>
      <c r="C107" s="2998">
        <v>1.5206</v>
      </c>
      <c r="D107" s="2998">
        <v>1.5206</v>
      </c>
      <c r="E107" s="2998">
        <v>1.5019</v>
      </c>
      <c r="F107" s="2998">
        <v>1.5019</v>
      </c>
      <c r="G107" s="2998">
        <v>1.5019</v>
      </c>
      <c r="H107" s="2998">
        <v>1.5019</v>
      </c>
      <c r="I107" s="2998">
        <v>1.5019</v>
      </c>
      <c r="J107" s="2998">
        <v>1.5418000000000001</v>
      </c>
      <c r="K107" s="2998">
        <v>1.5418000000000001</v>
      </c>
      <c r="L107" s="2998">
        <v>1.5418000000000001</v>
      </c>
      <c r="M107" s="2998">
        <v>1.5418000000000001</v>
      </c>
      <c r="N107" s="2998">
        <v>1.5418000000000001</v>
      </c>
    </row>
    <row r="108" spans="1:25">
      <c r="A108" s="3288"/>
      <c r="B108" s="2998">
        <v>2</v>
      </c>
      <c r="C108" s="2998">
        <v>1.2072000000000001</v>
      </c>
      <c r="D108" s="2998">
        <v>1.2072000000000001</v>
      </c>
      <c r="E108" s="2998">
        <v>1.1838</v>
      </c>
      <c r="F108" s="2998">
        <v>1.1838</v>
      </c>
      <c r="G108" s="2998">
        <v>1.1838</v>
      </c>
      <c r="H108" s="2998">
        <v>1.1838</v>
      </c>
      <c r="I108" s="2998">
        <v>1.1838</v>
      </c>
      <c r="J108" s="2998">
        <v>1.1883999999999999</v>
      </c>
      <c r="K108" s="2998">
        <v>1.1883999999999999</v>
      </c>
      <c r="L108" s="2998">
        <v>1.1883999999999999</v>
      </c>
      <c r="M108" s="2998">
        <v>1.1883999999999999</v>
      </c>
      <c r="N108" s="2998">
        <v>1.1883999999999999</v>
      </c>
    </row>
    <row r="109" spans="1:25">
      <c r="A109" s="3288"/>
      <c r="B109" s="2998">
        <v>3</v>
      </c>
      <c r="C109" s="2998">
        <v>1.0430999999999999</v>
      </c>
      <c r="D109" s="2998">
        <v>1.0430999999999999</v>
      </c>
      <c r="E109" s="2998">
        <v>1.0004999999999999</v>
      </c>
      <c r="F109" s="2998">
        <v>1.0004999999999999</v>
      </c>
      <c r="G109" s="2998">
        <v>1.0004999999999999</v>
      </c>
      <c r="H109" s="2998">
        <v>1.0004999999999999</v>
      </c>
      <c r="I109" s="2998">
        <v>1.0004999999999999</v>
      </c>
      <c r="J109" s="2998">
        <v>0.96940000000000004</v>
      </c>
      <c r="K109" s="2998">
        <v>0.96940000000000004</v>
      </c>
      <c r="L109" s="2998">
        <v>0.96940000000000004</v>
      </c>
      <c r="M109" s="2998">
        <v>0.96940000000000004</v>
      </c>
      <c r="N109" s="2998">
        <v>0.96940000000000004</v>
      </c>
    </row>
    <row r="110" spans="1:25">
      <c r="A110" s="3288"/>
      <c r="B110" s="2998">
        <v>4</v>
      </c>
      <c r="C110" s="2998">
        <v>0.94389999999999996</v>
      </c>
      <c r="D110" s="2998">
        <v>0.94389999999999996</v>
      </c>
      <c r="E110" s="2998">
        <v>0.88239999999999996</v>
      </c>
      <c r="F110" s="2998">
        <v>0.88239999999999996</v>
      </c>
      <c r="G110" s="2998">
        <v>0.88239999999999996</v>
      </c>
      <c r="H110" s="2998">
        <v>0.88239999999999996</v>
      </c>
      <c r="I110" s="2998">
        <v>0.88239999999999996</v>
      </c>
      <c r="J110" s="2998">
        <v>0.82299999999999995</v>
      </c>
      <c r="K110" s="2998">
        <v>0.82299999999999995</v>
      </c>
      <c r="L110" s="2998">
        <v>0.82299999999999995</v>
      </c>
      <c r="M110" s="2998">
        <v>0.82299999999999995</v>
      </c>
      <c r="N110" s="2998">
        <v>0.82299999999999995</v>
      </c>
    </row>
    <row r="111" spans="1:25">
      <c r="A111" s="3288"/>
      <c r="B111" s="2998">
        <v>5</v>
      </c>
      <c r="C111" s="2998">
        <v>0.89959999999999996</v>
      </c>
      <c r="D111" s="2998">
        <v>0.89959999999999996</v>
      </c>
      <c r="E111" s="2998">
        <v>0.84799999999999998</v>
      </c>
      <c r="F111" s="2998">
        <v>0.84799999999999998</v>
      </c>
      <c r="G111" s="2998">
        <v>0.84799999999999998</v>
      </c>
      <c r="H111" s="2998">
        <v>0.84799999999999998</v>
      </c>
      <c r="I111" s="2998">
        <v>0.84799999999999998</v>
      </c>
      <c r="J111" s="2998">
        <v>0.74980000000000002</v>
      </c>
      <c r="K111" s="2998">
        <v>0.74980000000000002</v>
      </c>
      <c r="L111" s="2998">
        <v>0.74980000000000002</v>
      </c>
      <c r="M111" s="2998">
        <v>0.74980000000000002</v>
      </c>
      <c r="N111" s="2998">
        <v>0.74980000000000002</v>
      </c>
    </row>
    <row r="112" spans="1:25">
      <c r="A112" s="3288"/>
      <c r="B112" s="2998" t="s">
        <v>2716</v>
      </c>
      <c r="C112" s="2482">
        <f>$I$3</f>
        <v>1</v>
      </c>
      <c r="D112" s="2482">
        <f t="shared" ref="D112:M112" si="33">$I$3</f>
        <v>1</v>
      </c>
      <c r="E112" s="2482">
        <f t="shared" si="33"/>
        <v>1</v>
      </c>
      <c r="F112" s="2482">
        <f t="shared" si="33"/>
        <v>1</v>
      </c>
      <c r="G112" s="2482">
        <f t="shared" si="33"/>
        <v>1</v>
      </c>
      <c r="H112" s="2482">
        <f t="shared" si="33"/>
        <v>1</v>
      </c>
      <c r="I112" s="2482">
        <f t="shared" si="33"/>
        <v>1</v>
      </c>
      <c r="J112" s="2482">
        <f t="shared" si="33"/>
        <v>1</v>
      </c>
      <c r="K112" s="2482">
        <f t="shared" si="33"/>
        <v>1</v>
      </c>
      <c r="L112" s="2482">
        <f t="shared" si="33"/>
        <v>1</v>
      </c>
      <c r="M112" s="2482">
        <f t="shared" si="33"/>
        <v>1</v>
      </c>
      <c r="N112" s="2482">
        <f>$I$3</f>
        <v>1</v>
      </c>
    </row>
    <row r="113" spans="1:14">
      <c r="A113" s="3289"/>
      <c r="B113" s="2998">
        <v>6</v>
      </c>
      <c r="C113" s="502">
        <f>(-0.5556*(C112^2)-0.2719*C112+8944)*(10^(-4))</f>
        <v>0.89431725000000006</v>
      </c>
      <c r="D113" s="502">
        <f>(-0.5556*(D112^2)-0.2719*D112+8944)*(10^(-4))</f>
        <v>0.89431725000000006</v>
      </c>
      <c r="E113" s="502">
        <f>(-0.7912*(E112^2)-11.3794*E112+8482)*(10^(-4))</f>
        <v>0.84698294000000007</v>
      </c>
      <c r="F113" s="502">
        <f t="shared" ref="F113:I113" si="34">(-0.7912*(F112^2)-11.3794*F112+8482)*(10^(-4))</f>
        <v>0.84698294000000007</v>
      </c>
      <c r="G113" s="502">
        <f t="shared" si="34"/>
        <v>0.84698294000000007</v>
      </c>
      <c r="H113" s="502">
        <f t="shared" si="34"/>
        <v>0.84698294000000007</v>
      </c>
      <c r="I113" s="502">
        <f t="shared" si="34"/>
        <v>0.84698294000000007</v>
      </c>
      <c r="J113" s="502">
        <f>(-0.989*(J112^2)-63.78*J112+7771)*(10^(-4))</f>
        <v>0.77062310000000001</v>
      </c>
      <c r="K113" s="502">
        <f t="shared" ref="K113:N113" si="35">(-0.989*(K112^2)-63.78*K112+7771)*(10^(-4))</f>
        <v>0.77062310000000001</v>
      </c>
      <c r="L113" s="502">
        <f t="shared" si="35"/>
        <v>0.77062310000000001</v>
      </c>
      <c r="M113" s="502">
        <f t="shared" si="35"/>
        <v>0.77062310000000001</v>
      </c>
      <c r="N113" s="502">
        <f t="shared" si="35"/>
        <v>0.77062310000000001</v>
      </c>
    </row>
    <row r="114" spans="1:14">
      <c r="A114" s="3282" t="s">
        <v>2316</v>
      </c>
      <c r="B114" s="3282"/>
      <c r="C114" s="3282"/>
      <c r="D114" s="3282"/>
      <c r="E114" s="3282"/>
      <c r="F114" s="3282"/>
      <c r="G114" s="3282"/>
      <c r="H114" s="3282"/>
      <c r="I114" s="3282"/>
      <c r="J114" s="3282"/>
      <c r="K114" s="2997"/>
      <c r="L114" s="2997"/>
      <c r="M114" s="2997"/>
      <c r="N114" s="2997"/>
    </row>
    <row r="116" spans="1:14" ht="13.5" thickBot="1"/>
    <row r="117" spans="1:14" ht="25.5" thickBot="1">
      <c r="A117" s="2382" t="s">
        <v>2317</v>
      </c>
      <c r="B117" s="2484">
        <f>G3</f>
        <v>7.2</v>
      </c>
      <c r="C117" s="2365" t="s">
        <v>2318</v>
      </c>
      <c r="D117" s="500">
        <f>SUMPRODUCT((A119:A123=F117)*(B118:M118=H117)*B119:M123)</f>
        <v>0.91759999999999997</v>
      </c>
      <c r="E117" s="473" t="s">
        <v>2173</v>
      </c>
      <c r="F117" s="501" t="str">
        <f>E2</f>
        <v>商业</v>
      </c>
      <c r="G117" s="473" t="s">
        <v>2174</v>
      </c>
      <c r="H117" s="501" t="str">
        <f>G2</f>
        <v>一级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0.91759999999999997</v>
      </c>
      <c r="C119" s="502">
        <f>B119</f>
        <v>0.91759999999999997</v>
      </c>
      <c r="D119" s="502">
        <f>ROUND(0.949-0.014*B117,4)</f>
        <v>0.84819999999999995</v>
      </c>
      <c r="E119" s="502">
        <f>D119</f>
        <v>0.84819999999999995</v>
      </c>
      <c r="F119" s="502">
        <f>E119</f>
        <v>0.84819999999999995</v>
      </c>
      <c r="G119" s="502">
        <f>F119</f>
        <v>0.84819999999999995</v>
      </c>
      <c r="H119" s="502">
        <f>G119</f>
        <v>0.84819999999999995</v>
      </c>
      <c r="I119" s="502">
        <f>ROUND(0.8486-0.018*B117,4)</f>
        <v>0.71899999999999997</v>
      </c>
      <c r="J119" s="502">
        <f t="shared" ref="J119:M123" si="36">I119</f>
        <v>0.71899999999999997</v>
      </c>
      <c r="K119" s="502">
        <f t="shared" si="36"/>
        <v>0.71899999999999997</v>
      </c>
      <c r="L119" s="502">
        <f t="shared" si="36"/>
        <v>0.71899999999999997</v>
      </c>
      <c r="M119" s="504">
        <f t="shared" si="36"/>
        <v>0.71899999999999997</v>
      </c>
    </row>
    <row r="120" spans="1:14">
      <c r="A120" s="2413" t="s">
        <v>2230</v>
      </c>
      <c r="B120" s="502">
        <f>ROUND(0.993-0.0112*B117,4)</f>
        <v>0.91239999999999999</v>
      </c>
      <c r="C120" s="502">
        <f>B120</f>
        <v>0.91239999999999999</v>
      </c>
      <c r="D120" s="502">
        <f>ROUND(0.9415-0.0142*B117,4)</f>
        <v>0.83930000000000005</v>
      </c>
      <c r="E120" s="502">
        <f t="shared" ref="E120:H121" si="37">D120</f>
        <v>0.83930000000000005</v>
      </c>
      <c r="F120" s="502">
        <f t="shared" si="37"/>
        <v>0.83930000000000005</v>
      </c>
      <c r="G120" s="502">
        <f t="shared" si="37"/>
        <v>0.83930000000000005</v>
      </c>
      <c r="H120" s="502">
        <f t="shared" si="37"/>
        <v>0.83930000000000005</v>
      </c>
      <c r="I120" s="502">
        <f>ROUND(0.838-0.0182*B117,4)</f>
        <v>0.70699999999999996</v>
      </c>
      <c r="J120" s="502">
        <f t="shared" si="36"/>
        <v>0.70699999999999996</v>
      </c>
      <c r="K120" s="502">
        <f t="shared" si="36"/>
        <v>0.70699999999999996</v>
      </c>
      <c r="L120" s="502">
        <f t="shared" si="36"/>
        <v>0.70699999999999996</v>
      </c>
      <c r="M120" s="504">
        <f t="shared" si="36"/>
        <v>0.70699999999999996</v>
      </c>
    </row>
    <row r="121" spans="1:14">
      <c r="A121" s="2413" t="s">
        <v>2231</v>
      </c>
      <c r="B121" s="502">
        <f>ROUND(0.9448-0.0115*B117,4)</f>
        <v>0.86199999999999999</v>
      </c>
      <c r="C121" s="502">
        <f>B121</f>
        <v>0.86199999999999999</v>
      </c>
      <c r="D121" s="502">
        <f>ROUND(0.937-0.0145*B117,4)</f>
        <v>0.83260000000000001</v>
      </c>
      <c r="E121" s="502">
        <f t="shared" si="37"/>
        <v>0.83260000000000001</v>
      </c>
      <c r="F121" s="502">
        <f t="shared" si="37"/>
        <v>0.83260000000000001</v>
      </c>
      <c r="G121" s="502">
        <f t="shared" si="37"/>
        <v>0.83260000000000001</v>
      </c>
      <c r="H121" s="502">
        <f t="shared" si="37"/>
        <v>0.83260000000000001</v>
      </c>
      <c r="I121" s="502">
        <f>ROUND(0.7965-0.0185*B117,4)</f>
        <v>0.6633</v>
      </c>
      <c r="J121" s="502">
        <f t="shared" si="36"/>
        <v>0.6633</v>
      </c>
      <c r="K121" s="502">
        <f t="shared" si="36"/>
        <v>0.6633</v>
      </c>
      <c r="L121" s="502">
        <f t="shared" si="36"/>
        <v>0.6633</v>
      </c>
      <c r="M121" s="504">
        <f t="shared" si="36"/>
        <v>0.6633</v>
      </c>
    </row>
    <row r="122" spans="1:14" ht="13.5" thickBot="1">
      <c r="A122" s="2417" t="s">
        <v>2232</v>
      </c>
      <c r="B122" s="503">
        <f>ROUND(0.7836-0.012*B117,4)</f>
        <v>0.69720000000000004</v>
      </c>
      <c r="C122" s="503">
        <f>B122</f>
        <v>0.69720000000000004</v>
      </c>
      <c r="D122" s="503">
        <f>ROUND(0.753-0.015*B117,4)</f>
        <v>0.64500000000000002</v>
      </c>
      <c r="E122" s="503">
        <f>D122</f>
        <v>0.64500000000000002</v>
      </c>
      <c r="F122" s="503">
        <f>E122</f>
        <v>0.64500000000000002</v>
      </c>
      <c r="G122" s="503">
        <f>ROUND(0.6612-0.018*B117,4)</f>
        <v>0.53159999999999996</v>
      </c>
      <c r="H122" s="503">
        <f>G122</f>
        <v>0.53159999999999996</v>
      </c>
      <c r="I122" s="503">
        <f>ROUND(0.5905-0.019*B117,4)</f>
        <v>0.45369999999999999</v>
      </c>
      <c r="J122" s="503">
        <f t="shared" si="36"/>
        <v>0.45369999999999999</v>
      </c>
      <c r="K122" s="503">
        <f t="shared" si="36"/>
        <v>0.45369999999999999</v>
      </c>
      <c r="L122" s="503">
        <f t="shared" si="36"/>
        <v>0.45369999999999999</v>
      </c>
      <c r="M122" s="505">
        <f t="shared" si="36"/>
        <v>0.45369999999999999</v>
      </c>
    </row>
    <row r="123" spans="1:14">
      <c r="A123" s="2492" t="s">
        <v>2702</v>
      </c>
      <c r="B123" s="502">
        <f>ROUND(0.9404-0.0106*B117,4)</f>
        <v>0.86409999999999998</v>
      </c>
      <c r="C123" s="502">
        <f>B123</f>
        <v>0.86409999999999998</v>
      </c>
      <c r="D123" s="502">
        <f>ROUND(0.8955-0.0135*B117,4)</f>
        <v>0.79830000000000001</v>
      </c>
      <c r="E123" s="502">
        <f t="shared" ref="E123:H123" si="38">D123</f>
        <v>0.79830000000000001</v>
      </c>
      <c r="F123" s="502">
        <f t="shared" si="38"/>
        <v>0.79830000000000001</v>
      </c>
      <c r="G123" s="502">
        <f t="shared" si="38"/>
        <v>0.79830000000000001</v>
      </c>
      <c r="H123" s="502">
        <f t="shared" si="38"/>
        <v>0.79830000000000001</v>
      </c>
      <c r="I123" s="502">
        <f>ROUND(0.7632-0.0166*B117,4)</f>
        <v>0.64370000000000005</v>
      </c>
      <c r="J123" s="502">
        <f t="shared" si="36"/>
        <v>0.64370000000000005</v>
      </c>
      <c r="K123" s="502">
        <f t="shared" si="36"/>
        <v>0.64370000000000005</v>
      </c>
      <c r="L123" s="502">
        <f t="shared" si="36"/>
        <v>0.64370000000000005</v>
      </c>
      <c r="M123" s="504">
        <f t="shared" si="36"/>
        <v>0.64370000000000005</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05:A106"/>
    <mergeCell ref="B105:B106"/>
    <mergeCell ref="A107:A113"/>
    <mergeCell ref="A114:J114"/>
    <mergeCell ref="A4:J4"/>
    <mergeCell ref="W8:X8"/>
    <mergeCell ref="W9:W10"/>
    <mergeCell ref="D20:E20"/>
    <mergeCell ref="F20:G20"/>
    <mergeCell ref="A37:A39"/>
    <mergeCell ref="J37:J39"/>
  </mergeCells>
  <phoneticPr fontId="134" type="noConversion"/>
  <conditionalFormatting sqref="F51">
    <cfRule type="cellIs" dxfId="6" priority="7" stopIfTrue="1" operator="notEqual">
      <formula>"——"</formula>
    </cfRule>
  </conditionalFormatting>
  <conditionalFormatting sqref="F62">
    <cfRule type="cellIs" dxfId="5" priority="6" stopIfTrue="1" operator="notEqual">
      <formula>"——"</formula>
    </cfRule>
  </conditionalFormatting>
  <conditionalFormatting sqref="F73">
    <cfRule type="cellIs" dxfId="4" priority="5" stopIfTrue="1" operator="notEqual">
      <formula>"——"</formula>
    </cfRule>
  </conditionalFormatting>
  <conditionalFormatting sqref="F84">
    <cfRule type="cellIs" dxfId="3" priority="4" stopIfTrue="1" operator="notEqual">
      <formula>"——"</formula>
    </cfRule>
  </conditionalFormatting>
  <conditionalFormatting sqref="H51:H59 H62:H70 H73:H81 H84:H91">
    <cfRule type="cellIs" dxfId="2" priority="3" operator="notEqual">
      <formula>"——"</formula>
    </cfRule>
  </conditionalFormatting>
  <conditionalFormatting sqref="F94">
    <cfRule type="cellIs" dxfId="1" priority="2" stopIfTrue="1" operator="notEqual">
      <formula>"——"</formula>
    </cfRule>
  </conditionalFormatting>
  <conditionalFormatting sqref="H94:H103">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90" t="s">
        <v>156</v>
      </c>
      <c r="B20" s="3300" t="s">
        <v>2893</v>
      </c>
      <c r="C20" s="2522" t="s">
        <v>2823</v>
      </c>
      <c r="D20" s="2523"/>
      <c r="E20" s="513">
        <v>1</v>
      </c>
      <c r="F20" s="2524" t="s">
        <v>2829</v>
      </c>
      <c r="G20" s="2524"/>
    </row>
    <row r="21" spans="1:13">
      <c r="A21" s="3291"/>
      <c r="B21" s="3295"/>
      <c r="C21" s="2525" t="s">
        <v>2824</v>
      </c>
      <c r="D21" s="2526"/>
      <c r="E21" s="514">
        <v>1</v>
      </c>
      <c r="F21" s="2524" t="s">
        <v>2830</v>
      </c>
      <c r="G21" s="2524"/>
    </row>
    <row r="22" spans="1:13">
      <c r="A22" s="3291"/>
      <c r="B22" s="3295"/>
      <c r="C22" s="2525" t="s">
        <v>2825</v>
      </c>
      <c r="D22" s="2526"/>
      <c r="E22" s="514">
        <v>0.9</v>
      </c>
      <c r="F22" s="2524" t="s">
        <v>2831</v>
      </c>
      <c r="G22" s="2524"/>
    </row>
    <row r="23" spans="1:13">
      <c r="A23" s="3291"/>
      <c r="B23" s="3295"/>
      <c r="C23" s="2525" t="s">
        <v>2826</v>
      </c>
      <c r="D23" s="2526"/>
      <c r="E23" s="514">
        <v>0.9</v>
      </c>
      <c r="F23" s="2524" t="s">
        <v>2832</v>
      </c>
      <c r="G23" s="2524"/>
    </row>
    <row r="24" spans="1:13">
      <c r="A24" s="3291"/>
      <c r="B24" s="3295"/>
      <c r="C24" s="2525" t="s">
        <v>2827</v>
      </c>
      <c r="D24" s="2526"/>
      <c r="E24" s="514">
        <v>0.8</v>
      </c>
      <c r="F24" s="2524" t="s">
        <v>2833</v>
      </c>
      <c r="G24" s="2524"/>
    </row>
    <row r="25" spans="1:13" ht="14.25" thickBot="1">
      <c r="A25" s="3292"/>
      <c r="B25" s="330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97" t="s">
        <v>2836</v>
      </c>
      <c r="B27" s="3300" t="s">
        <v>2836</v>
      </c>
      <c r="C27" s="2522" t="s">
        <v>2838</v>
      </c>
      <c r="D27" s="2523"/>
      <c r="E27" s="513">
        <v>1</v>
      </c>
      <c r="F27" s="2524" t="s">
        <v>2851</v>
      </c>
      <c r="G27" s="2524"/>
    </row>
    <row r="28" spans="1:13">
      <c r="A28" s="3298"/>
      <c r="B28" s="3295"/>
      <c r="C28" s="2525" t="s">
        <v>2839</v>
      </c>
      <c r="D28" s="2526"/>
      <c r="E28" s="514">
        <v>1</v>
      </c>
      <c r="F28" s="2524" t="s">
        <v>2852</v>
      </c>
      <c r="G28" s="2524"/>
    </row>
    <row r="29" spans="1:13">
      <c r="A29" s="3298"/>
      <c r="B29" s="3295"/>
      <c r="C29" s="2525" t="s">
        <v>2840</v>
      </c>
      <c r="D29" s="2526"/>
      <c r="E29" s="514">
        <v>0.8</v>
      </c>
      <c r="F29" s="2524" t="s">
        <v>2853</v>
      </c>
      <c r="G29" s="2524"/>
    </row>
    <row r="30" spans="1:13">
      <c r="A30" s="3298"/>
      <c r="B30" s="3295"/>
      <c r="C30" s="2525" t="s">
        <v>2841</v>
      </c>
      <c r="D30" s="2526"/>
      <c r="E30" s="514">
        <v>0.8</v>
      </c>
      <c r="F30" s="2524" t="s">
        <v>2854</v>
      </c>
      <c r="G30" s="2524"/>
    </row>
    <row r="31" spans="1:13">
      <c r="A31" s="3298"/>
      <c r="B31" s="3295"/>
      <c r="C31" s="2525" t="s">
        <v>2842</v>
      </c>
      <c r="D31" s="2526"/>
      <c r="E31" s="514">
        <v>0.8</v>
      </c>
      <c r="F31" s="2524" t="s">
        <v>2855</v>
      </c>
      <c r="G31" s="2524"/>
    </row>
    <row r="32" spans="1:13">
      <c r="A32" s="3298"/>
      <c r="B32" s="3295"/>
      <c r="C32" s="2525" t="s">
        <v>2843</v>
      </c>
      <c r="D32" s="2526"/>
      <c r="E32" s="514">
        <v>0.7</v>
      </c>
      <c r="F32" s="2524" t="s">
        <v>2856</v>
      </c>
      <c r="G32" s="2524"/>
    </row>
    <row r="33" spans="1:7">
      <c r="A33" s="3298"/>
      <c r="B33" s="3295"/>
      <c r="C33" s="2525" t="s">
        <v>2844</v>
      </c>
      <c r="D33" s="2526"/>
      <c r="E33" s="514">
        <v>0.8</v>
      </c>
      <c r="F33" s="2524" t="s">
        <v>2857</v>
      </c>
      <c r="G33" s="2524"/>
    </row>
    <row r="34" spans="1:7">
      <c r="A34" s="3298"/>
      <c r="B34" s="3295"/>
      <c r="C34" s="2525" t="s">
        <v>2845</v>
      </c>
      <c r="D34" s="2526"/>
      <c r="E34" s="514">
        <v>0.6</v>
      </c>
      <c r="F34" s="2524" t="s">
        <v>2858</v>
      </c>
      <c r="G34" s="2524"/>
    </row>
    <row r="35" spans="1:7">
      <c r="A35" s="3298"/>
      <c r="B35" s="3295"/>
      <c r="C35" s="2525" t="s">
        <v>2846</v>
      </c>
      <c r="D35" s="2526"/>
      <c r="E35" s="514">
        <v>0.2</v>
      </c>
      <c r="F35" s="2524" t="s">
        <v>2859</v>
      </c>
      <c r="G35" s="2524"/>
    </row>
    <row r="36" spans="1:7">
      <c r="A36" s="3298"/>
      <c r="B36" s="3295"/>
      <c r="C36" s="2525" t="s">
        <v>2847</v>
      </c>
      <c r="D36" s="2526"/>
      <c r="E36" s="514">
        <v>0.2</v>
      </c>
      <c r="F36" s="2524" t="s">
        <v>2860</v>
      </c>
      <c r="G36" s="2524"/>
    </row>
    <row r="37" spans="1:7">
      <c r="A37" s="3298"/>
      <c r="B37" s="3294" t="s">
        <v>2894</v>
      </c>
      <c r="C37" s="2525" t="s">
        <v>2848</v>
      </c>
      <c r="D37" s="2526"/>
      <c r="E37" s="514">
        <v>0.6</v>
      </c>
      <c r="F37" s="2524" t="s">
        <v>2861</v>
      </c>
      <c r="G37" s="2524"/>
    </row>
    <row r="38" spans="1:7">
      <c r="A38" s="3298"/>
      <c r="B38" s="3295"/>
      <c r="C38" s="2525" t="s">
        <v>2849</v>
      </c>
      <c r="D38" s="2526"/>
      <c r="E38" s="514">
        <v>0.6</v>
      </c>
      <c r="F38" s="2524" t="s">
        <v>2862</v>
      </c>
      <c r="G38" s="2524"/>
    </row>
    <row r="39" spans="1:7" ht="14.25" thickBot="1">
      <c r="A39" s="3299"/>
      <c r="B39" s="330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90" t="s">
        <v>158</v>
      </c>
      <c r="B41" s="3300" t="s">
        <v>2890</v>
      </c>
      <c r="C41" s="2522" t="s">
        <v>2866</v>
      </c>
      <c r="D41" s="2523"/>
      <c r="E41" s="513">
        <v>1</v>
      </c>
      <c r="F41" s="2524" t="s">
        <v>2878</v>
      </c>
      <c r="G41" s="2524"/>
    </row>
    <row r="42" spans="1:7">
      <c r="A42" s="3291"/>
      <c r="B42" s="3295"/>
      <c r="C42" s="2525" t="s">
        <v>2867</v>
      </c>
      <c r="D42" s="2526"/>
      <c r="E42" s="514">
        <v>1</v>
      </c>
      <c r="F42" s="2524" t="s">
        <v>2879</v>
      </c>
      <c r="G42" s="2524"/>
    </row>
    <row r="43" spans="1:7">
      <c r="A43" s="3291"/>
      <c r="B43" s="3296"/>
      <c r="C43" s="2525" t="s">
        <v>2868</v>
      </c>
      <c r="D43" s="2526"/>
      <c r="E43" s="514">
        <v>1.5</v>
      </c>
      <c r="F43" s="2524" t="s">
        <v>2880</v>
      </c>
      <c r="G43" s="2524"/>
    </row>
    <row r="44" spans="1:7">
      <c r="A44" s="3291"/>
      <c r="B44" s="517" t="s">
        <v>2891</v>
      </c>
      <c r="C44" s="2525" t="s">
        <v>2889</v>
      </c>
      <c r="D44" s="2526"/>
      <c r="E44" s="514">
        <v>2</v>
      </c>
      <c r="F44" s="2524" t="s">
        <v>2881</v>
      </c>
      <c r="G44" s="2524"/>
    </row>
    <row r="45" spans="1:7">
      <c r="A45" s="3291"/>
      <c r="B45" s="3294" t="s">
        <v>2892</v>
      </c>
      <c r="C45" s="2525" t="s">
        <v>2869</v>
      </c>
      <c r="D45" s="2526"/>
      <c r="E45" s="514">
        <v>1</v>
      </c>
      <c r="F45" s="2524" t="s">
        <v>2882</v>
      </c>
      <c r="G45" s="2524"/>
    </row>
    <row r="46" spans="1:7">
      <c r="A46" s="3291"/>
      <c r="B46" s="3295"/>
      <c r="C46" s="2525" t="s">
        <v>2870</v>
      </c>
      <c r="D46" s="2526"/>
      <c r="E46" s="514">
        <v>1</v>
      </c>
      <c r="F46" s="2524" t="s">
        <v>2883</v>
      </c>
      <c r="G46" s="2524"/>
    </row>
    <row r="47" spans="1:7">
      <c r="A47" s="3291"/>
      <c r="B47" s="3295"/>
      <c r="C47" s="2525" t="s">
        <v>2871</v>
      </c>
      <c r="D47" s="2526"/>
      <c r="E47" s="514">
        <v>1</v>
      </c>
      <c r="F47" s="2524" t="s">
        <v>2884</v>
      </c>
      <c r="G47" s="2524"/>
    </row>
    <row r="48" spans="1:7">
      <c r="A48" s="3291"/>
      <c r="B48" s="3295"/>
      <c r="C48" s="2525" t="s">
        <v>2872</v>
      </c>
      <c r="D48" s="2526"/>
      <c r="E48" s="514">
        <v>1</v>
      </c>
      <c r="F48" s="2524" t="s">
        <v>2885</v>
      </c>
      <c r="G48" s="2524"/>
    </row>
    <row r="49" spans="1:7">
      <c r="A49" s="3291"/>
      <c r="B49" s="3295"/>
      <c r="C49" s="2525" t="s">
        <v>2873</v>
      </c>
      <c r="D49" s="2526"/>
      <c r="E49" s="514">
        <v>1</v>
      </c>
      <c r="F49" s="2524" t="s">
        <v>2886</v>
      </c>
      <c r="G49" s="2524"/>
    </row>
    <row r="50" spans="1:7">
      <c r="A50" s="3291"/>
      <c r="B50" s="3295"/>
      <c r="C50" s="2525" t="s">
        <v>2874</v>
      </c>
      <c r="D50" s="2526"/>
      <c r="E50" s="514">
        <v>1</v>
      </c>
      <c r="F50" s="2524" t="s">
        <v>2887</v>
      </c>
      <c r="G50" s="2524"/>
    </row>
    <row r="51" spans="1:7" ht="14.25" thickBot="1">
      <c r="A51" s="3292"/>
      <c r="B51" s="330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4" t="s">
        <v>459</v>
      </c>
      <c r="C73" s="508" t="s">
        <v>460</v>
      </c>
      <c r="D73" s="508" t="s">
        <v>461</v>
      </c>
      <c r="E73" s="517">
        <v>0.2</v>
      </c>
      <c r="F73" s="517">
        <v>25</v>
      </c>
    </row>
    <row r="74" spans="1:7" ht="24">
      <c r="A74" s="517">
        <v>2</v>
      </c>
      <c r="B74" s="3295"/>
      <c r="C74" s="508" t="s">
        <v>2719</v>
      </c>
      <c r="D74" s="508" t="s">
        <v>2720</v>
      </c>
      <c r="E74" s="517">
        <v>0.2</v>
      </c>
      <c r="F74" s="517">
        <v>25</v>
      </c>
    </row>
    <row r="75" spans="1:7" ht="24">
      <c r="A75" s="517">
        <v>3</v>
      </c>
      <c r="B75" s="3295"/>
      <c r="C75" s="508" t="s">
        <v>2721</v>
      </c>
      <c r="D75" s="508" t="s">
        <v>2722</v>
      </c>
      <c r="E75" s="517">
        <v>0.2</v>
      </c>
      <c r="F75" s="517">
        <v>25</v>
      </c>
    </row>
    <row r="76" spans="1:7">
      <c r="A76" s="517">
        <v>4</v>
      </c>
      <c r="B76" s="3295"/>
      <c r="C76" s="508" t="s">
        <v>2723</v>
      </c>
      <c r="D76" s="508" t="s">
        <v>2724</v>
      </c>
      <c r="E76" s="517">
        <v>0.15</v>
      </c>
      <c r="F76" s="517">
        <v>20</v>
      </c>
    </row>
    <row r="77" spans="1:7" ht="24">
      <c r="A77" s="517">
        <v>5</v>
      </c>
      <c r="B77" s="3295"/>
      <c r="C77" s="508" t="s">
        <v>2725</v>
      </c>
      <c r="D77" s="508" t="s">
        <v>2726</v>
      </c>
      <c r="E77" s="517">
        <v>0.15</v>
      </c>
      <c r="F77" s="517">
        <v>20</v>
      </c>
    </row>
    <row r="78" spans="1:7" ht="24">
      <c r="A78" s="517">
        <v>6</v>
      </c>
      <c r="B78" s="3295"/>
      <c r="C78" s="508" t="s">
        <v>2727</v>
      </c>
      <c r="D78" s="508" t="s">
        <v>2728</v>
      </c>
      <c r="E78" s="517">
        <v>0.15</v>
      </c>
      <c r="F78" s="517">
        <v>20</v>
      </c>
    </row>
    <row r="79" spans="1:7" ht="24">
      <c r="A79" s="517">
        <v>7</v>
      </c>
      <c r="B79" s="3295"/>
      <c r="C79" s="508" t="s">
        <v>2729</v>
      </c>
      <c r="D79" s="508" t="s">
        <v>2730</v>
      </c>
      <c r="E79" s="517">
        <v>0.15</v>
      </c>
      <c r="F79" s="517">
        <v>20</v>
      </c>
    </row>
    <row r="80" spans="1:7" ht="24">
      <c r="A80" s="517">
        <v>8</v>
      </c>
      <c r="B80" s="3295"/>
      <c r="C80" s="508" t="s">
        <v>2731</v>
      </c>
      <c r="D80" s="508" t="s">
        <v>2732</v>
      </c>
      <c r="E80" s="517">
        <v>0.1</v>
      </c>
      <c r="F80" s="517">
        <v>15</v>
      </c>
    </row>
    <row r="81" spans="1:6" ht="24">
      <c r="A81" s="517">
        <v>9</v>
      </c>
      <c r="B81" s="3295"/>
      <c r="C81" s="508" t="s">
        <v>2733</v>
      </c>
      <c r="D81" s="508" t="s">
        <v>2734</v>
      </c>
      <c r="E81" s="517">
        <v>0.1</v>
      </c>
      <c r="F81" s="517">
        <v>15</v>
      </c>
    </row>
    <row r="82" spans="1:6" ht="24">
      <c r="A82" s="517">
        <v>10</v>
      </c>
      <c r="B82" s="3295"/>
      <c r="C82" s="508" t="s">
        <v>2735</v>
      </c>
      <c r="D82" s="508" t="s">
        <v>2736</v>
      </c>
      <c r="E82" s="517">
        <v>0.1</v>
      </c>
      <c r="F82" s="517">
        <v>15</v>
      </c>
    </row>
    <row r="83" spans="1:6" ht="24">
      <c r="A83" s="517">
        <v>11</v>
      </c>
      <c r="B83" s="3295"/>
      <c r="C83" s="508" t="s">
        <v>2737</v>
      </c>
      <c r="D83" s="508" t="s">
        <v>2738</v>
      </c>
      <c r="E83" s="517">
        <v>0.1</v>
      </c>
      <c r="F83" s="517">
        <v>15</v>
      </c>
    </row>
    <row r="84" spans="1:6" ht="24">
      <c r="A84" s="517">
        <v>12</v>
      </c>
      <c r="B84" s="3295"/>
      <c r="C84" s="508" t="s">
        <v>2739</v>
      </c>
      <c r="D84" s="508" t="s">
        <v>2740</v>
      </c>
      <c r="E84" s="517">
        <v>0.1</v>
      </c>
      <c r="F84" s="517">
        <v>15</v>
      </c>
    </row>
    <row r="85" spans="1:6">
      <c r="A85" s="517">
        <v>13</v>
      </c>
      <c r="B85" s="3295"/>
      <c r="C85" s="508" t="s">
        <v>2741</v>
      </c>
      <c r="D85" s="508" t="s">
        <v>2742</v>
      </c>
      <c r="E85" s="517">
        <v>0.1</v>
      </c>
      <c r="F85" s="517">
        <v>15</v>
      </c>
    </row>
    <row r="86" spans="1:6">
      <c r="A86" s="517">
        <v>14</v>
      </c>
      <c r="B86" s="3295"/>
      <c r="C86" s="508" t="s">
        <v>2743</v>
      </c>
      <c r="D86" s="508" t="s">
        <v>2744</v>
      </c>
      <c r="E86" s="517">
        <v>0.1</v>
      </c>
      <c r="F86" s="517">
        <v>15</v>
      </c>
    </row>
    <row r="87" spans="1:6">
      <c r="A87" s="517">
        <v>15</v>
      </c>
      <c r="B87" s="3295"/>
      <c r="C87" s="508" t="s">
        <v>2745</v>
      </c>
      <c r="D87" s="508" t="s">
        <v>2746</v>
      </c>
      <c r="E87" s="517">
        <v>0.1</v>
      </c>
      <c r="F87" s="517">
        <v>15</v>
      </c>
    </row>
    <row r="88" spans="1:6" ht="24">
      <c r="A88" s="517">
        <v>16</v>
      </c>
      <c r="B88" s="3295"/>
      <c r="C88" s="508" t="s">
        <v>2747</v>
      </c>
      <c r="D88" s="508" t="s">
        <v>2748</v>
      </c>
      <c r="E88" s="517">
        <v>0.1</v>
      </c>
      <c r="F88" s="517">
        <v>15</v>
      </c>
    </row>
    <row r="89" spans="1:6" ht="24">
      <c r="A89" s="517">
        <v>17</v>
      </c>
      <c r="B89" s="3296"/>
      <c r="C89" s="508" t="s">
        <v>2749</v>
      </c>
      <c r="D89" s="508" t="s">
        <v>2750</v>
      </c>
      <c r="E89" s="517">
        <v>0.1</v>
      </c>
      <c r="F89" s="517">
        <v>15</v>
      </c>
    </row>
    <row r="90" spans="1:6">
      <c r="A90" s="517">
        <v>18</v>
      </c>
      <c r="B90" s="3294" t="s">
        <v>462</v>
      </c>
      <c r="C90" s="508" t="s">
        <v>463</v>
      </c>
      <c r="D90" s="508" t="s">
        <v>464</v>
      </c>
      <c r="E90" s="517">
        <v>0.2</v>
      </c>
      <c r="F90" s="517">
        <v>25</v>
      </c>
    </row>
    <row r="91" spans="1:6" ht="24">
      <c r="A91" s="517">
        <v>19</v>
      </c>
      <c r="B91" s="3295"/>
      <c r="C91" s="508" t="s">
        <v>2751</v>
      </c>
      <c r="D91" s="508" t="s">
        <v>467</v>
      </c>
      <c r="E91" s="517">
        <v>0.2</v>
      </c>
      <c r="F91" s="517">
        <v>25</v>
      </c>
    </row>
    <row r="92" spans="1:6">
      <c r="A92" s="517">
        <v>20</v>
      </c>
      <c r="B92" s="3295"/>
      <c r="C92" s="508" t="s">
        <v>465</v>
      </c>
      <c r="D92" s="508" t="s">
        <v>466</v>
      </c>
      <c r="E92" s="517">
        <v>0.15</v>
      </c>
      <c r="F92" s="517">
        <v>20</v>
      </c>
    </row>
    <row r="93" spans="1:6">
      <c r="A93" s="517">
        <v>21</v>
      </c>
      <c r="B93" s="3295"/>
      <c r="C93" s="508" t="s">
        <v>2752</v>
      </c>
      <c r="D93" s="508" t="s">
        <v>468</v>
      </c>
      <c r="E93" s="517">
        <v>0.15</v>
      </c>
      <c r="F93" s="517">
        <v>20</v>
      </c>
    </row>
    <row r="94" spans="1:6">
      <c r="A94" s="517">
        <v>22</v>
      </c>
      <c r="B94" s="3295"/>
      <c r="C94" s="508" t="s">
        <v>2754</v>
      </c>
      <c r="D94" s="508" t="s">
        <v>2755</v>
      </c>
      <c r="E94" s="517">
        <v>0.15</v>
      </c>
      <c r="F94" s="517">
        <v>20</v>
      </c>
    </row>
    <row r="95" spans="1:6" ht="36">
      <c r="A95" s="517">
        <v>23</v>
      </c>
      <c r="B95" s="3295"/>
      <c r="C95" s="508" t="s">
        <v>2756</v>
      </c>
      <c r="D95" s="508" t="s">
        <v>2757</v>
      </c>
      <c r="E95" s="517">
        <v>0.15</v>
      </c>
      <c r="F95" s="517">
        <v>20</v>
      </c>
    </row>
    <row r="96" spans="1:6">
      <c r="A96" s="517">
        <v>24</v>
      </c>
      <c r="B96" s="3295"/>
      <c r="C96" s="508" t="s">
        <v>2758</v>
      </c>
      <c r="D96" s="508" t="s">
        <v>2759</v>
      </c>
      <c r="E96" s="517">
        <v>0.1</v>
      </c>
      <c r="F96" s="517">
        <v>15</v>
      </c>
    </row>
    <row r="97" spans="1:6">
      <c r="A97" s="517">
        <v>25</v>
      </c>
      <c r="B97" s="3295"/>
      <c r="C97" s="508" t="s">
        <v>2753</v>
      </c>
      <c r="D97" s="508" t="s">
        <v>2760</v>
      </c>
      <c r="E97" s="517">
        <v>0.1</v>
      </c>
      <c r="F97" s="517">
        <v>15</v>
      </c>
    </row>
    <row r="98" spans="1:6" ht="24">
      <c r="A98" s="517">
        <v>26</v>
      </c>
      <c r="B98" s="3295"/>
      <c r="C98" s="508" t="s">
        <v>2761</v>
      </c>
      <c r="D98" s="508" t="s">
        <v>2762</v>
      </c>
      <c r="E98" s="517">
        <v>0.1</v>
      </c>
      <c r="F98" s="517">
        <v>15</v>
      </c>
    </row>
    <row r="99" spans="1:6" ht="24">
      <c r="A99" s="517">
        <v>27</v>
      </c>
      <c r="B99" s="3295"/>
      <c r="C99" s="508" t="s">
        <v>2763</v>
      </c>
      <c r="D99" s="508" t="s">
        <v>2764</v>
      </c>
      <c r="E99" s="517">
        <v>0.1</v>
      </c>
      <c r="F99" s="517">
        <v>15</v>
      </c>
    </row>
    <row r="100" spans="1:6">
      <c r="A100" s="517">
        <v>28</v>
      </c>
      <c r="B100" s="3295"/>
      <c r="C100" s="508" t="s">
        <v>2765</v>
      </c>
      <c r="D100" s="508" t="s">
        <v>2766</v>
      </c>
      <c r="E100" s="517">
        <v>0.1</v>
      </c>
      <c r="F100" s="517">
        <v>15</v>
      </c>
    </row>
    <row r="101" spans="1:6">
      <c r="A101" s="517">
        <v>29</v>
      </c>
      <c r="B101" s="3295"/>
      <c r="C101" s="508" t="s">
        <v>2767</v>
      </c>
      <c r="D101" s="508" t="s">
        <v>2768</v>
      </c>
      <c r="E101" s="517">
        <v>0.1</v>
      </c>
      <c r="F101" s="517">
        <v>15</v>
      </c>
    </row>
    <row r="102" spans="1:6">
      <c r="A102" s="517">
        <v>30</v>
      </c>
      <c r="B102" s="3295"/>
      <c r="C102" s="508" t="s">
        <v>2769</v>
      </c>
      <c r="D102" s="508" t="s">
        <v>2770</v>
      </c>
      <c r="E102" s="517">
        <v>0.1</v>
      </c>
      <c r="F102" s="517">
        <v>15</v>
      </c>
    </row>
    <row r="103" spans="1:6" ht="24">
      <c r="A103" s="517">
        <v>31</v>
      </c>
      <c r="B103" s="3295"/>
      <c r="C103" s="508" t="s">
        <v>2771</v>
      </c>
      <c r="D103" s="508" t="s">
        <v>2772</v>
      </c>
      <c r="E103" s="517">
        <v>0.1</v>
      </c>
      <c r="F103" s="517">
        <v>15</v>
      </c>
    </row>
    <row r="104" spans="1:6" ht="24">
      <c r="A104" s="517">
        <v>32</v>
      </c>
      <c r="B104" s="3295"/>
      <c r="C104" s="508" t="s">
        <v>2773</v>
      </c>
      <c r="D104" s="508" t="s">
        <v>2774</v>
      </c>
      <c r="E104" s="517">
        <v>0.1</v>
      </c>
      <c r="F104" s="517">
        <v>15</v>
      </c>
    </row>
    <row r="105" spans="1:6" ht="24">
      <c r="A105" s="517">
        <v>33</v>
      </c>
      <c r="B105" s="3295"/>
      <c r="C105" s="508" t="s">
        <v>2775</v>
      </c>
      <c r="D105" s="508" t="s">
        <v>2776</v>
      </c>
      <c r="E105" s="517">
        <v>0.1</v>
      </c>
      <c r="F105" s="517">
        <v>15</v>
      </c>
    </row>
    <row r="106" spans="1:6" ht="24">
      <c r="A106" s="517">
        <v>34</v>
      </c>
      <c r="B106" s="3296"/>
      <c r="C106" s="508" t="s">
        <v>2777</v>
      </c>
      <c r="D106" s="508" t="s">
        <v>2778</v>
      </c>
      <c r="E106" s="517">
        <v>0.1</v>
      </c>
      <c r="F106" s="517">
        <v>15</v>
      </c>
    </row>
    <row r="107" spans="1:6" ht="24">
      <c r="A107" s="517">
        <v>35</v>
      </c>
      <c r="B107" s="3294" t="s">
        <v>469</v>
      </c>
      <c r="C107" s="517" t="s">
        <v>470</v>
      </c>
      <c r="D107" s="508" t="s">
        <v>2779</v>
      </c>
      <c r="E107" s="517">
        <v>0.15</v>
      </c>
      <c r="F107" s="517">
        <v>20</v>
      </c>
    </row>
    <row r="108" spans="1:6">
      <c r="A108" s="517">
        <v>36</v>
      </c>
      <c r="B108" s="3295"/>
      <c r="C108" s="517" t="s">
        <v>2781</v>
      </c>
      <c r="D108" s="508" t="s">
        <v>2782</v>
      </c>
      <c r="E108" s="517">
        <v>0.15</v>
      </c>
      <c r="F108" s="517">
        <v>20</v>
      </c>
    </row>
    <row r="109" spans="1:6">
      <c r="A109" s="517">
        <v>37</v>
      </c>
      <c r="B109" s="3295"/>
      <c r="C109" s="517" t="s">
        <v>2780</v>
      </c>
      <c r="D109" s="508" t="s">
        <v>2787</v>
      </c>
      <c r="E109" s="517">
        <v>0.15</v>
      </c>
      <c r="F109" s="517">
        <v>20</v>
      </c>
    </row>
    <row r="110" spans="1:6">
      <c r="A110" s="517">
        <v>38</v>
      </c>
      <c r="B110" s="3295"/>
      <c r="C110" s="517" t="s">
        <v>2783</v>
      </c>
      <c r="D110" s="508" t="s">
        <v>2788</v>
      </c>
      <c r="E110" s="517">
        <v>0.1</v>
      </c>
      <c r="F110" s="517">
        <v>15</v>
      </c>
    </row>
    <row r="111" spans="1:6" ht="24">
      <c r="A111" s="517">
        <v>39</v>
      </c>
      <c r="B111" s="3295"/>
      <c r="C111" s="517" t="s">
        <v>2784</v>
      </c>
      <c r="D111" s="508" t="s">
        <v>2785</v>
      </c>
      <c r="E111" s="517">
        <v>0.1</v>
      </c>
      <c r="F111" s="517">
        <v>15</v>
      </c>
    </row>
    <row r="112" spans="1:6" ht="24">
      <c r="A112" s="517">
        <v>40</v>
      </c>
      <c r="B112" s="3296"/>
      <c r="C112" s="517" t="s">
        <v>2786</v>
      </c>
      <c r="D112" s="508" t="s">
        <v>2789</v>
      </c>
      <c r="E112" s="517">
        <v>0.1</v>
      </c>
      <c r="F112" s="517">
        <v>15</v>
      </c>
    </row>
    <row r="113" spans="1:6">
      <c r="A113" s="517">
        <v>41</v>
      </c>
      <c r="B113" s="3293" t="s">
        <v>471</v>
      </c>
      <c r="C113" s="517" t="s">
        <v>472</v>
      </c>
      <c r="D113" s="508" t="s">
        <v>473</v>
      </c>
      <c r="E113" s="517">
        <v>0.1</v>
      </c>
      <c r="F113" s="517">
        <v>15</v>
      </c>
    </row>
    <row r="114" spans="1:6">
      <c r="A114" s="517">
        <v>42</v>
      </c>
      <c r="B114" s="3293"/>
      <c r="C114" s="517" t="s">
        <v>474</v>
      </c>
      <c r="D114" s="508" t="s">
        <v>475</v>
      </c>
      <c r="E114" s="517">
        <v>0.1</v>
      </c>
      <c r="F114" s="517">
        <v>15</v>
      </c>
    </row>
    <row r="115" spans="1:6" ht="24">
      <c r="A115" s="517">
        <v>43</v>
      </c>
      <c r="B115" s="3293"/>
      <c r="C115" s="517" t="s">
        <v>2790</v>
      </c>
      <c r="D115" s="508" t="s">
        <v>2791</v>
      </c>
      <c r="E115" s="517">
        <v>0.1</v>
      </c>
      <c r="F115" s="517">
        <v>15</v>
      </c>
    </row>
    <row r="116" spans="1:6">
      <c r="A116" s="517">
        <v>44</v>
      </c>
      <c r="B116" s="3294" t="s">
        <v>476</v>
      </c>
      <c r="C116" s="517" t="s">
        <v>2792</v>
      </c>
      <c r="D116" s="508" t="s">
        <v>2793</v>
      </c>
      <c r="E116" s="517">
        <v>0.1</v>
      </c>
      <c r="F116" s="517">
        <v>15</v>
      </c>
    </row>
    <row r="117" spans="1:6" ht="24">
      <c r="A117" s="517">
        <v>45</v>
      </c>
      <c r="B117" s="3296"/>
      <c r="C117" s="508" t="s">
        <v>2794</v>
      </c>
      <c r="D117" s="508" t="s">
        <v>2795</v>
      </c>
      <c r="E117" s="517">
        <v>0.1</v>
      </c>
      <c r="F117" s="517">
        <v>15</v>
      </c>
    </row>
    <row r="118" spans="1:6" ht="24">
      <c r="A118" s="517">
        <v>46</v>
      </c>
      <c r="B118" s="3294" t="s">
        <v>477</v>
      </c>
      <c r="C118" s="517" t="s">
        <v>2798</v>
      </c>
      <c r="D118" s="508" t="s">
        <v>2796</v>
      </c>
      <c r="E118" s="517">
        <v>0.1</v>
      </c>
      <c r="F118" s="517">
        <v>15</v>
      </c>
    </row>
    <row r="119" spans="1:6" ht="24">
      <c r="A119" s="517">
        <v>47</v>
      </c>
      <c r="B119" s="3296"/>
      <c r="C119" s="517" t="s">
        <v>2797</v>
      </c>
      <c r="D119" s="508" t="s">
        <v>2799</v>
      </c>
      <c r="E119" s="517">
        <v>0.1</v>
      </c>
      <c r="F119" s="517">
        <v>15</v>
      </c>
    </row>
    <row r="120" spans="1:6">
      <c r="A120" s="517">
        <v>48</v>
      </c>
      <c r="B120" s="3294" t="s">
        <v>478</v>
      </c>
      <c r="C120" s="517" t="s">
        <v>479</v>
      </c>
      <c r="D120" s="508" t="s">
        <v>480</v>
      </c>
      <c r="E120" s="517">
        <v>0.1</v>
      </c>
      <c r="F120" s="517">
        <v>15</v>
      </c>
    </row>
    <row r="121" spans="1:6">
      <c r="A121" s="517">
        <v>49</v>
      </c>
      <c r="B121" s="3296"/>
      <c r="C121" s="517" t="s">
        <v>2800</v>
      </c>
      <c r="D121" s="508" t="s">
        <v>2801</v>
      </c>
      <c r="E121" s="517">
        <v>0.1</v>
      </c>
      <c r="F121" s="517">
        <v>15</v>
      </c>
    </row>
    <row r="122" spans="1:6" ht="24">
      <c r="A122" s="517">
        <v>50</v>
      </c>
      <c r="B122" s="3293" t="s">
        <v>481</v>
      </c>
      <c r="C122" s="517" t="s">
        <v>482</v>
      </c>
      <c r="D122" s="508" t="s">
        <v>483</v>
      </c>
      <c r="E122" s="517">
        <v>0.1</v>
      </c>
      <c r="F122" s="517">
        <v>15</v>
      </c>
    </row>
    <row r="123" spans="1:6" ht="24">
      <c r="A123" s="517">
        <v>51</v>
      </c>
      <c r="B123" s="3293"/>
      <c r="C123" s="517" t="s">
        <v>484</v>
      </c>
      <c r="D123" s="508" t="s">
        <v>485</v>
      </c>
      <c r="E123" s="517">
        <v>0.1</v>
      </c>
      <c r="F123" s="517">
        <v>15</v>
      </c>
    </row>
    <row r="124" spans="1:6" ht="24">
      <c r="A124" s="517">
        <v>52</v>
      </c>
      <c r="B124" s="3293" t="s">
        <v>486</v>
      </c>
      <c r="C124" s="517" t="s">
        <v>487</v>
      </c>
      <c r="D124" s="508" t="s">
        <v>2802</v>
      </c>
      <c r="E124" s="517">
        <v>0.1</v>
      </c>
      <c r="F124" s="517">
        <v>15</v>
      </c>
    </row>
    <row r="125" spans="1:6" ht="24">
      <c r="A125" s="517">
        <v>53</v>
      </c>
      <c r="B125" s="329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3" t="s">
        <v>494</v>
      </c>
      <c r="C127" s="517" t="s">
        <v>497</v>
      </c>
      <c r="D127" s="508" t="s">
        <v>498</v>
      </c>
      <c r="E127" s="517">
        <v>0.1</v>
      </c>
      <c r="F127" s="517">
        <v>15</v>
      </c>
    </row>
    <row r="128" spans="1:6">
      <c r="A128" s="517">
        <v>56</v>
      </c>
      <c r="B128" s="3293"/>
      <c r="C128" s="517" t="s">
        <v>499</v>
      </c>
      <c r="D128" s="508" t="s">
        <v>500</v>
      </c>
      <c r="E128" s="517">
        <v>0.1</v>
      </c>
      <c r="F128" s="517">
        <v>15</v>
      </c>
    </row>
    <row r="129" spans="1:6" ht="24">
      <c r="A129" s="517">
        <v>57</v>
      </c>
      <c r="B129" s="3293"/>
      <c r="C129" s="517" t="s">
        <v>495</v>
      </c>
      <c r="D129" s="508" t="s">
        <v>496</v>
      </c>
      <c r="E129" s="517">
        <v>0.1</v>
      </c>
      <c r="F129" s="517">
        <v>15</v>
      </c>
    </row>
    <row r="130" spans="1:6" ht="24">
      <c r="A130" s="517">
        <v>58</v>
      </c>
      <c r="B130" s="3293" t="s">
        <v>493</v>
      </c>
      <c r="C130" s="517" t="s">
        <v>2803</v>
      </c>
      <c r="D130" s="508" t="s">
        <v>2804</v>
      </c>
      <c r="E130" s="517">
        <v>0.1</v>
      </c>
      <c r="F130" s="517">
        <v>15</v>
      </c>
    </row>
    <row r="131" spans="1:6">
      <c r="A131" s="517">
        <v>59</v>
      </c>
      <c r="B131" s="3293"/>
      <c r="C131" s="517" t="s">
        <v>2805</v>
      </c>
      <c r="D131" s="508" t="s">
        <v>2806</v>
      </c>
      <c r="E131" s="517">
        <v>0.1</v>
      </c>
      <c r="F131" s="517">
        <v>15</v>
      </c>
    </row>
    <row r="132" spans="1:6">
      <c r="A132" s="517">
        <v>60</v>
      </c>
      <c r="B132" s="3294" t="s">
        <v>504</v>
      </c>
      <c r="C132" s="517" t="s">
        <v>505</v>
      </c>
      <c r="D132" s="508" t="s">
        <v>2809</v>
      </c>
      <c r="E132" s="517">
        <v>0.1</v>
      </c>
      <c r="F132" s="517">
        <v>15</v>
      </c>
    </row>
    <row r="133" spans="1:6">
      <c r="A133" s="517">
        <v>61</v>
      </c>
      <c r="B133" s="329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93" t="s">
        <v>506</v>
      </c>
      <c r="C135" s="517" t="s">
        <v>507</v>
      </c>
      <c r="D135" s="508" t="s">
        <v>2811</v>
      </c>
      <c r="E135" s="517">
        <v>0.1</v>
      </c>
      <c r="F135" s="517">
        <v>15</v>
      </c>
    </row>
    <row r="136" spans="1:6">
      <c r="A136" s="517">
        <v>64</v>
      </c>
      <c r="B136" s="329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0.91979999999999995</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0.87119999999999997</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123000</v>
      </c>
      <c r="C2" s="2543" t="s">
        <v>2332</v>
      </c>
      <c r="D2" s="2543" t="s">
        <v>2333</v>
      </c>
      <c r="E2" s="2544">
        <f ca="1">SUMIF(E6:E13,"&lt;&gt;#ref!",E6:E13)</f>
        <v>38142.979999999996</v>
      </c>
      <c r="F2" s="2542"/>
      <c r="G2" s="2542"/>
      <c r="H2" s="2542"/>
      <c r="I2" s="2542"/>
      <c r="J2" s="2542"/>
      <c r="K2" s="2542"/>
      <c r="L2" s="2542"/>
      <c r="M2" s="2542"/>
      <c r="N2" s="2542"/>
      <c r="O2" s="2542"/>
      <c r="P2" s="2542"/>
    </row>
    <row r="3" spans="1:16" ht="15.75">
      <c r="A3" s="2543" t="s">
        <v>2334</v>
      </c>
      <c r="B3" s="1704">
        <f ca="1">ROUND(B2*10000/E2,0)</f>
        <v>32247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123000</v>
      </c>
      <c r="C6" s="2543" t="s">
        <v>2332</v>
      </c>
      <c r="D6" s="2542"/>
      <c r="E6" s="2544">
        <f ca="1">SUMIF(INDIRECT("'"&amp;A6&amp;"'"&amp;"!C:C"),"建筑面积",INDIRECT("'"&amp;A6&amp;"'"&amp;"!D:D"))</f>
        <v>38142.979999999996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307" t="s">
        <v>670</v>
      </c>
      <c r="C1" s="3307"/>
      <c r="D1" s="3307"/>
      <c r="E1" s="3307"/>
      <c r="F1" s="3307"/>
      <c r="G1" s="3307"/>
      <c r="H1" s="3306" t="s">
        <v>671</v>
      </c>
      <c r="I1" s="3306"/>
      <c r="J1" s="3306"/>
      <c r="K1" s="3306"/>
      <c r="L1" s="3306"/>
      <c r="M1" s="3306"/>
      <c r="N1" s="2552"/>
      <c r="O1" s="3306" t="s">
        <v>672</v>
      </c>
      <c r="P1" s="3306"/>
      <c r="Q1" s="3306"/>
      <c r="R1" s="3306"/>
      <c r="S1" s="2552"/>
      <c r="T1" s="3306" t="s">
        <v>673</v>
      </c>
      <c r="U1" s="3306"/>
      <c r="V1" s="3306"/>
      <c r="W1" s="3306"/>
      <c r="X1" s="2552"/>
      <c r="Y1" s="3305" t="s">
        <v>674</v>
      </c>
      <c r="Z1" s="3306"/>
      <c r="AA1" s="3306"/>
      <c r="AB1" s="3306"/>
      <c r="AC1" s="3306"/>
      <c r="AD1" s="3306"/>
      <c r="AE1" s="2552"/>
      <c r="AF1" s="3305" t="s">
        <v>675</v>
      </c>
      <c r="AG1" s="3306"/>
      <c r="AH1" s="3306"/>
      <c r="AI1" s="3306"/>
      <c r="AJ1" s="3306"/>
      <c r="AK1" s="330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30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30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30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1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30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30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1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30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30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30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30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30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30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30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1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1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30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30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30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30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30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30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30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30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30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30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30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30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30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30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30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30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30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30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30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30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30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30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30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30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30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30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30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30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30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30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30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304">
        <v>2003</v>
      </c>
      <c r="I85" s="2633">
        <v>1</v>
      </c>
    </row>
    <row r="86" spans="1:31" ht="13.5" hidden="1" thickBot="1">
      <c r="A86" s="2574" t="s">
        <v>726</v>
      </c>
      <c r="B86" s="2611">
        <v>106</v>
      </c>
      <c r="C86" s="2611">
        <v>107</v>
      </c>
      <c r="D86" s="2611">
        <f t="shared" si="210"/>
        <v>107</v>
      </c>
      <c r="E86" s="2611"/>
      <c r="F86" s="2611">
        <v>105</v>
      </c>
      <c r="G86" s="2612">
        <v>102</v>
      </c>
      <c r="H86" s="330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30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30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30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6" t="s">
        <v>2342</v>
      </c>
      <c r="D1" s="3317"/>
      <c r="E1" s="3317"/>
      <c r="F1" s="3317"/>
      <c r="G1" s="3317"/>
      <c r="H1" s="3317"/>
      <c r="I1" s="3317"/>
      <c r="J1" s="3317"/>
      <c r="K1" s="3317"/>
      <c r="L1" s="3317"/>
      <c r="M1" s="3317"/>
      <c r="N1" s="3317"/>
      <c r="O1" s="3317"/>
      <c r="P1" s="3317"/>
      <c r="Q1" s="3317"/>
      <c r="R1" s="3317"/>
      <c r="S1" s="331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3" t="s">
        <v>30</v>
      </c>
      <c r="D22" s="3314"/>
      <c r="E22" s="3314"/>
      <c r="F22" s="3314"/>
      <c r="G22" s="3314"/>
      <c r="H22" s="3314"/>
      <c r="I22" s="3314"/>
      <c r="J22" s="3314"/>
      <c r="K22" s="3314"/>
      <c r="L22" s="3314"/>
      <c r="M22" s="3314"/>
      <c r="N22" s="3314"/>
      <c r="O22" s="3314"/>
      <c r="P22" s="3314"/>
      <c r="Q22" s="331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2776"/>
      <c r="B4" s="3004" t="s">
        <v>1134</v>
      </c>
      <c r="C4" s="3004"/>
      <c r="D4" s="3004"/>
      <c r="E4" s="2776"/>
    </row>
    <row r="5" spans="1:5" ht="16.5" thickTop="1">
      <c r="A5" s="2774"/>
      <c r="B5" s="3002" t="s">
        <v>1126</v>
      </c>
      <c r="C5" s="2777" t="s">
        <v>1127</v>
      </c>
      <c r="D5" s="2778" t="e">
        <f ca="1">结果表!H101</f>
        <v>#REF!</v>
      </c>
      <c r="E5" s="2774"/>
    </row>
    <row r="6" spans="1:5" ht="15.75">
      <c r="A6" s="2774"/>
      <c r="B6" s="3002"/>
      <c r="C6" s="2777" t="s">
        <v>1128</v>
      </c>
      <c r="D6" s="2778" t="e">
        <f ca="1">NUMBERSTRING(INT(D5*10000),2)&amp;"元整"</f>
        <v>#REF!</v>
      </c>
      <c r="E6" s="2774"/>
    </row>
    <row r="7" spans="1:5" ht="15.75">
      <c r="A7" s="2774"/>
      <c r="B7" s="3007"/>
      <c r="C7" s="2779" t="s">
        <v>1129</v>
      </c>
      <c r="D7" s="2780" t="e">
        <f ca="1">结果表!H102</f>
        <v>#REF!</v>
      </c>
      <c r="E7" s="2774"/>
    </row>
    <row r="8" spans="1:5" ht="15.75">
      <c r="A8" s="2774"/>
      <c r="B8" s="3008" t="str">
        <f>结果表!E103</f>
        <v>2.估价师知悉的法定优先受偿款</v>
      </c>
      <c r="C8" s="2781" t="s">
        <v>1130</v>
      </c>
      <c r="D8" s="2780">
        <f>结果表!H103</f>
        <v>0</v>
      </c>
      <c r="E8" s="2774"/>
    </row>
    <row r="9" spans="1:5" ht="15.75">
      <c r="A9" s="2774"/>
      <c r="B9" s="301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3001" t="str">
        <f>结果表!E107</f>
        <v>3.房地产抵押价值</v>
      </c>
      <c r="C13" s="2785" t="s">
        <v>1127</v>
      </c>
      <c r="D13" s="2786" t="e">
        <f ca="1">结果表!H107</f>
        <v>#REF!</v>
      </c>
      <c r="E13" s="2774"/>
    </row>
    <row r="14" spans="1:5" ht="15.75">
      <c r="A14" s="2774"/>
      <c r="B14" s="3002"/>
      <c r="C14" s="2777" t="s">
        <v>1128</v>
      </c>
      <c r="D14" s="2778" t="e">
        <f ca="1">NUMBERSTRING(INT(D13*10000),2)&amp;"元整"</f>
        <v>#REF!</v>
      </c>
      <c r="E14" s="2774"/>
    </row>
    <row r="15" spans="1:5" ht="15">
      <c r="A15" s="2774"/>
      <c r="B15" s="3007"/>
      <c r="C15" s="2779" t="s">
        <v>1138</v>
      </c>
      <c r="D15" s="2787" t="e">
        <f ca="1">结果表!H108</f>
        <v>#REF!</v>
      </c>
      <c r="E15" s="2774"/>
    </row>
    <row r="16" spans="1:5" ht="15">
      <c r="A16" s="2774"/>
      <c r="B16" s="3008" t="str">
        <f>结果表!E109</f>
        <v>——</v>
      </c>
      <c r="C16" s="2785" t="s">
        <v>1139</v>
      </c>
      <c r="D16" s="2788" t="str">
        <f>结果表!H109</f>
        <v>——</v>
      </c>
      <c r="E16" s="2774"/>
    </row>
    <row r="17" spans="1:5" ht="15.75">
      <c r="A17" s="2774"/>
      <c r="B17" s="3009"/>
      <c r="C17" s="2777" t="s">
        <v>1140</v>
      </c>
      <c r="D17" s="2778" t="e">
        <f>NUMBERSTRING(INT(D16*10000),2)&amp;"元整"</f>
        <v>#VALUE!</v>
      </c>
      <c r="E17" s="2774"/>
    </row>
    <row r="18" spans="1:5" ht="15">
      <c r="A18" s="2774"/>
      <c r="B18" s="3010"/>
      <c r="C18" s="2779" t="s">
        <v>1129</v>
      </c>
      <c r="D18" s="2787" t="str">
        <f>结果表!H110</f>
        <v>——</v>
      </c>
      <c r="E18" s="2774"/>
    </row>
    <row r="19" spans="1:5" ht="15.75">
      <c r="A19" s="2774"/>
      <c r="B19" s="3001" t="str">
        <f>结果表!E111</f>
        <v>——</v>
      </c>
      <c r="C19" s="2785" t="s">
        <v>1127</v>
      </c>
      <c r="D19" s="2780" t="str">
        <f>结果表!H111</f>
        <v>——</v>
      </c>
      <c r="E19" s="2774"/>
    </row>
    <row r="20" spans="1:5" ht="15.75">
      <c r="A20" s="2774"/>
      <c r="B20" s="3002"/>
      <c r="C20" s="2777" t="s">
        <v>1140</v>
      </c>
      <c r="D20" s="2778" t="e">
        <f>NUMBERSTRING(INT(D19*10000),2)&amp;"元整"</f>
        <v>#VALUE!</v>
      </c>
      <c r="E20" s="2774"/>
    </row>
    <row r="21" spans="1:5" ht="15.75" thickBot="1">
      <c r="A21" s="2774"/>
      <c r="B21" s="300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6" t="s">
        <v>97</v>
      </c>
    </row>
    <row r="43" spans="1:7" ht="13.5" customHeight="1">
      <c r="A43" s="1179" t="s">
        <v>555</v>
      </c>
      <c r="B43" s="1155" t="s">
        <v>644</v>
      </c>
      <c r="C43" s="1180" t="e">
        <f ca="1">ROUND(IF('数据-取费表'!B22&lt;=1,C39*F22*'数据-取费表'!B21/2,C39*(POWER((1+F22),'数据-取费表'!B21/2)-1)),0)</f>
        <v>#VALUE!</v>
      </c>
      <c r="D43" s="1180"/>
      <c r="E43" s="1180"/>
      <c r="F43" s="1181"/>
      <c r="G43" s="3177"/>
    </row>
    <row r="44" spans="1:7" ht="13.5" customHeight="1">
      <c r="A44" s="1179" t="s">
        <v>556</v>
      </c>
      <c r="B44" s="1155" t="s">
        <v>646</v>
      </c>
      <c r="C44" s="1180" t="e">
        <f ca="1">ROUND(IF('数据-取费表'!B22&lt;=1,C40*F22*'数据-取费表'!B21/2,C40*(POWER((1+F22),'数据-取费表'!B21/2)-1)),4)</f>
        <v>#VALUE!</v>
      </c>
      <c r="D44" s="1180"/>
      <c r="E44" s="1180"/>
      <c r="F44" s="1181"/>
      <c r="G44" s="317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44818</v>
      </c>
      <c r="B1" s="2748" t="s">
        <v>3086</v>
      </c>
      <c r="C1" s="2749"/>
      <c r="D1" s="2749"/>
      <c r="E1" s="2749"/>
      <c r="F1" s="2749"/>
      <c r="G1" s="2749"/>
      <c r="H1" s="2749"/>
      <c r="I1" s="2749"/>
      <c r="J1" s="2552"/>
      <c r="K1" s="2749" t="s">
        <v>672</v>
      </c>
      <c r="L1" s="2749"/>
      <c r="M1" s="2749"/>
      <c r="N1" s="2749"/>
      <c r="O1" s="2749"/>
      <c r="P1" s="2749"/>
      <c r="Q1" s="2552"/>
      <c r="R1" s="3305" t="s">
        <v>674</v>
      </c>
      <c r="S1" s="3306"/>
      <c r="T1" s="3306"/>
      <c r="U1" s="3306"/>
      <c r="V1" s="3306"/>
      <c r="W1" s="3306"/>
      <c r="X1" s="2552"/>
      <c r="Y1" s="3305" t="s">
        <v>675</v>
      </c>
      <c r="Z1" s="3306"/>
      <c r="AA1" s="3306"/>
      <c r="AB1" s="3306"/>
      <c r="AC1" s="3306"/>
      <c r="AD1" s="330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305" t="s">
        <v>674</v>
      </c>
      <c r="S18" s="3306"/>
      <c r="T18" s="3306"/>
      <c r="U18" s="3306"/>
      <c r="V18" s="3306"/>
      <c r="W18" s="3306"/>
      <c r="X18" s="2552"/>
      <c r="Y18" s="3305" t="s">
        <v>675</v>
      </c>
      <c r="Z18" s="3306"/>
      <c r="AA18" s="3306"/>
      <c r="AB18" s="3306"/>
      <c r="AC18" s="3306"/>
      <c r="AD18" s="330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9" t="s">
        <v>3039</v>
      </c>
      <c r="B1" s="3319"/>
      <c r="C1" s="3319"/>
      <c r="D1" s="3319"/>
      <c r="E1" s="3319"/>
      <c r="F1" s="3319"/>
      <c r="G1" s="332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2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2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3" t="s">
        <v>601</v>
      </c>
      <c r="B1" s="332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24" t="s">
        <v>2706</v>
      </c>
      <c r="B1" s="3324"/>
      <c r="C1" s="3324"/>
      <c r="D1" s="3324"/>
      <c r="E1" s="3324"/>
      <c r="F1" s="332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1145</v>
      </c>
      <c r="B2" s="3019" t="s">
        <v>1146</v>
      </c>
      <c r="C2" s="3019" t="s">
        <v>1147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4"/>
      <c r="B3" s="3014"/>
      <c r="C3" s="301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14" t="s">
        <v>1144</v>
      </c>
      <c r="B5" s="3014"/>
      <c r="C5" s="3014"/>
      <c r="D5" s="3014" t="e">
        <f ca="1">结果表!D119</f>
        <v>#REF!</v>
      </c>
      <c r="E5" s="3014"/>
      <c r="F5" s="3014" t="e">
        <f ca="1">结果表!F119</f>
        <v>#REF!</v>
      </c>
      <c r="G5" s="3014"/>
      <c r="H5" s="3014" t="e">
        <f ca="1">结果表!H119</f>
        <v>#REF!</v>
      </c>
      <c r="I5" s="3014"/>
    </row>
    <row r="6" spans="1:9" ht="15.75">
      <c r="A6" s="3013" t="str">
        <f>结果表!A120</f>
        <v>估价师知悉的法定优先受偿款</v>
      </c>
      <c r="B6" s="3013"/>
      <c r="C6" s="3013"/>
      <c r="D6" s="3013">
        <f>结果表!D120</f>
        <v>0</v>
      </c>
      <c r="E6" s="3013"/>
      <c r="F6" s="3013"/>
      <c r="G6" s="3013"/>
      <c r="H6" s="3013"/>
      <c r="I6" s="3013"/>
    </row>
    <row r="7" spans="1:9" ht="15">
      <c r="A7" s="3014" t="s">
        <v>1144</v>
      </c>
      <c r="B7" s="3014"/>
      <c r="C7" s="3014"/>
      <c r="D7" s="3015" t="str">
        <f>结果表!D121</f>
        <v>零元整</v>
      </c>
      <c r="E7" s="3016"/>
      <c r="F7" s="3016"/>
      <c r="G7" s="3016"/>
      <c r="H7" s="3016"/>
      <c r="I7" s="3017"/>
    </row>
    <row r="8" spans="1:9" ht="15.75">
      <c r="A8" s="3013" t="str">
        <f>结果表!A122</f>
        <v>房地产抵押价值</v>
      </c>
      <c r="B8" s="3013"/>
      <c r="C8" s="3013"/>
      <c r="D8" s="3013" t="e">
        <f ca="1">结果表!D122</f>
        <v>#REF!</v>
      </c>
      <c r="E8" s="3013"/>
      <c r="F8" s="3013"/>
      <c r="G8" s="3013"/>
      <c r="H8" s="3013"/>
      <c r="I8" s="3013"/>
    </row>
    <row r="9" spans="1:9" ht="15">
      <c r="A9" s="3014" t="s">
        <v>1144</v>
      </c>
      <c r="B9" s="3014"/>
      <c r="C9" s="3014"/>
      <c r="D9" s="3014" t="e">
        <f ca="1">结果表!D123</f>
        <v>#REF!</v>
      </c>
      <c r="E9" s="3014"/>
      <c r="F9" s="3014"/>
      <c r="G9" s="3014"/>
      <c r="H9" s="3014"/>
      <c r="I9" s="3014"/>
    </row>
    <row r="10" spans="1:9" ht="15.75">
      <c r="A10" s="3013" t="str">
        <f>结果表!A124</f>
        <v/>
      </c>
      <c r="B10" s="3013"/>
      <c r="C10" s="3013"/>
      <c r="D10" s="3013" t="str">
        <f>结果表!D124</f>
        <v>——</v>
      </c>
      <c r="E10" s="3013"/>
      <c r="F10" s="3013"/>
      <c r="G10" s="3013"/>
      <c r="H10" s="3013"/>
      <c r="I10" s="3013"/>
    </row>
    <row r="11" spans="1:9" ht="15">
      <c r="A11" s="3014" t="s">
        <v>1144</v>
      </c>
      <c r="B11" s="3014"/>
      <c r="C11" s="3014"/>
      <c r="D11" s="3014" t="e">
        <f>结果表!D125</f>
        <v>#VALUE!</v>
      </c>
      <c r="E11" s="3014"/>
      <c r="F11" s="3014"/>
      <c r="G11" s="3014"/>
      <c r="H11" s="3014"/>
      <c r="I11" s="3014"/>
    </row>
    <row r="12" spans="1:9" ht="15.75">
      <c r="A12" s="3013" t="str">
        <f>结果表!A126</f>
        <v/>
      </c>
      <c r="B12" s="3013"/>
      <c r="C12" s="3013"/>
      <c r="D12" s="3013" t="str">
        <f>结果表!D126</f>
        <v>——</v>
      </c>
      <c r="E12" s="3013"/>
      <c r="F12" s="3013"/>
      <c r="G12" s="3013"/>
      <c r="H12" s="3013"/>
      <c r="I12" s="3013"/>
    </row>
    <row r="13" spans="1:9" ht="15.75" thickBot="1">
      <c r="A13" s="3011" t="s">
        <v>1144</v>
      </c>
      <c r="B13" s="3011"/>
      <c r="C13" s="3011"/>
      <c r="D13" s="3011" t="e">
        <f>结果表!D127</f>
        <v>#VALUE!</v>
      </c>
      <c r="E13" s="3011"/>
      <c r="F13" s="3011"/>
      <c r="G13" s="3011"/>
      <c r="H13" s="3011"/>
      <c r="I13" s="3011"/>
    </row>
    <row r="14" spans="1:9" ht="15" thickTop="1">
      <c r="A14" s="3012" t="s">
        <v>1149</v>
      </c>
      <c r="B14" s="3012"/>
      <c r="C14" s="3012"/>
      <c r="D14" s="3012"/>
      <c r="E14" s="3012"/>
      <c r="F14" s="3012"/>
      <c r="G14" s="3012"/>
      <c r="H14" s="3012"/>
      <c r="I14" s="301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6" t="s">
        <v>1166</v>
      </c>
      <c r="B1" s="3026"/>
      <c r="C1" s="3026"/>
      <c r="D1" s="3026"/>
    </row>
    <row r="2" spans="1:4" ht="18">
      <c r="A2" s="3027" t="s">
        <v>1150</v>
      </c>
      <c r="B2" s="3027"/>
      <c r="C2" s="3027"/>
      <c r="D2" s="302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27" t="s">
        <v>1156</v>
      </c>
      <c r="B6" s="3027"/>
      <c r="C6" s="3027"/>
      <c r="D6" s="302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28" t="s">
        <v>1159</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0" t="str">
        <f>IF(项目基本情况!B8="抵押","3.抵押双方在办理抵押登记手续时，应使用本公司出具的正式《房地产评估报告》，特提醒报告使用者注意。","——")</f>
        <v>——</v>
      </c>
      <c r="B13" s="3025"/>
      <c r="C13" s="3025"/>
      <c r="D13" s="3025"/>
    </row>
    <row r="14" spans="1:4" ht="15.75" customHeight="1">
      <c r="A14" s="3020" t="str">
        <f>IF(项目基本情况!B8="抵押","4.本次评估估价师所知悉的法定优先受偿款情况说明如下：","——")</f>
        <v>——</v>
      </c>
      <c r="B14" s="3025"/>
      <c r="C14" s="3025"/>
      <c r="D14" s="3025"/>
    </row>
    <row r="15" spans="1:4" ht="42" customHeight="1">
      <c r="A15" s="3020" t="str">
        <f>IF(项目基本情况!B8="抵押","（1）"&amp;CONCATENATE(项目基本情况!L20,项目基本情况!L21,项目基本情况!L22),"——")</f>
        <v>——</v>
      </c>
      <c r="B15" s="3020"/>
      <c r="C15" s="3020"/>
      <c r="D15" s="3020"/>
    </row>
    <row r="16" spans="1:4" ht="30" customHeight="1">
      <c r="A16" s="3022" t="s">
        <v>1160</v>
      </c>
      <c r="B16" s="3022"/>
      <c r="C16" s="3022"/>
      <c r="D16" s="3022"/>
    </row>
    <row r="17" spans="1:4" ht="144" customHeight="1">
      <c r="A17" s="3022" t="s">
        <v>1161</v>
      </c>
      <c r="B17" s="3022"/>
      <c r="C17" s="3022"/>
      <c r="D17" s="3022"/>
    </row>
    <row r="18" spans="1:4" ht="15.75" customHeight="1">
      <c r="A18" s="3020" t="str">
        <f>IF(项目基本情况!B8="抵押",结果表!K120,"——")</f>
        <v>——</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1162</v>
      </c>
      <c r="B22" s="3024"/>
      <c r="C22" s="3024"/>
      <c r="D22" s="302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21">
        <v>42551</v>
      </c>
      <c r="D31" s="302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4" t="s">
        <v>1173</v>
      </c>
      <c r="B15" s="3029" t="s">
        <v>112</v>
      </c>
      <c r="C15" s="3030"/>
    </row>
    <row r="16" spans="1:7" ht="13.5">
      <c r="A16" s="3035"/>
      <c r="B16" s="3029" t="s">
        <v>45</v>
      </c>
      <c r="C16" s="3030"/>
    </row>
    <row r="17" spans="1:3" ht="13.5">
      <c r="A17" s="3035"/>
      <c r="B17" s="3032" t="s">
        <v>1174</v>
      </c>
      <c r="C17" s="203" t="s">
        <v>1173</v>
      </c>
    </row>
    <row r="18" spans="1:3" ht="13.5">
      <c r="A18" s="3035"/>
      <c r="B18" s="3032"/>
      <c r="C18" s="203" t="s">
        <v>1175</v>
      </c>
    </row>
    <row r="19" spans="1:3" ht="13.5">
      <c r="A19" s="3035"/>
      <c r="B19" s="3032"/>
      <c r="C19" s="203" t="s">
        <v>1176</v>
      </c>
    </row>
    <row r="20" spans="1:3" ht="13.5">
      <c r="A20" s="3036"/>
      <c r="B20" s="3031" t="s">
        <v>1177</v>
      </c>
      <c r="C20" s="3030"/>
    </row>
    <row r="21" spans="1:3" ht="13.5">
      <c r="A21" s="204" t="s">
        <v>1178</v>
      </c>
      <c r="B21" s="205"/>
      <c r="C21" s="206"/>
    </row>
    <row r="22" spans="1:3" ht="13.5">
      <c r="A22" s="3033" t="s">
        <v>1179</v>
      </c>
      <c r="B22" s="3031" t="s">
        <v>1180</v>
      </c>
      <c r="C22" s="3030"/>
    </row>
    <row r="23" spans="1:3" ht="13.5">
      <c r="A23" s="3033"/>
      <c r="B23" s="3031" t="s">
        <v>1181</v>
      </c>
      <c r="C23" s="3030"/>
    </row>
    <row r="24" spans="1:3" ht="13.5">
      <c r="A24" s="3033"/>
      <c r="B24" s="3031" t="s">
        <v>1182</v>
      </c>
      <c r="C24" s="3030"/>
    </row>
    <row r="25" spans="1:3" ht="13.5">
      <c r="A25" s="3033"/>
      <c r="B25" s="3032" t="s">
        <v>1183</v>
      </c>
      <c r="C25" s="203" t="s">
        <v>1184</v>
      </c>
    </row>
    <row r="26" spans="1:3" ht="13.5">
      <c r="A26" s="3033"/>
      <c r="B26" s="3032"/>
      <c r="C26" s="203" t="s">
        <v>1185</v>
      </c>
    </row>
    <row r="27" spans="1:3" ht="13.5">
      <c r="A27" s="3033"/>
      <c r="B27" s="3032"/>
      <c r="C27" s="203" t="s">
        <v>1186</v>
      </c>
    </row>
    <row r="28" spans="1:3" ht="13.5">
      <c r="A28" s="3033"/>
      <c r="B28" s="3032"/>
      <c r="C28" s="203" t="s">
        <v>1187</v>
      </c>
    </row>
    <row r="29" spans="1:3" ht="13.5">
      <c r="A29" s="3033"/>
      <c r="B29" s="3032"/>
      <c r="C29" s="203" t="s">
        <v>1188</v>
      </c>
    </row>
    <row r="30" spans="1:3" ht="13.5">
      <c r="A30" s="3033"/>
      <c r="B30" s="3032"/>
      <c r="C30" s="203" t="s">
        <v>1189</v>
      </c>
    </row>
    <row r="31" spans="1:3" ht="13.5">
      <c r="A31" s="3033"/>
      <c r="B31" s="3032"/>
      <c r="C31" s="203" t="s">
        <v>1190</v>
      </c>
    </row>
    <row r="32" spans="1:3" ht="13.5">
      <c r="A32" s="3033"/>
      <c r="B32" s="3032"/>
      <c r="C32" s="203" t="s">
        <v>1191</v>
      </c>
    </row>
    <row r="33" spans="1:3" ht="13.5">
      <c r="A33" s="3033"/>
      <c r="B33" s="303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44818</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37" t="s">
        <v>2418</v>
      </c>
      <c r="B17" s="3037"/>
      <c r="C17" s="3037"/>
      <c r="D17" s="3037"/>
      <c r="E17" s="3037"/>
      <c r="F17" s="3037"/>
      <c r="G17" s="3037"/>
      <c r="H17" s="3037"/>
    </row>
    <row r="18" spans="1:8" ht="24" customHeight="1">
      <c r="A18" s="3038" t="s">
        <v>2419</v>
      </c>
      <c r="B18" s="3038"/>
      <c r="C18" s="3038"/>
      <c r="D18" s="570"/>
      <c r="E18" s="3039" t="s">
        <v>2420</v>
      </c>
      <c r="F18" s="3038"/>
      <c r="G18" s="303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2022-09-14T06:38:25Z</dcterms:modified>
</cp:coreProperties>
</file>