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2030" tabRatio="899"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收益法" sheetId="15"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C88" i="9"/>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E9" i="71"/>
  <c r="E8" i="71" s="1"/>
  <c r="M19" i="43"/>
  <c r="J53" i="67"/>
  <c r="D11" i="71"/>
  <c r="AH9" i="71"/>
  <c r="AG9" i="71"/>
  <c r="AE9" i="71"/>
  <c r="AF9" i="71" s="1"/>
  <c r="AD9" i="71"/>
  <c r="AD10" i="71"/>
  <c r="AG10" i="71"/>
  <c r="AH10" i="71"/>
  <c r="AE10" i="71"/>
  <c r="AF10" i="71" s="1"/>
  <c r="N10" i="71"/>
  <c r="Q10" i="71"/>
  <c r="P10" i="71"/>
  <c r="E10" i="71" s="1"/>
  <c r="V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c r="B44" i="72"/>
  <c r="B42" i="72"/>
  <c r="B69" i="72"/>
  <c r="B68" i="72"/>
  <c r="B63" i="72"/>
  <c r="B62" i="72"/>
  <c r="B65" i="72"/>
  <c r="B59" i="72"/>
  <c r="B12"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c r="B41" i="71" s="1"/>
  <c r="B42" i="71" s="1"/>
  <c r="S42" i="71"/>
  <c r="D39" i="71"/>
  <c r="Q38" i="71"/>
  <c r="P38" i="71"/>
  <c r="O38" i="71"/>
  <c r="N38" i="71"/>
  <c r="Q37" i="71"/>
  <c r="P37" i="71"/>
  <c r="O37" i="71"/>
  <c r="N37" i="71"/>
  <c r="Q36" i="71"/>
  <c r="P36" i="71"/>
  <c r="O36" i="71"/>
  <c r="N36" i="71"/>
  <c r="Q35" i="71"/>
  <c r="F36" i="71" s="1"/>
  <c r="F37" i="71" s="1"/>
  <c r="F38" i="71" s="1"/>
  <c r="P35" i="71"/>
  <c r="E36" i="71" s="1"/>
  <c r="E37" i="71"/>
  <c r="E38" i="71" s="1"/>
  <c r="U38" i="71" s="1"/>
  <c r="O35" i="71"/>
  <c r="C36" i="71"/>
  <c r="D36" i="71" s="1"/>
  <c r="N35" i="71"/>
  <c r="B36" i="71"/>
  <c r="B37" i="71" s="1"/>
  <c r="B38" i="7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c r="E30" i="71" s="1"/>
  <c r="U30" i="71" s="1"/>
  <c r="O27" i="71"/>
  <c r="C28" i="71"/>
  <c r="C29" i="71" s="1"/>
  <c r="D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0"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Q18" i="71"/>
  <c r="P18" i="71"/>
  <c r="O18" i="71"/>
  <c r="Y18" i="71"/>
  <c r="Z18" i="71" s="1"/>
  <c r="N18" i="71"/>
  <c r="Q17" i="71"/>
  <c r="P17" i="71"/>
  <c r="O17" i="71"/>
  <c r="N17" i="71"/>
  <c r="Q16" i="71"/>
  <c r="P16" i="71"/>
  <c r="O16" i="71"/>
  <c r="N16" i="71"/>
  <c r="Q15" i="71"/>
  <c r="F16" i="71" s="1"/>
  <c r="P15" i="71"/>
  <c r="O15" i="71"/>
  <c r="N15" i="71"/>
  <c r="D15" i="71"/>
  <c r="O14" i="71"/>
  <c r="N14" i="71"/>
  <c r="B16" i="71"/>
  <c r="B17" i="71" s="1"/>
  <c r="B18" i="71" s="1"/>
  <c r="S18" i="71" s="1"/>
  <c r="B20" i="71"/>
  <c r="B21" i="71" s="1"/>
  <c r="B22" i="71"/>
  <c r="S22" i="71" s="1"/>
  <c r="E24" i="71"/>
  <c r="E25" i="71" s="1"/>
  <c r="E26" i="71" s="1"/>
  <c r="U26" i="71" s="1"/>
  <c r="AA23" i="71"/>
  <c r="N54" i="71"/>
  <c r="E20" i="71"/>
  <c r="AA19" i="71"/>
  <c r="C16" i="71"/>
  <c r="Y15" i="71"/>
  <c r="Z15" i="71" s="1"/>
  <c r="AA18" i="71"/>
  <c r="C20" i="71"/>
  <c r="C21" i="71"/>
  <c r="D21" i="71" s="1"/>
  <c r="X22" i="71"/>
  <c r="C24" i="71"/>
  <c r="C25" i="71" s="1"/>
  <c r="D25" i="71" s="1"/>
  <c r="Y23" i="71"/>
  <c r="Z23" i="71"/>
  <c r="X24" i="71"/>
  <c r="V38" i="71"/>
  <c r="B14" i="71"/>
  <c r="B13" i="71"/>
  <c r="B12" i="71" s="1"/>
  <c r="X11" i="71"/>
  <c r="C17" i="71"/>
  <c r="D16" i="71"/>
  <c r="D20" i="71"/>
  <c r="D24" i="71"/>
  <c r="D28" i="71"/>
  <c r="C37" i="71"/>
  <c r="P14" i="71"/>
  <c r="E41" i="71"/>
  <c r="E42" i="71"/>
  <c r="U42" i="71" s="1"/>
  <c r="E45" i="71"/>
  <c r="E46" i="71" s="1"/>
  <c r="U46" i="71" s="1"/>
  <c r="E49" i="71"/>
  <c r="E50" i="71"/>
  <c r="U50" i="71" s="1"/>
  <c r="Q14" i="71"/>
  <c r="C41" i="71"/>
  <c r="D41" i="71" s="1"/>
  <c r="C45" i="71"/>
  <c r="D45" i="71" s="1"/>
  <c r="C49" i="71"/>
  <c r="C50" i="71" s="1"/>
  <c r="T50" i="71" s="1"/>
  <c r="D48" i="71"/>
  <c r="N53" i="71"/>
  <c r="B52" i="71"/>
  <c r="T54" i="71"/>
  <c r="O54" i="71"/>
  <c r="D54" i="71"/>
  <c r="C53" i="71"/>
  <c r="O53" i="71" s="1"/>
  <c r="Q54" i="71"/>
  <c r="C57" i="71"/>
  <c r="D57" i="71" s="1"/>
  <c r="E57" i="71"/>
  <c r="E56" i="71"/>
  <c r="D58" i="71"/>
  <c r="C61" i="71"/>
  <c r="C60" i="71" s="1"/>
  <c r="D62" i="71"/>
  <c r="C65" i="71"/>
  <c r="E65" i="71"/>
  <c r="E64" i="71"/>
  <c r="D66" i="71"/>
  <c r="C69" i="71"/>
  <c r="D69" i="71" s="1"/>
  <c r="C73" i="71"/>
  <c r="S14" i="71"/>
  <c r="F14" i="71"/>
  <c r="F13" i="71"/>
  <c r="F12" i="71" s="1"/>
  <c r="E14" i="71"/>
  <c r="C52" i="71"/>
  <c r="D52" i="71" s="1"/>
  <c r="D53" i="71"/>
  <c r="D49" i="71"/>
  <c r="C68" i="71"/>
  <c r="D68" i="71" s="1"/>
  <c r="D61" i="71"/>
  <c r="D60" i="71"/>
  <c r="N51" i="71"/>
  <c r="N52" i="71"/>
  <c r="D73" i="71"/>
  <c r="C72" i="71"/>
  <c r="D72" i="71" s="1"/>
  <c r="C56" i="71"/>
  <c r="D56" i="71" s="1"/>
  <c r="C42" i="71"/>
  <c r="T42" i="71" s="1"/>
  <c r="C30" i="71"/>
  <c r="T30" i="71" s="1"/>
  <c r="C26" i="71"/>
  <c r="T26" i="71" s="1"/>
  <c r="C22" i="71"/>
  <c r="T22" i="71" s="1"/>
  <c r="O52" i="71"/>
  <c r="O51" i="71"/>
  <c r="D26" i="71"/>
  <c r="D4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s="1"/>
  <c r="B55" i="43"/>
  <c r="C25" i="40"/>
  <c r="S25" i="40"/>
  <c r="S21" i="34"/>
  <c r="H25" i="40"/>
  <c r="J25" i="40"/>
  <c r="G66" i="36"/>
  <c r="J18" i="36"/>
  <c r="F68" i="35"/>
  <c r="G68" i="35" s="1"/>
  <c r="H18" i="35"/>
  <c r="S18" i="35"/>
  <c r="J18" i="35"/>
  <c r="W18" i="35" s="1"/>
  <c r="H21" i="37"/>
  <c r="U21" i="37" s="1"/>
  <c r="F21" i="37"/>
  <c r="F84" i="34"/>
  <c r="H21" i="34"/>
  <c r="F83" i="33"/>
  <c r="H21" i="33"/>
  <c r="F21" i="33"/>
  <c r="S21" i="33" s="1"/>
  <c r="E83" i="21"/>
  <c r="S21" i="21"/>
  <c r="H1" i="69"/>
  <c r="AC25" i="40"/>
  <c r="W25" i="40"/>
  <c r="AB25" i="40"/>
  <c r="U25" i="40"/>
  <c r="AC18" i="36"/>
  <c r="W18" i="36"/>
  <c r="AB21" i="37"/>
  <c r="AA21" i="37"/>
  <c r="S21" i="37"/>
  <c r="AB21" i="34"/>
  <c r="U21" i="34"/>
  <c r="U21" i="33"/>
  <c r="AB21" i="33"/>
  <c r="AA21" i="33"/>
  <c r="AB18" i="35"/>
  <c r="U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H36" i="39"/>
  <c r="AB36" i="39" s="1"/>
  <c r="J35" i="39"/>
  <c r="F35"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22" i="35"/>
  <c r="U34" i="35"/>
  <c r="F36" i="34"/>
  <c r="J35" i="34"/>
  <c r="S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c r="F21" i="40"/>
  <c r="AA21" i="40"/>
  <c r="J21" i="40"/>
  <c r="W21" i="40"/>
  <c r="H42" i="39"/>
  <c r="AB42" i="39" s="1"/>
  <c r="J34" i="39"/>
  <c r="AC34" i="39" s="1"/>
  <c r="G109" i="39"/>
  <c r="H109" i="39" s="1"/>
  <c r="I109" i="39" s="1"/>
  <c r="J109" i="39" s="1"/>
  <c r="K109" i="39" s="1"/>
  <c r="L109" i="39" s="1"/>
  <c r="M109" i="39" s="1"/>
  <c r="H27" i="39"/>
  <c r="U27" i="39" s="1"/>
  <c r="J19" i="39"/>
  <c r="AC19" i="39" s="1"/>
  <c r="J27" i="39"/>
  <c r="AC27" i="39" s="1"/>
  <c r="F11" i="21"/>
  <c r="S11" i="21" s="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J34" i="36"/>
  <c r="W34"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s="1"/>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AZ558" i="3" s="1"/>
  <c r="BA556" i="3"/>
  <c r="AZ556" i="3" s="1"/>
  <c r="BA554" i="3"/>
  <c r="AZ554" i="3" s="1"/>
  <c r="BA552" i="3"/>
  <c r="BA548" i="3"/>
  <c r="AZ548" i="3" s="1"/>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AC32" i="36"/>
  <c r="AC33" i="36"/>
  <c r="AA12" i="35"/>
  <c r="AB28"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J42" i="39"/>
  <c r="AC42" i="39" s="1"/>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c r="B24" i="72"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s="1"/>
  <c r="AZ380" i="3"/>
  <c r="AZ388" i="3"/>
  <c r="AZ396" i="3"/>
  <c r="AZ499" i="3"/>
  <c r="AZ509" i="3"/>
  <c r="G509" i="3"/>
  <c r="BL493" i="3"/>
  <c r="AZ491" i="3"/>
  <c r="AZ390" i="3"/>
  <c r="AZ493"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6" i="43"/>
  <c r="H82" i="43"/>
  <c r="H87" i="43"/>
  <c r="K9" i="1"/>
  <c r="M9" i="1" s="1"/>
  <c r="AE9" i="1"/>
  <c r="D93" i="9"/>
  <c r="E12" i="6"/>
  <c r="E15" i="6"/>
  <c r="E60" i="40" s="1"/>
  <c r="K6" i="1"/>
  <c r="E13" i="6"/>
  <c r="E58" i="40" s="1"/>
  <c r="G29" i="6"/>
  <c r="E29" i="6"/>
  <c r="AC26" i="33"/>
  <c r="W26" i="33"/>
  <c r="AB34" i="36"/>
  <c r="U34" i="36"/>
  <c r="AB33" i="36"/>
  <c r="U33" i="36"/>
  <c r="AC12" i="39"/>
  <c r="AZ401" i="3"/>
  <c r="AZ412" i="3"/>
  <c r="AZ417" i="3"/>
  <c r="AZ428" i="3"/>
  <c r="AZ433" i="3"/>
  <c r="AZ465" i="3"/>
  <c r="W12" i="33"/>
  <c r="AC12" i="33"/>
  <c r="AA32" i="36"/>
  <c r="S32" i="36"/>
  <c r="AZ408" i="3"/>
  <c r="AZ437" i="3"/>
  <c r="AZ441" i="3"/>
  <c r="AZ457" i="3"/>
  <c r="AZ473" i="3"/>
  <c r="AZ490" i="3"/>
  <c r="AA39" i="34"/>
  <c r="F28" i="6"/>
  <c r="BL14" i="3"/>
  <c r="AZ266" i="3"/>
  <c r="AC13"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G5" i="3" s="1"/>
  <c r="B3" i="3" s="1"/>
  <c r="BA13" i="3"/>
  <c r="E10" i="6"/>
  <c r="E11" i="6"/>
  <c r="E61" i="39" s="1"/>
  <c r="BL17" i="3"/>
  <c r="AZ17" i="3" s="1"/>
  <c r="BL13" i="3"/>
  <c r="E65" i="39"/>
  <c r="J56" i="9"/>
  <c r="J57" i="9"/>
  <c r="J59" i="9" s="1"/>
  <c r="J61" i="9" s="1"/>
  <c r="A24" i="51"/>
  <c r="B18" i="72" s="1"/>
  <c r="E14" i="6"/>
  <c r="E64" i="39" s="1"/>
  <c r="E5" i="6"/>
  <c r="D9" i="11" s="1"/>
  <c r="C9" i="11" s="1"/>
  <c r="E32" i="6"/>
  <c r="L19" i="6"/>
  <c r="G1" i="68"/>
  <c r="K1" i="12"/>
  <c r="F30" i="6"/>
  <c r="E57" i="40"/>
  <c r="AR12" i="1"/>
  <c r="AQ12" i="1"/>
  <c r="T12" i="1"/>
  <c r="AR10" i="1"/>
  <c r="T10" i="1"/>
  <c r="E19" i="68"/>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E62" i="39"/>
  <c r="B6" i="1"/>
  <c r="E6" i="1" s="1"/>
  <c r="S8" i="1"/>
  <c r="AR8" i="1" s="1"/>
  <c r="K11" i="1"/>
  <c r="M11" i="1" s="1"/>
  <c r="AP6" i="1"/>
  <c r="B9" i="1"/>
  <c r="E9" i="1"/>
  <c r="K7" i="1"/>
  <c r="G16"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I101" i="21"/>
  <c r="J101" i="21" s="1"/>
  <c r="K101" i="21" s="1"/>
  <c r="L101" i="21" s="1"/>
  <c r="M101" i="21" s="1"/>
  <c r="F33" i="21"/>
  <c r="J33" i="21"/>
  <c r="W33" i="21" s="1"/>
  <c r="H33" i="21"/>
  <c r="AB33" i="21"/>
  <c r="F37" i="21"/>
  <c r="AA37" i="21"/>
  <c r="AA26" i="21"/>
  <c r="AB46" i="21"/>
  <c r="U40" i="21"/>
  <c r="U13" i="21"/>
  <c r="AB13" i="21"/>
  <c r="W8" i="21"/>
  <c r="S35"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63" i="39"/>
  <c r="T11" i="1"/>
  <c r="D9" i="69"/>
  <c r="C9" i="69" s="1"/>
  <c r="AQ9" i="1"/>
  <c r="AR11" i="1"/>
  <c r="E59" i="40"/>
  <c r="K15" i="1"/>
  <c r="T9" i="1"/>
  <c r="T13" i="1"/>
  <c r="S7" i="1"/>
  <c r="AQ7" i="1" s="1"/>
  <c r="E7" i="70"/>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H23" i="21"/>
  <c r="S13" i="21"/>
  <c r="D6" i="52"/>
  <c r="D121" i="9"/>
  <c r="D7" i="52" s="1"/>
  <c r="K120" i="9"/>
  <c r="S4" i="43"/>
  <c r="J22" i="43"/>
  <c r="E239" i="3"/>
  <c r="E388" i="3"/>
  <c r="E509" i="3"/>
  <c r="O6" i="3"/>
  <c r="E516" i="3"/>
  <c r="E555" i="3"/>
  <c r="E579"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s="1"/>
  <c r="O19" i="43"/>
  <c r="C65" i="40"/>
  <c r="B5" i="62"/>
  <c r="B73" i="72" s="1"/>
  <c r="L27" i="6"/>
  <c r="AP7" i="1"/>
  <c r="Q16" i="1"/>
  <c r="F27" i="69" s="1"/>
  <c r="C47" i="69" s="1"/>
  <c r="D45" i="69" s="1"/>
  <c r="AC33" i="21"/>
  <c r="S33" i="21"/>
  <c r="AA33" i="21"/>
  <c r="W32" i="21"/>
  <c r="AB9" i="21"/>
  <c r="AA32" i="21"/>
  <c r="S32" i="21"/>
  <c r="W9" i="21"/>
  <c r="AC9" i="21"/>
  <c r="AB32" i="21"/>
  <c r="U32" i="21"/>
  <c r="AA10" i="21"/>
  <c r="C36" i="69"/>
  <c r="A18" i="62"/>
  <c r="B64" i="72" s="1"/>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M18" i="9"/>
  <c r="B118" i="9" s="1"/>
  <c r="B14" i="74" s="1"/>
  <c r="B1" i="74" s="1"/>
  <c r="F1" i="67"/>
  <c r="Q52" i="67"/>
  <c r="AC11" i="37"/>
  <c r="W11" i="34"/>
  <c r="AC11" i="34"/>
  <c r="R7" i="1"/>
  <c r="F34" i="11"/>
  <c r="F11" i="12"/>
  <c r="F34" i="68"/>
  <c r="R8" i="1"/>
  <c r="AE7" i="1"/>
  <c r="AE8" i="1"/>
  <c r="AG6" i="1"/>
  <c r="J7" i="33"/>
  <c r="W7" i="33" s="1"/>
  <c r="F7" i="33"/>
  <c r="S7" i="33" s="1"/>
  <c r="H7" i="33"/>
  <c r="AB7" i="33" s="1"/>
  <c r="T48" i="33" s="1"/>
  <c r="G48" i="33" s="1"/>
  <c r="D59" i="9"/>
  <c r="M55" i="9" s="1"/>
  <c r="AD3" i="71"/>
  <c r="B4" i="62"/>
  <c r="B71" i="72" s="1"/>
  <c r="F5" i="73"/>
  <c r="B10" i="76"/>
  <c r="M22" i="15"/>
  <c r="L48" i="67"/>
  <c r="M24" i="67"/>
  <c r="E10" i="76"/>
  <c r="D34" i="9"/>
  <c r="E11" i="76"/>
  <c r="M26" i="67"/>
  <c r="AO8" i="1"/>
  <c r="F16" i="67"/>
  <c r="M9" i="15"/>
  <c r="D2" i="36"/>
  <c r="F38" i="67"/>
  <c r="F6" i="67"/>
  <c r="E2" i="68"/>
  <c r="F38" i="15"/>
  <c r="D4" i="73"/>
  <c r="F16" i="15"/>
  <c r="D3" i="73"/>
  <c r="D6" i="73"/>
  <c r="AO10" i="1"/>
  <c r="C76" i="15"/>
  <c r="F40" i="15"/>
  <c r="F20" i="31"/>
  <c r="E7" i="76"/>
  <c r="E8" i="76"/>
  <c r="D7" i="73"/>
  <c r="B7" i="76"/>
  <c r="B11" i="76"/>
  <c r="M23" i="67"/>
  <c r="M6" i="67"/>
  <c r="F26" i="15"/>
  <c r="D2" i="35"/>
  <c r="M29" i="15"/>
  <c r="M27" i="67"/>
  <c r="L47" i="15"/>
  <c r="D2" i="21"/>
  <c r="F7" i="67"/>
  <c r="D9" i="68"/>
  <c r="AO11" i="1"/>
  <c r="M22" i="67"/>
  <c r="AO9" i="1"/>
  <c r="B9" i="76"/>
  <c r="AO7" i="1"/>
  <c r="F13" i="67"/>
  <c r="B8" i="76"/>
  <c r="F6" i="73"/>
  <c r="B13" i="76"/>
  <c r="F43" i="15"/>
  <c r="D2" i="37"/>
  <c r="D2" i="34"/>
  <c r="E9" i="76"/>
  <c r="F9" i="15"/>
  <c r="M8" i="15"/>
  <c r="D5" i="73"/>
  <c r="D2" i="33"/>
  <c r="AO13" i="1"/>
  <c r="AO12" i="1"/>
  <c r="M26" i="15"/>
  <c r="M9" i="67"/>
  <c r="E12" i="76"/>
  <c r="E13" i="76"/>
  <c r="C36" i="68"/>
  <c r="L47" i="67"/>
  <c r="M6" i="15"/>
  <c r="D35" i="9"/>
  <c r="F35" i="67"/>
  <c r="B12" i="76"/>
  <c r="M28" i="15"/>
  <c r="F3" i="73"/>
  <c r="F7" i="73"/>
  <c r="E2" i="69"/>
  <c r="F4" i="73"/>
  <c r="F32" i="39" l="1"/>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AZ576" i="3" s="1"/>
  <c r="BA574" i="3"/>
  <c r="AZ574" i="3" s="1"/>
  <c r="BA572" i="3"/>
  <c r="AZ572" i="3" s="1"/>
  <c r="BL570" i="3"/>
  <c r="BA570" i="3"/>
  <c r="AZ570" i="3" s="1"/>
  <c r="BL560" i="3"/>
  <c r="BA560" i="3"/>
  <c r="AZ560" i="3" s="1"/>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D37"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G17" i="43" s="1"/>
  <c r="C16" i="43" s="1"/>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30" i="7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AC11"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AR7" i="1"/>
  <c r="C36" i="11"/>
  <c r="E53" i="3"/>
  <c r="E125" i="3"/>
  <c r="E175" i="3"/>
  <c r="E217" i="3"/>
  <c r="E319" i="3"/>
  <c r="E366" i="3"/>
  <c r="E530" i="3"/>
  <c r="E526" i="3"/>
  <c r="E501" i="3"/>
  <c r="E553" i="3"/>
  <c r="E343" i="3"/>
  <c r="E268" i="3"/>
  <c r="E153" i="3"/>
  <c r="E282" i="3"/>
  <c r="E305" i="3"/>
  <c r="E322" i="3"/>
  <c r="E426" i="3"/>
  <c r="N6" i="3"/>
  <c r="E508" i="3"/>
  <c r="AJ6" i="3"/>
  <c r="AC6" i="3" s="1"/>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66" i="39" s="1"/>
  <c r="E56" i="40"/>
  <c r="F10" i="40"/>
  <c r="J10" i="39"/>
  <c r="F27" i="11"/>
  <c r="T7" i="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E20" i="43"/>
  <c r="B8" i="70"/>
  <c r="C34" i="67"/>
  <c r="F63" i="67"/>
  <c r="C62" i="67" s="1"/>
  <c r="B20" i="31"/>
  <c r="B7" i="70"/>
  <c r="F71" i="15"/>
  <c r="Q71" i="15"/>
  <c r="M7" i="67"/>
  <c r="F50" i="67"/>
  <c r="B11" i="70"/>
  <c r="I1" i="73"/>
  <c r="B39" i="1" s="1"/>
  <c r="C27" i="15"/>
  <c r="I54" i="67"/>
  <c r="J57" i="67"/>
  <c r="J55" i="67" s="1"/>
  <c r="J58" i="67" s="1"/>
  <c r="Q50" i="67" s="1"/>
  <c r="L56" i="67"/>
  <c r="B12" i="70"/>
  <c r="B9" i="70"/>
  <c r="K1" i="73"/>
  <c r="M17" i="67"/>
  <c r="F31" i="15"/>
  <c r="F31" i="67"/>
  <c r="M17" i="15"/>
  <c r="F59" i="67"/>
  <c r="F59" i="15"/>
  <c r="F6" i="15"/>
  <c r="G1" i="73"/>
  <c r="F36" i="15"/>
  <c r="F42" i="15"/>
  <c r="M24" i="15"/>
  <c r="F8" i="15"/>
  <c r="F43" i="67"/>
  <c r="C16" i="15"/>
  <c r="F37" i="15"/>
  <c r="F41" i="67"/>
  <c r="F27" i="68"/>
  <c r="F40" i="67"/>
  <c r="M28" i="67"/>
  <c r="F13" i="15"/>
  <c r="M27" i="15"/>
  <c r="L48" i="15"/>
  <c r="M23" i="15"/>
  <c r="F7" i="15"/>
  <c r="J15" i="15"/>
  <c r="F9" i="67"/>
  <c r="F37" i="67"/>
  <c r="M8" i="67"/>
  <c r="C76" i="67"/>
  <c r="M21" i="67"/>
  <c r="M29" i="67"/>
  <c r="F36" i="67"/>
  <c r="F42" i="67"/>
  <c r="J15" i="67"/>
  <c r="F8" i="67"/>
  <c r="F26" i="67"/>
  <c r="W32" i="39" l="1"/>
  <c r="AC32" i="39"/>
  <c r="U17" i="39"/>
  <c r="AC36" i="39"/>
  <c r="W36" i="39"/>
  <c r="AA14" i="39"/>
  <c r="S14" i="39"/>
  <c r="S12" i="39"/>
  <c r="AA12" i="39"/>
  <c r="M7" i="15"/>
  <c r="J6" i="15" s="1"/>
  <c r="F50" i="15"/>
  <c r="F64" i="15"/>
  <c r="F64" i="67"/>
  <c r="F68" i="67"/>
  <c r="F71" i="67"/>
  <c r="F51" i="67"/>
  <c r="C49" i="67" s="1"/>
  <c r="C6" i="67"/>
  <c r="F65" i="15"/>
  <c r="F65" i="67"/>
  <c r="F70" i="67"/>
  <c r="J20" i="67"/>
  <c r="C27" i="67"/>
  <c r="C6" i="15"/>
  <c r="F51" i="15"/>
  <c r="F69" i="67"/>
  <c r="J53" i="15"/>
  <c r="Q52" i="15" s="1"/>
  <c r="I54" i="15"/>
  <c r="L58" i="15"/>
  <c r="Q60" i="15" s="1"/>
  <c r="J57" i="15"/>
  <c r="J55" i="15" s="1"/>
  <c r="J58" i="15" s="1"/>
  <c r="Q50" i="15" s="1"/>
  <c r="Q71" i="67"/>
  <c r="D5" i="43"/>
  <c r="C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K24" i="6"/>
  <c r="M24" i="6" s="1"/>
  <c r="I24" i="6" s="1"/>
  <c r="K22" i="6"/>
  <c r="M22" i="6" s="1"/>
  <c r="I22" i="6" s="1"/>
  <c r="E102" i="43"/>
  <c r="E106" i="43"/>
  <c r="E103" i="43"/>
  <c r="E104" i="43"/>
  <c r="E107" i="43"/>
  <c r="E105" i="43"/>
  <c r="E109" i="43"/>
  <c r="H102" i="43"/>
  <c r="H103" i="43"/>
  <c r="H104" i="43"/>
  <c r="H109" i="43"/>
  <c r="H107" i="43"/>
  <c r="H106" i="43"/>
  <c r="H105" i="43"/>
  <c r="K26" i="6"/>
  <c r="M26" i="6" s="1"/>
  <c r="I26" i="6" s="1"/>
  <c r="K20" i="6"/>
  <c r="M20" i="6" s="1"/>
  <c r="I20" i="6" s="1"/>
  <c r="K25" i="6"/>
  <c r="M25" i="6" s="1"/>
  <c r="I25" i="6" s="1"/>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S24" i="6"/>
  <c r="S22" i="6"/>
  <c r="S26" i="6"/>
  <c r="S20" i="6"/>
  <c r="S25" i="6"/>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H7" i="21"/>
  <c r="J7" i="21"/>
  <c r="H52" i="37"/>
  <c r="U10" i="39"/>
  <c r="AB10" i="39"/>
  <c r="AA10" i="39"/>
  <c r="S10" i="39"/>
  <c r="D70" i="39"/>
  <c r="E68" i="39"/>
  <c r="E53" i="33"/>
  <c r="F53" i="33" s="1"/>
  <c r="E52" i="33"/>
  <c r="F52" i="33" s="1"/>
  <c r="P23" i="43"/>
  <c r="B71" i="39" s="1"/>
  <c r="P25" i="43"/>
  <c r="B40" i="1"/>
  <c r="M11" i="15"/>
  <c r="F11" i="67"/>
  <c r="F11" i="15"/>
  <c r="M11" i="67"/>
  <c r="J10" i="67" s="1"/>
  <c r="Q73" i="67"/>
  <c r="Q60" i="67"/>
  <c r="P28" i="43"/>
  <c r="M28" i="43"/>
  <c r="N28" i="43"/>
  <c r="O28" i="43"/>
  <c r="Q74" i="15"/>
  <c r="Q61" i="15"/>
  <c r="Q61" i="67"/>
  <c r="Q74" i="67"/>
  <c r="C17" i="67"/>
  <c r="C16" i="67"/>
  <c r="C14" i="67"/>
  <c r="Q73" i="15" l="1"/>
  <c r="F1" i="15"/>
  <c r="C49" i="15"/>
  <c r="J10" i="15"/>
  <c r="J5" i="15" s="1"/>
  <c r="J24" i="15" s="1"/>
  <c r="J5" i="67"/>
  <c r="J26" i="67" s="1"/>
  <c r="J29" i="67" s="1"/>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C53" i="67"/>
  <c r="C48" i="67" s="1"/>
  <c r="C10" i="67"/>
  <c r="C5" i="67" s="1"/>
  <c r="C53" i="15"/>
  <c r="C10" i="15"/>
  <c r="C5" i="15" s="1"/>
  <c r="F24" i="67"/>
  <c r="C24" i="67" s="1"/>
  <c r="F22" i="68"/>
  <c r="F22" i="11"/>
  <c r="F22" i="69"/>
  <c r="F25" i="12"/>
  <c r="F24" i="15"/>
  <c r="C24" i="15" s="1"/>
  <c r="AE6" i="1"/>
  <c r="F41" i="15" s="1"/>
  <c r="J24" i="67" l="1"/>
  <c r="C48" i="15"/>
  <c r="C66" i="15" s="1"/>
  <c r="J18" i="67"/>
  <c r="J18" i="15"/>
  <c r="J26" i="15"/>
  <c r="J29" i="15" s="1"/>
  <c r="C19" i="67"/>
  <c r="C20" i="67" s="1"/>
  <c r="C26" i="67" s="1"/>
  <c r="F69" i="15"/>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26" i="68"/>
  <c r="D22" i="68" s="1"/>
  <c r="C44" i="68"/>
  <c r="D41" i="68" s="1"/>
  <c r="C38" i="15"/>
  <c r="C32" i="15"/>
  <c r="C26" i="12"/>
  <c r="D25" i="12" s="1"/>
  <c r="C44" i="11"/>
  <c r="D41" i="11" s="1"/>
  <c r="C23" i="11"/>
  <c r="C26" i="11"/>
  <c r="D22" i="11" s="1"/>
  <c r="C60" i="67"/>
  <c r="C66" i="67"/>
  <c r="C44" i="69"/>
  <c r="D41" i="69" s="1"/>
  <c r="C26" i="69"/>
  <c r="D22" i="69" s="1"/>
  <c r="C38" i="67"/>
  <c r="C32" i="67"/>
  <c r="C17" i="15"/>
  <c r="D10" i="68"/>
  <c r="C60" i="15" l="1"/>
  <c r="C23" i="67"/>
  <c r="C29" i="67" s="1"/>
  <c r="C33" i="67" s="1"/>
  <c r="C31" i="67" s="1"/>
  <c r="D19" i="68"/>
  <c r="C10" i="68"/>
  <c r="E6" i="70"/>
  <c r="E2" i="70" s="1"/>
  <c r="S16" i="1"/>
  <c r="T6" i="1"/>
  <c r="AQ6" i="1"/>
  <c r="AR6" i="1"/>
  <c r="D3" i="34"/>
  <c r="D3" i="33"/>
  <c r="B2" i="33" s="1"/>
  <c r="B3" i="33" s="1"/>
  <c r="D19" i="11"/>
  <c r="C19" i="11" s="1"/>
  <c r="D3" i="37"/>
  <c r="D3" i="21"/>
  <c r="E6" i="6"/>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C14" i="15"/>
  <c r="B29" i="1" l="1"/>
  <c r="C8" i="68"/>
  <c r="J59" i="67"/>
  <c r="J60" i="67" s="1"/>
  <c r="L46" i="67" s="1"/>
  <c r="C13" i="67"/>
  <c r="C37" i="67" s="1"/>
  <c r="Q49" i="67"/>
  <c r="J14" i="67"/>
  <c r="J22" i="67" s="1"/>
  <c r="C36" i="67"/>
  <c r="J19" i="67"/>
  <c r="J17" i="67" s="1"/>
  <c r="C57" i="67"/>
  <c r="C61" i="67" s="1"/>
  <c r="C59" i="67" s="1"/>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R21" i="6" s="1"/>
  <c r="D20" i="6"/>
  <c r="R20" i="6" s="1"/>
  <c r="D12" i="6"/>
  <c r="D13" i="6"/>
  <c r="E61" i="40"/>
  <c r="C18" i="4"/>
  <c r="D26" i="6"/>
  <c r="R26" i="6" s="1"/>
  <c r="D14" i="6"/>
  <c r="D10" i="6"/>
  <c r="D9" i="6"/>
  <c r="H19" i="6"/>
  <c r="H27" i="6" s="1"/>
  <c r="C5" i="71"/>
  <c r="D5" i="71" s="1"/>
  <c r="T6" i="71"/>
  <c r="D6" i="71"/>
  <c r="C38" i="11"/>
  <c r="C33" i="11" s="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C18" i="12" l="1"/>
  <c r="C75" i="67"/>
  <c r="Q48" i="67"/>
  <c r="J13" i="67"/>
  <c r="J23" i="67" s="1"/>
  <c r="J16" i="67" s="1"/>
  <c r="J25" i="67" s="1"/>
  <c r="C30" i="67"/>
  <c r="C39" i="67" s="1"/>
  <c r="Q69" i="67" s="1"/>
  <c r="Q70" i="67"/>
  <c r="C56" i="67"/>
  <c r="C65" i="67" s="1"/>
  <c r="C64" i="67"/>
  <c r="C19" i="15"/>
  <c r="C20" i="15" s="1"/>
  <c r="C26" i="15" s="1"/>
  <c r="C33" i="68"/>
  <c r="C21" i="12"/>
  <c r="C42" i="11"/>
  <c r="C39" i="11"/>
  <c r="C43" i="11" s="1"/>
  <c r="D16" i="6"/>
  <c r="L19" i="9"/>
  <c r="M19" i="9"/>
  <c r="C118" i="9" s="1"/>
  <c r="C14" i="74" s="1"/>
  <c r="B2" i="74" s="1"/>
  <c r="D27" i="6"/>
  <c r="R19" i="6"/>
  <c r="C10" i="69"/>
  <c r="C8" i="69" s="1"/>
  <c r="C5" i="69" s="1"/>
  <c r="D19" i="69"/>
  <c r="C46" i="11"/>
  <c r="C45" i="11" s="1"/>
  <c r="C22" i="11"/>
  <c r="C31" i="11" s="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L51" i="67"/>
  <c r="C39" i="68" l="1"/>
  <c r="C43" i="68" s="1"/>
  <c r="C91" i="9"/>
  <c r="C42" i="68"/>
  <c r="C40" i="67"/>
  <c r="Q47" i="67" s="1"/>
  <c r="Q53" i="67" s="1"/>
  <c r="C58" i="67"/>
  <c r="C67" i="67" s="1"/>
  <c r="C68" i="67" s="1"/>
  <c r="C71" i="67" s="1"/>
  <c r="Q68" i="67"/>
  <c r="C80" i="67"/>
  <c r="C79" i="67" s="1"/>
  <c r="C23" i="15"/>
  <c r="C29" i="15" s="1"/>
  <c r="Q49"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C41" i="11"/>
  <c r="C49" i="11" s="1"/>
  <c r="C51" i="11" s="1"/>
  <c r="E47" i="37"/>
  <c r="F47" i="37" s="1"/>
  <c r="E46" i="37"/>
  <c r="F46" i="37" s="1"/>
  <c r="I47" i="37"/>
  <c r="J47" i="37" s="1"/>
  <c r="M48" i="35"/>
  <c r="K68" i="39"/>
  <c r="J70" i="39"/>
  <c r="C42" i="37"/>
  <c r="C43" i="37"/>
  <c r="B2" i="37" s="1"/>
  <c r="B3" i="37" s="1"/>
  <c r="Q67" i="67"/>
  <c r="L57" i="67"/>
  <c r="L60" i="67" s="1"/>
  <c r="L57" i="15"/>
  <c r="L60" i="15" s="1"/>
  <c r="F35" i="15"/>
  <c r="M21" i="15"/>
  <c r="C41" i="68" l="1"/>
  <c r="C46" i="68"/>
  <c r="C45" i="68" s="1"/>
  <c r="Q56" i="67"/>
  <c r="C94" i="9"/>
  <c r="C92" i="9"/>
  <c r="D2" i="67"/>
  <c r="B3" i="67" s="1"/>
  <c r="Q65" i="67"/>
  <c r="C83" i="67"/>
  <c r="C82" i="67" s="1"/>
  <c r="C43" i="67"/>
  <c r="C45" i="67"/>
  <c r="C46" i="67" s="1"/>
  <c r="C13" i="15"/>
  <c r="C56" i="15" s="1"/>
  <c r="C65" i="15" s="1"/>
  <c r="J59" i="15"/>
  <c r="J60" i="15" s="1"/>
  <c r="Q48" i="15" s="1"/>
  <c r="C33" i="15"/>
  <c r="C36" i="15"/>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C27" i="43" s="1"/>
  <c r="E29" i="43"/>
  <c r="E36" i="43"/>
  <c r="G36" i="43"/>
  <c r="I36" i="43" s="1"/>
  <c r="E35" i="43"/>
  <c r="G35" i="43"/>
  <c r="I35" i="43" s="1"/>
  <c r="E37" i="43"/>
  <c r="G37" i="43"/>
  <c r="I37" i="43" s="1"/>
  <c r="N48" i="35"/>
  <c r="L68" i="39"/>
  <c r="K70" i="39"/>
  <c r="Q57" i="15"/>
  <c r="Q66" i="15"/>
  <c r="Q66" i="67"/>
  <c r="Q57" i="67"/>
  <c r="Q62" i="67" s="1"/>
  <c r="B2" i="67"/>
  <c r="C49" i="68" l="1"/>
  <c r="C51" i="68" s="1"/>
  <c r="Q75" i="67"/>
  <c r="C37" i="15"/>
  <c r="C75" i="15"/>
  <c r="J17" i="15"/>
  <c r="Q70" i="15"/>
  <c r="C31" i="15"/>
  <c r="C30" i="15" s="1"/>
  <c r="C39" i="15" s="1"/>
  <c r="L46" i="15"/>
  <c r="J22" i="15"/>
  <c r="C61" i="15"/>
  <c r="C59" i="15" s="1"/>
  <c r="C58" i="15" s="1"/>
  <c r="C67" i="15" s="1"/>
  <c r="C68" i="15" s="1"/>
  <c r="C46" i="69"/>
  <c r="C45" i="69" s="1"/>
  <c r="C43" i="69"/>
  <c r="C41" i="69" s="1"/>
  <c r="C28" i="69"/>
  <c r="C27" i="69" s="1"/>
  <c r="C25" i="69"/>
  <c r="C22" i="69" s="1"/>
  <c r="M65" i="40"/>
  <c r="N63" i="40"/>
  <c r="C26" i="43"/>
  <c r="C56" i="11"/>
  <c r="C57" i="11" s="1"/>
  <c r="M68" i="39"/>
  <c r="L70" i="39"/>
  <c r="O48" i="35"/>
  <c r="J7" i="35" s="1"/>
  <c r="F7" i="35"/>
  <c r="H7" i="35"/>
  <c r="E6" i="76"/>
  <c r="J16" i="15" l="1"/>
  <c r="J25" i="15" s="1"/>
  <c r="C80" i="15"/>
  <c r="C79" i="15" s="1"/>
  <c r="C31" i="69"/>
  <c r="E2" i="76"/>
  <c r="B2" i="43"/>
  <c r="O63" i="40"/>
  <c r="O65" i="40" s="1"/>
  <c r="N65" i="40"/>
  <c r="J7" i="40" s="1"/>
  <c r="C71" i="15"/>
  <c r="C49" i="69"/>
  <c r="C51" i="69" s="1"/>
  <c r="C40" i="15"/>
  <c r="Q69" i="15"/>
  <c r="Q68" i="15" s="1"/>
  <c r="F7" i="40"/>
  <c r="U7" i="35"/>
  <c r="AB7" i="35"/>
  <c r="T38" i="35" s="1"/>
  <c r="G38" i="35" s="1"/>
  <c r="AA7" i="35"/>
  <c r="R38" i="35" s="1"/>
  <c r="S7" i="35"/>
  <c r="W7" i="35"/>
  <c r="AC7" i="35"/>
  <c r="V38" i="35" s="1"/>
  <c r="I38" i="35" s="1"/>
  <c r="N68" i="39"/>
  <c r="M70" i="39"/>
  <c r="L51" i="15"/>
  <c r="B6" i="76"/>
  <c r="B2" i="76" l="1"/>
  <c r="B3" i="76" s="1"/>
  <c r="Q67" i="15"/>
  <c r="AA7" i="40"/>
  <c r="R42" i="40" s="1"/>
  <c r="S7" i="40"/>
  <c r="Q56" i="15"/>
  <c r="Q62" i="15" s="1"/>
  <c r="Q65" i="15"/>
  <c r="Q75" i="15" s="1"/>
  <c r="C43" i="15"/>
  <c r="Q47" i="15"/>
  <c r="Q53" i="15" s="1"/>
  <c r="B2" i="15"/>
  <c r="C83" i="15"/>
  <c r="C82" i="15" s="1"/>
  <c r="AC7" i="40"/>
  <c r="V42" i="40" s="1"/>
  <c r="I42" i="40" s="1"/>
  <c r="I46" i="40" s="1"/>
  <c r="J46" i="40" s="1"/>
  <c r="W7" i="40"/>
  <c r="B3" i="43"/>
  <c r="C46" i="15"/>
  <c r="C52" i="69"/>
  <c r="B2" i="69" s="1"/>
  <c r="B3" i="69" s="1"/>
  <c r="H7" i="40"/>
  <c r="I42" i="35"/>
  <c r="J42" i="35" s="1"/>
  <c r="G42" i="35"/>
  <c r="H42" i="35" s="1"/>
  <c r="G43" i="35"/>
  <c r="H43" i="35" s="1"/>
  <c r="O68" i="39"/>
  <c r="O70" i="39" s="1"/>
  <c r="N70" i="39"/>
  <c r="E38" i="35"/>
  <c r="I43" i="35" s="1"/>
  <c r="J43" i="35" s="1"/>
  <c r="R39" i="35"/>
  <c r="D19" i="9"/>
  <c r="AO6" i="1"/>
  <c r="B6" i="70" l="1"/>
  <c r="B2" i="70" s="1"/>
  <c r="B3" i="70" s="1"/>
  <c r="D102" i="9"/>
  <c r="D21" i="9"/>
  <c r="AB7" i="40"/>
  <c r="T42" i="40" s="1"/>
  <c r="G42" i="40" s="1"/>
  <c r="U7" i="40"/>
  <c r="C57" i="69"/>
  <c r="C56" i="69" s="1"/>
  <c r="B3" i="15"/>
  <c r="E42" i="40"/>
  <c r="R43" i="40"/>
  <c r="H109" i="9"/>
  <c r="C38" i="35"/>
  <c r="C39" i="35"/>
  <c r="B2" i="35" s="1"/>
  <c r="B3" i="35" s="1"/>
  <c r="E43" i="35"/>
  <c r="F43" i="35" s="1"/>
  <c r="E42" i="35"/>
  <c r="F42" i="35" s="1"/>
  <c r="F7" i="39"/>
  <c r="J7" i="39"/>
  <c r="H7" i="39"/>
  <c r="D20" i="9"/>
  <c r="D103" i="9" l="1"/>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34" i="72" l="1"/>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C7" i="74" l="1"/>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c r="C102" i="9" l="1"/>
  <c r="G19" i="9"/>
  <c r="C32" i="9" s="1"/>
  <c r="C21" i="9"/>
  <c r="D22" i="9"/>
  <c r="C20" i="9"/>
  <c r="G20" i="9" l="1"/>
  <c r="C103" i="9"/>
  <c r="G21" i="9"/>
  <c r="C35" i="9"/>
  <c r="F118" i="9" s="1"/>
  <c r="H118" i="9"/>
  <c r="C34" i="9" l="1"/>
  <c r="D118" i="9" s="1"/>
  <c r="D119" i="9" s="1"/>
  <c r="D5" i="52" s="1"/>
  <c r="B49" i="72" s="1"/>
  <c r="F4" i="52"/>
  <c r="B51" i="72" s="1"/>
  <c r="F119" i="9"/>
  <c r="F5" i="52" s="1"/>
  <c r="B53" i="72" s="1"/>
  <c r="G118" i="9"/>
  <c r="G4" i="52" s="1"/>
  <c r="B52" i="72" s="1"/>
  <c r="D14" i="74"/>
  <c r="C104" i="9"/>
  <c r="H4" i="52"/>
  <c r="I118" i="9"/>
  <c r="H119" i="9"/>
  <c r="H5" i="52" s="1"/>
  <c r="H101" i="9"/>
  <c r="D4" i="52"/>
  <c r="B47" i="72" s="1"/>
  <c r="H107" i="9" l="1"/>
  <c r="D5" i="53"/>
  <c r="M48" i="9"/>
  <c r="D45" i="9"/>
  <c r="E14" i="74"/>
  <c r="B5" i="74"/>
  <c r="F14" i="74"/>
  <c r="H102" i="9"/>
  <c r="D7" i="53" s="1"/>
  <c r="B21" i="72" s="1"/>
  <c r="E118" i="9"/>
  <c r="E4" i="52" s="1"/>
  <c r="B48" i="72" s="1"/>
  <c r="C105" i="9"/>
  <c r="I4" i="52"/>
  <c r="M49" i="9" l="1"/>
  <c r="D122" i="9"/>
  <c r="H108" i="9"/>
  <c r="D15" i="53" s="1"/>
  <c r="B31" i="72" s="1"/>
  <c r="D13" i="53"/>
  <c r="D5" i="74"/>
  <c r="C5" i="74"/>
  <c r="C64" i="9"/>
  <c r="C63" i="9" s="1"/>
  <c r="C67" i="9" s="1"/>
  <c r="C68" i="9" s="1"/>
  <c r="D54" i="9" s="1"/>
  <c r="D55" i="9"/>
  <c r="M53" i="9" s="1"/>
  <c r="C78" i="9"/>
  <c r="C73" i="9" s="1"/>
  <c r="D52" i="9"/>
  <c r="C72" i="9"/>
  <c r="C93" i="9"/>
  <c r="C86" i="9" s="1"/>
  <c r="D53" i="9"/>
  <c r="C85" i="9"/>
  <c r="B20" i="72"/>
  <c r="D6" i="53"/>
  <c r="B22" i="72" s="1"/>
  <c r="C79" i="9" l="1"/>
  <c r="C80" i="9" s="1"/>
  <c r="E80" i="9" s="1"/>
  <c r="E81" i="9" s="1"/>
  <c r="C95" i="9"/>
  <c r="C96" i="9" s="1"/>
  <c r="E96" i="9" s="1"/>
  <c r="E97" i="9" s="1"/>
  <c r="B30" i="72"/>
  <c r="D14" i="53"/>
  <c r="B32" i="72" s="1"/>
  <c r="D123" i="9"/>
  <c r="D9" i="52" s="1"/>
  <c r="D8" i="52"/>
  <c r="G14" i="74"/>
  <c r="B6" i="74" s="1"/>
  <c r="L67" i="9"/>
  <c r="M67" i="9" s="1"/>
  <c r="L66" i="9"/>
  <c r="M66" i="9" s="1"/>
  <c r="L65" i="9"/>
  <c r="M65" i="9" s="1"/>
  <c r="L64" i="9"/>
  <c r="M64" i="9" s="1"/>
  <c r="L68" i="9"/>
  <c r="M68" i="9" s="1"/>
  <c r="L63" i="9"/>
  <c r="M63" i="9" s="1"/>
  <c r="M69" i="9" l="1"/>
  <c r="N69" i="9" s="1"/>
  <c r="C81" i="9"/>
  <c r="C97" i="9"/>
  <c r="D58" i="9" s="1"/>
  <c r="D56" i="9" s="1"/>
  <c r="M54" i="9" s="1"/>
  <c r="N57" i="9" s="1"/>
  <c r="D6" i="74"/>
  <c r="C6" i="74"/>
  <c r="N59" i="9" l="1"/>
  <c r="H111" i="9" s="1"/>
  <c r="N58" i="9"/>
  <c r="P57" i="9"/>
  <c r="D126" i="9" l="1"/>
  <c r="D19" i="53"/>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<sst xmlns="http://schemas.openxmlformats.org/spreadsheetml/2006/main" count="7361" uniqueCount="3113">
  <si>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</si>
  <si>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</si>
  <si>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</si>
  <si>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</si>
  <si>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</si>
  <si>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</si>
  <si>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</si>
  <si>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</si>
  <si>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</si>
  <si>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</si>
  <si>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</si>
  <si>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</si>
  <si>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</si>
  <si>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</si>
  <si>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</si>
  <si>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</si>
  <si>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</si>
  <si>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</si>
  <si>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</si>
  <si>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</si>
  <si>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</si>
  <si>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</si>
  <si>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</si>
  <si>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</si>
  <si>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</si>
  <si>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</si>
  <si>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</si>
  <si>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</si>
  <si>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</si>
  <si>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</si>
  <si>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</si>
  <si>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</si>
  <si>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</si>
  <si>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</si>
  <si>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</si>
  <si>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</si>
  <si>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</si>
  <si>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</si>
  <si>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</si>
  <si>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</si>
  <si>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</si>
  <si>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</si>
  <si>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</si>
  <si>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</si>
  <si>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</si>
  <si>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</si>
  <si>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</si>
  <si>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</si>
  <si>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</si>
  <si>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</si>
  <si>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</si>
  <si>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</si>
  <si>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</si>
  <si>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</si>
  <si>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</si>
  <si>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</si>
  <si>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</si>
  <si>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</si>
  <si>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</si>
  <si>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</si>
  <si>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</si>
  <si>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</si>
  <si>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</si>
  <si>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</si>
  <si>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</si>
  <si>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</si>
  <si>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</si>
  <si>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</si>
  <si>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</si>
  <si>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</si>
  <si>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</si>
  <si>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</si>
  <si>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</si>
  <si>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</si>
  <si>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</si>
  <si>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</si>
  <si>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</si>
  <si>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</si>
  <si>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</si>
  <si>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</si>
  <si>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</si>
  <si>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</si>
  <si>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</si>
  <si>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</si>
  <si>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</si>
  <si>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</si>
  <si>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</si>
  <si>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</si>
  <si>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</si>
  <si>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</si>
  <si>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</si>
  <si>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</si>
  <si>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</si>
  <si>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</si>
  <si>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</si>
  <si>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</si>
  <si>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</si>
  <si>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</si>
  <si>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</si>
  <si>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</si>
  <si>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</si>
  <si>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</si>
  <si>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</si>
  <si>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</si>
  <si>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</si>
  <si>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</si>
  <si>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</si>
  <si>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</si>
  <si>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</si>
  <si>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</si>
  <si>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</si>
  <si>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</si>
  <si>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</si>
  <si>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</si>
  <si>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</si>
  <si>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</si>
  <si>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</si>
  <si>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</si>
  <si>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</si>
  <si>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</si>
  <si>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</si>
  <si>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</si>
  <si>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</si>
  <si>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</si>
  <si>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</si>
  <si>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</si>
  <si>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</si>
  <si>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</si>
  <si>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</si>
  <si>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</si>
  <si>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</si>
  <si>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</si>
  <si>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</si>
  <si>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</si>
  <si>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</si>
  <si>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</si>
  <si>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</si>
  <si>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</si>
  <si>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</si>
  <si>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</si>
  <si>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</si>
  <si>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</si>
  <si>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</si>
  <si>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</si>
  <si>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</si>
  <si>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</si>
  <si>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</si>
  <si>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</si>
  <si>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</si>
  <si>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</si>
  <si>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</si>
  <si>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</si>
  <si>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</si>
  <si>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</si>
  <si>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</si>
  <si>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</si>
  <si>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</si>
  <si>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</si>
  <si>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</si>
  <si>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</si>
  <si>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</si>
  <si>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</si>
  <si>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</si>
  <si>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</si>
  <si>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</si>
  <si>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</si>
  <si>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</si>
  <si>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</si>
  <si>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</si>
  <si>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</si>
  <si>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</si>
  <si>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</si>
  <si>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</si>
  <si>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</si>
  <si>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</si>
  <si>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</si>
  <si>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</si>
  <si>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</si>
  <si>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</si>
  <si>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</si>
  <si>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</si>
  <si>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</si>
  <si>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</si>
  <si>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</si>
  <si>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</si>
  <si>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</si>
  <si>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</si>
  <si>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</si>
  <si>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</si>
  <si>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</si>
  <si>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</si>
  <si>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</si>
  <si>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</si>
  <si>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</si>
  <si>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</si>
  <si>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</si>
  <si>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</si>
  <si>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</si>
  <si>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</si>
  <si>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</si>
  <si>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</si>
  <si>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</si>
  <si>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</si>
  <si>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</si>
  <si>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</si>
  <si>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</si>
  <si>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</si>
  <si>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</si>
  <si>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</si>
  <si>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</si>
  <si>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</si>
  <si>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</si>
  <si>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</si>
  <si>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</si>
  <si>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</si>
  <si>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</si>
  <si>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</si>
  <si>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</si>
  <si>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</si>
  <si>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</si>
  <si>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</si>
  <si>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</si>
  <si>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</si>
  <si>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</si>
  <si>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</si>
  <si>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</si>
  <si>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</si>
  <si>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</si>
  <si>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</si>
  <si>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</si>
  <si>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</si>
  <si>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</si>
  <si>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</si>
  <si>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</si>
  <si>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</si>
  <si>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</si>
  <si>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</si>
  <si>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</si>
  <si>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</si>
  <si>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</si>
  <si>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</si>
  <si>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</si>
  <si>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</si>
  <si>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</si>
  <si>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</si>
  <si>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</si>
  <si>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</si>
  <si>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</si>
  <si>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</si>
  <si>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</si>
  <si>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</si>
  <si>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</si>
  <si>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</si>
  <si>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</si>
  <si>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</si>
  <si>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</si>
  <si>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</si>
  <si>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</si>
  <si>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</si>
  <si>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</si>
  <si>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</si>
  <si>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</si>
  <si>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</si>
  <si>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</si>
  <si>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</si>
  <si>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</si>
  <si>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</si>
  <si>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</si>
  <si>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</si>
  <si>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</si>
  <si>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</si>
  <si>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</si>
  <si>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</si>
  <si>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</si>
  <si>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</si>
  <si>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</si>
  <si>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</si>
  <si>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</si>
  <si>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</si>
  <si>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</si>
  <si>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</si>
  <si>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</si>
  <si>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</si>
  <si>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</si>
  <si>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</si>
  <si>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</si>
  <si>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</si>
  <si>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</si>
  <si>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</si>
  <si>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</si>
  <si>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</si>
  <si>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</si>
  <si>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</si>
  <si>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</si>
  <si>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</si>
  <si>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</si>
  <si>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</si>
  <si>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</si>
  <si>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</si>
  <si>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</si>
  <si>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</si>
  <si>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</si>
  <si>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</si>
  <si>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</si>
  <si>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</si>
  <si>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</si>
  <si>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</si>
  <si>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</si>
  <si>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</si>
  <si>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</si>
  <si>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</si>
  <si>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</si>
  <si>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</si>
  <si>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</si>
  <si>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</si>
  <si>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</si>
  <si>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</si>
  <si>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</si>
  <si>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</si>
  <si>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</si>
  <si>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</si>
  <si>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</si>
  <si>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</si>
  <si>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</si>
  <si>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</si>
  <si>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</si>
  <si>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</si>
  <si>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</si>
  <si>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</si>
  <si>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</si>
  <si>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</si>
  <si>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</si>
  <si>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</si>
  <si>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</si>
  <si>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</si>
  <si>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</si>
  <si>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</si>
  <si>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</si>
  <si>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</si>
  <si>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</si>
  <si>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</si>
  <si>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</si>
  <si>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</si>
  <si>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</si>
  <si>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</si>
  <si>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</si>
  <si>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</si>
  <si>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</si>
  <si>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</si>
  <si>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</si>
  <si>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</si>
  <si>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</si>
  <si>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</si>
  <si>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</si>
  <si>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</si>
  <si>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</si>
  <si>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</si>
  <si>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</si>
  <si>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</si>
  <si>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</si>
  <si>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</si>
  <si>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</si>
  <si>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</si>
  <si>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</si>
  <si>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</si>
  <si>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</si>
  <si>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</si>
  <si>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</si>
  <si>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</si>
  <si>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</si>
  <si>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</si>
  <si>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</si>
  <si>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</si>
  <si>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</si>
  <si>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</si>
  <si>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</si>
  <si>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</si>
  <si>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</si>
  <si>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</si>
  <si>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</si>
  <si>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</si>
  <si>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</si>
  <si>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</si>
  <si>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</si>
  <si>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</si>
  <si>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</si>
  <si>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</si>
  <si>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</si>
  <si>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</si>
  <si>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</si>
  <si>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</si>
  <si>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</si>
  <si>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</si>
  <si>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</si>
  <si>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</si>
  <si>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</si>
  <si>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</si>
  <si>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</si>
  <si>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</si>
  <si>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</si>
  <si>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</si>
  <si>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</si>
  <si>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</si>
  <si>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</si>
  <si>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</si>
  <si>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</si>
  <si>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</si>
  <si>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</si>
  <si>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</si>
  <si>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</si>
  <si>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</si>
  <si>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</si>
  <si>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</si>
  <si>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</si>
  <si>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</si>
  <si>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</si>
  <si>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</si>
  <si>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</si>
  <si>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</si>
  <si>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</si>
  <si>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</si>
  <si>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</si>
  <si>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</si>
  <si>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</si>
  <si>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</si>
  <si>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</si>
  <si>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</si>
  <si>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</si>
  <si>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</si>
  <si>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</si>
  <si>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</si>
  <si>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</si>
  <si>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</si>
  <si>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</si>
  <si>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</si>
  <si>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</si>
  <si>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</si>
  <si>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</si>
  <si>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</si>
  <si>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</si>
  <si>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</si>
  <si>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</si>
  <si>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</si>
  <si>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</si>
  <si>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</si>
  <si>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</si>
  <si>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</si>
  <si>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</si>
  <si>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</si>
  <si>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</si>
  <si>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</si>
  <si>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</si>
  <si>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</si>
  <si>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</si>
  <si>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</si>
  <si>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</si>
  <si>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</si>
  <si>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</si>
  <si>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</si>
  <si>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</si>
  <si>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</si>
  <si>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</si>
  <si>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</si>
  <si>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</si>
  <si>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</si>
  <si>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</si>
  <si>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</si>
  <si>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</si>
  <si>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</si>
  <si>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</si>
  <si>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</si>
  <si>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</si>
  <si>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</si>
  <si>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</si>
  <si>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</si>
  <si>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</si>
  <si>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</si>
  <si>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</si>
  <si>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</si>
  <si>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</si>
  <si>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</si>
  <si>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</si>
  <si>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</si>
  <si>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</si>
  <si>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</si>
  <si>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</si>
  <si>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</si>
  <si>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</si>
  <si>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</si>
  <si>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</si>
  <si>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</si>
  <si>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</si>
  <si>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</si>
  <si>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</si>
  <si>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</si>
  <si>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</si>
  <si>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</si>
  <si>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</si>
  <si>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</si>
  <si>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</si>
  <si>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</si>
  <si>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</si>
  <si>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</si>
  <si>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</si>
  <si>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</si>
  <si>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</si>
  <si>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</si>
  <si>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</si>
  <si>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</si>
  <si>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</si>
  <si>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</si>
  <si>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</si>
  <si>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</si>
  <si>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</si>
  <si>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</si>
  <si>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</si>
  <si>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</si>
  <si>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</si>
  <si>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</si>
  <si>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</si>
  <si>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</si>
  <si>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</si>
  <si>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</si>
  <si>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</si>
  <si>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</si>
  <si>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</si>
  <si>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</si>
  <si>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</si>
  <si>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</si>
  <si>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</si>
  <si>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</si>
  <si>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</si>
  <si>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</si>
  <si>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</si>
  <si>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</si>
  <si>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</si>
  <si>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</si>
  <si>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</si>
  <si>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</si>
  <si>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</si>
  <si>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</si>
  <si>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</si>
  <si>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</si>
  <si>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</si>
  <si>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</si>
  <si>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</si>
  <si>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</si>
  <si>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</si>
  <si>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</si>
  <si>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</si>
  <si>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</si>
  <si>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</si>
  <si>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</si>
  <si>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</si>
  <si>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</si>
  <si>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</si>
  <si>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</si>
  <si>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</si>
  <si>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</si>
  <si>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</si>
  <si>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</si>
  <si>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</si>
  <si>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</si>
  <si>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</si>
  <si>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</si>
  <si>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</si>
  <si>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</si>
  <si>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</si>
  <si>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</si>
  <si>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</si>
  <si>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</si>
  <si>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</si>
  <si>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</si>
  <si>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</si>
  <si>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</si>
  <si>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</si>
  <si>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</si>
  <si>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</si>
  <si>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</si>
  <si>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</si>
  <si>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</si>
  <si>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</si>
  <si>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</si>
  <si>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</si>
  <si>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</si>
  <si>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</si>
  <si>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</si>
  <si>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</si>
  <si>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</si>
  <si>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</si>
  <si>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</si>
  <si>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</si>
  <si>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</si>
  <si>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</si>
  <si>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</si>
  <si>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</si>
  <si>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</si>
  <si>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</si>
  <si>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</si>
  <si>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</si>
  <si>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</si>
  <si>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</si>
  <si>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</si>
  <si>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</si>
  <si>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</si>
  <si>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</si>
  <si>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</si>
  <si>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</si>
  <si>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</si>
  <si>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</si>
  <si>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</si>
  <si>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</si>
  <si>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</si>
  <si>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</si>
  <si>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</si>
  <si>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</si>
  <si>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</si>
  <si>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</si>
  <si>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</si>
  <si>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</si>
  <si>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</si>
  <si>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</si>
  <si>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</si>
  <si>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</si>
  <si>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</si>
  <si>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</si>
  <si>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</si>
  <si>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</si>
  <si>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</si>
  <si>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</si>
  <si>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</si>
  <si>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</si>
  <si>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</si>
  <si>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</si>
  <si>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</si>
  <si>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</si>
  <si>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</si>
  <si>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</si>
  <si>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</si>
  <si>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</si>
  <si>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</si>
  <si>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</si>
  <si>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</si>
  <si>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</si>
  <si>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</si>
  <si>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</si>
  <si>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</si>
  <si>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</si>
  <si>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</si>
  <si>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</si>
  <si>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</si>
  <si>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</si>
  <si>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</si>
  <si>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</si>
  <si>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</si>
  <si>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</si>
  <si>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</si>
  <si>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</si>
  <si>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</si>
  <si>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</si>
  <si>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</si>
  <si>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</si>
  <si>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</si>
  <si>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</si>
  <si>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</si>
  <si>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</si>
  <si>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</si>
  <si>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</si>
  <si>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</si>
  <si>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</si>
  <si>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</si>
  <si>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</si>
  <si>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</si>
  <si>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</si>
  <si>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</si>
  <si>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</si>
  <si>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</si>
  <si>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</si>
  <si>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</si>
  <si>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</si>
  <si>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</si>
  <si>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</si>
  <si>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</si>
  <si>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</si>
  <si>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</si>
  <si>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</si>
  <si>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</si>
  <si>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</si>
  <si>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</si>
  <si>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</si>
  <si>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</si>
  <si>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</si>
  <si>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</si>
  <si>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</si>
  <si>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</si>
  <si>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</si>
  <si>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</si>
  <si>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</si>
  <si>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</si>
  <si>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</si>
  <si>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</si>
  <si>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</si>
  <si>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</si>
  <si>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</si>
  <si>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</si>
  <si>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</si>
  <si>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</si>
  <si>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</si>
  <si>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</si>
  <si>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</si>
  <si>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</si>
  <si>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</si>
  <si>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</si>
  <si>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</si>
  <si>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</si>
  <si>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</si>
  <si>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</si>
  <si>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</si>
  <si>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</si>
  <si>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</si>
  <si>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</si>
  <si>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</si>
  <si>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</si>
  <si>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</si>
  <si>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</si>
  <si>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</si>
  <si>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</si>
  <si>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</si>
  <si>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</si>
  <si>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</si>
  <si>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</si>
  <si>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</si>
  <si>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</si>
  <si>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</si>
  <si>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</si>
  <si>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</si>
  <si>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</si>
  <si>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</si>
  <si>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</si>
  <si>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</si>
  <si>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</si>
  <si>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</si>
  <si>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</si>
  <si>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</si>
  <si>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</si>
  <si>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</si>
  <si>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</si>
  <si>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</si>
  <si>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</si>
  <si>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</si>
  <si>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</si>
  <si>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</si>
  <si>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</si>
  <si>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</si>
  <si>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</si>
  <si>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</si>
  <si>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</si>
  <si>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</si>
  <si>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</si>
  <si>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</si>
  <si>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</si>
  <si>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</si>
  <si>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</si>
  <si>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</si>
  <si>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</si>
  <si>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</si>
  <si>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</si>
  <si>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</si>
  <si>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</si>
  <si>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</si>
  <si>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</si>
  <si>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</si>
  <si>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</si>
  <si>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</si>
  <si>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</si>
  <si>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</si>
  <si>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</si>
  <si>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</si>
  <si>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</si>
  <si>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</si>
  <si>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</si>
  <si>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</si>
  <si>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</si>
  <si>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</si>
  <si>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</si>
  <si>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</si>
  <si>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</si>
  <si>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</si>
  <si>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</si>
  <si>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</si>
  <si>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</si>
  <si>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</si>
  <si>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</si>
  <si>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</si>
  <si>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</si>
  <si>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</si>
  <si>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</si>
  <si>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</si>
  <si>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</si>
  <si>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</si>
  <si>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</si>
  <si>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</si>
  <si>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</si>
  <si>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</si>
  <si>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</si>
  <si>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</si>
  <si>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</si>
  <si>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</si>
  <si>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</si>
  <si>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</si>
  <si>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</si>
  <si>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</si>
  <si>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</si>
  <si>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</si>
  <si>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</si>
  <si>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</si>
  <si>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</si>
  <si>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</si>
  <si>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</si>
  <si>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</si>
  <si>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</si>
  <si>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</si>
  <si>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</si>
  <si>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</si>
  <si>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</si>
  <si>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</si>
  <si>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</si>
  <si>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</si>
  <si>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</si>
  <si>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</si>
  <si>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</si>
  <si>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</si>
  <si>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</si>
  <si>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</si>
  <si>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</si>
  <si>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</si>
  <si>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</si>
  <si>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</si>
  <si>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</si>
  <si>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</si>
  <si>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</si>
  <si>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</si>
  <si>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</si>
  <si>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</si>
  <si>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</si>
  <si>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</si>
  <si>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</si>
  <si>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</si>
  <si>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</si>
  <si>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</si>
  <si>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</si>
  <si>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</si>
  <si>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</si>
  <si>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</si>
  <si>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</si>
  <si>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</si>
  <si>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</si>
  <si>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</si>
  <si>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</si>
  <si>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</si>
  <si>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</si>
  <si>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</si>
  <si>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</si>
  <si>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</si>
  <si>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</si>
  <si>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</si>
  <si>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</si>
  <si>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</si>
  <si>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</si>
  <si>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</si>
  <si>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</si>
  <si>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</si>
  <si>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</si>
  <si>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</si>
  <si>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</si>
  <si>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</si>
  <si>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</si>
  <si>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</si>
  <si>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</si>
  <si>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</si>
  <si>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</si>
  <si>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</si>
  <si>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</si>
  <si>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</si>
  <si>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</si>
  <si>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</si>
  <si>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</si>
  <si>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</si>
  <si>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</si>
  <si>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</si>
  <si>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</si>
  <si>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</si>
  <si>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</si>
  <si>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</si>
  <si>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</si>
  <si>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</si>
  <si>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</si>
  <si>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</si>
  <si>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</si>
  <si>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</si>
  <si>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</si>
  <si>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</si>
  <si>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</si>
  <si>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</si>
  <si>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</si>
  <si>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</si>
  <si>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</si>
  <si>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</si>
  <si>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</si>
  <si>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</si>
  <si>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</si>
  <si>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</si>
  <si>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</si>
  <si>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</si>
  <si>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</si>
  <si>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</si>
  <si>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</si>
  <si>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</si>
  <si>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</si>
  <si>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</si>
  <si>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</si>
  <si>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</si>
  <si>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</si>
  <si>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</si>
  <si>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</si>
  <si>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</si>
  <si>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</si>
  <si>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</si>
  <si>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</si>
  <si>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</si>
  <si>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</si>
  <si>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</si>
  <si>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</si>
  <si>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</si>
  <si>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</si>
  <si>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</si>
  <si>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</si>
  <si>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</si>
  <si>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</si>
  <si>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</si>
  <si>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</si>
  <si>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</si>
  <si>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</si>
  <si>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</si>
  <si>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</si>
  <si>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</si>
  <si>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</si>
  <si>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</si>
  <si>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</si>
  <si>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</si>
  <si>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</si>
  <si>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</si>
  <si>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</si>
  <si>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</si>
  <si>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</si>
  <si>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</si>
  <si>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</si>
  <si>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</si>
  <si>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</si>
  <si>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</si>
  <si>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</si>
  <si>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</si>
  <si>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</si>
  <si>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</si>
  <si>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</si>
  <si>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</si>
  <si>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</si>
  <si>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</si>
  <si>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</si>
  <si>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</si>
  <si>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</si>
  <si>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</si>
  <si>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</si>
  <si>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</si>
  <si>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</si>
  <si>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</si>
  <si>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</si>
  <si>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</si>
  <si>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</si>
  <si>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</si>
  <si>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</si>
  <si>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</si>
  <si>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</si>
  <si>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</si>
  <si>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</si>
  <si>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</si>
  <si>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</si>
  <si>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</si>
  <si>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</si>
  <si>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</si>
  <si>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</si>
  <si>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</si>
  <si>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</si>
  <si>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</si>
  <si>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</si>
  <si>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</si>
  <si>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</si>
  <si>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</si>
  <si>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</si>
  <si>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</si>
  <si>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</si>
  <si>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</si>
  <si>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</si>
  <si>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</si>
  <si>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</si>
  <si>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</si>
  <si>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</si>
  <si>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</si>
  <si>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</si>
  <si>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</si>
  <si>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</si>
  <si>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</si>
  <si>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</si>
  <si>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</si>
  <si>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</si>
  <si>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</si>
  <si>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</si>
  <si>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</si>
  <si>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</si>
  <si>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</si>
  <si>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</si>
  <si>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</si>
  <si>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</si>
  <si>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</si>
  <si>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</si>
  <si>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</si>
  <si>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</si>
  <si>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</si>
  <si>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</si>
  <si>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</si>
  <si>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</si>
  <si>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</si>
  <si>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</si>
  <si>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</si>
  <si>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</si>
  <si>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</si>
  <si>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</si>
  <si>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</si>
  <si>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</si>
  <si>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</si>
  <si>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</si>
  <si>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</si>
  <si>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</si>
  <si>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</si>
  <si>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</si>
  <si>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</si>
  <si>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</si>
  <si>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</si>
  <si>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</si>
  <si>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</si>
  <si>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</si>
  <si>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</si>
  <si>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</si>
  <si>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</si>
  <si>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</si>
  <si>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</si>
  <si>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</si>
  <si>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</si>
  <si>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</si>
  <si>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</si>
  <si>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</si>
  <si>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</si>
  <si>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</si>
  <si>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</si>
  <si>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</si>
  <si>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</si>
  <si>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</si>
  <si>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</si>
  <si>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</si>
  <si>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</si>
  <si>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</si>
  <si>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</si>
  <si>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</si>
  <si>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</si>
  <si>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</si>
  <si>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</si>
  <si>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</si>
  <si>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</si>
  <si>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</si>
  <si>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</si>
  <si>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</si>
  <si>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</si>
  <si>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</si>
  <si>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</si>
  <si>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</si>
  <si>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</si>
  <si>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</si>
  <si>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</si>
  <si>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</si>
  <si>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</si>
  <si>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</si>
  <si>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</si>
  <si>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</si>
  <si>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</si>
  <si>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</si>
  <si>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</si>
  <si>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</si>
  <si>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</si>
  <si>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</si>
  <si>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</si>
  <si>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</si>
  <si>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</si>
  <si>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</si>
  <si>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</si>
  <si>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</si>
  <si>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</si>
  <si>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</si>
  <si>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</si>
  <si>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</si>
  <si>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</si>
  <si>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</si>
  <si>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</si>
  <si>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</si>
  <si>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</si>
  <si>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</si>
  <si>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</si>
  <si>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</si>
  <si>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</si>
  <si>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</si>
  <si>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</si>
  <si>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</si>
  <si>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</si>
  <si>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</si>
  <si>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</si>
  <si>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</si>
  <si>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</si>
  <si>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</si>
  <si>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</si>
  <si>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</si>
  <si>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</si>
  <si>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</si>
  <si>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</si>
  <si>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</si>
  <si>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</si>
  <si>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</si>
  <si>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</si>
  <si>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</si>
  <si>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</si>
  <si>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</si>
  <si>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</si>
  <si>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</si>
  <si>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</si>
  <si>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</si>
  <si>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</si>
  <si>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</si>
  <si>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</si>
  <si>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</si>
  <si>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</si>
  <si>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</si>
  <si>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</si>
  <si>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</si>
  <si>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</si>
  <si>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</si>
  <si>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</si>
  <si>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</si>
  <si>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</si>
  <si>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</si>
  <si>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</si>
  <si>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</si>
  <si>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</si>
  <si>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</si>
  <si>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</si>
  <si>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</si>
  <si>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</si>
  <si>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</si>
  <si>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</si>
  <si>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</si>
  <si>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</si>
  <si>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</si>
  <si>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</si>
  <si>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</si>
  <si>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</si>
  <si>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</si>
  <si>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</si>
  <si>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</si>
  <si>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</si>
  <si>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</si>
  <si>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</si>
  <si>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</si>
  <si>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</si>
  <si>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</si>
  <si>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</si>
  <si>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</si>
  <si>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</si>
  <si>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</si>
  <si>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</si>
  <si>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</si>
  <si>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</si>
  <si>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</si>
  <si>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</si>
  <si>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</si>
  <si>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</si>
  <si>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</si>
  <si>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</si>
  <si>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</si>
  <si>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</si>
  <si>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</si>
  <si>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</si>
  <si>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</si>
  <si>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</si>
  <si>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</si>
  <si>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</si>
  <si>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</si>
  <si>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</si>
  <si>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</si>
  <si>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</si>
  <si>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</si>
  <si>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</si>
  <si>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</si>
  <si>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</si>
  <si>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</si>
  <si>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</si>
  <si>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</si>
  <si>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</si>
  <si>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</si>
  <si>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</si>
  <si>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</si>
  <si>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</si>
  <si>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</si>
  <si>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</si>
  <si>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</si>
  <si>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</si>
  <si>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</si>
  <si>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</si>
  <si>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</si>
  <si>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</si>
  <si>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</si>
  <si>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</si>
  <si>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</si>
  <si>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</si>
  <si>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</si>
  <si>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</si>
  <si>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</si>
  <si>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</si>
  <si>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</si>
  <si>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</si>
  <si>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</si>
  <si>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</si>
  <si>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</si>
  <si>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</si>
  <si>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</si>
  <si>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</si>
  <si>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</si>
  <si>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</si>
  <si>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</si>
  <si>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</si>
  <si>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</si>
  <si>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</si>
  <si>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</si>
  <si>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</si>
  <si>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</si>
  <si>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</si>
  <si>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</si>
  <si>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</si>
  <si>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</si>
  <si>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</si>
  <si>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</si>
  <si>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</si>
  <si>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</si>
  <si>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</si>
  <si>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</si>
  <si>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</si>
  <si>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</si>
  <si>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</si>
  <si>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</si>
  <si>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</si>
  <si>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</si>
  <si>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</si>
  <si>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</si>
  <si>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</si>
  <si>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</si>
  <si>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</si>
  <si>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</si>
  <si>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</si>
  <si>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</si>
  <si>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</si>
  <si>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</si>
  <si>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</si>
  <si>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</si>
  <si>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</si>
  <si>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</si>
  <si>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</si>
  <si>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</si>
  <si>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</si>
  <si>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</si>
  <si>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</si>
  <si>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</si>
  <si>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</si>
  <si>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</si>
  <si>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</si>
  <si>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</si>
  <si>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</si>
  <si>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</si>
  <si>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</si>
  <si>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</si>
  <si>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</si>
  <si>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</si>
  <si>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</si>
  <si>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</si>
  <si>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</si>
  <si>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</si>
  <si>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</si>
  <si>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</si>
  <si>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</si>
  <si>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</si>
  <si>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</si>
  <si>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</si>
  <si>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</si>
  <si>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</si>
  <si>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</si>
  <si>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</si>
  <si>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</si>
  <si>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</si>
  <si>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</si>
  <si>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</si>
  <si>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</si>
  <si>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</si>
  <si>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</si>
  <si>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</si>
  <si>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</si>
  <si>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</si>
  <si>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</si>
  <si>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</si>
  <si>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</si>
  <si>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</si>
  <si>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</si>
  <si>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</si>
  <si>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</si>
  <si>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</si>
  <si>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</si>
  <si>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</si>
  <si>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</si>
  <si>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</si>
  <si>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</si>
  <si>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</si>
  <si>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</si>
  <si>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</si>
  <si>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</si>
  <si>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</si>
  <si>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</si>
  <si>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</si>
  <si>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</si>
  <si>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</si>
  <si>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</si>
  <si>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</si>
  <si>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</si>
  <si>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</si>
  <si>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</si>
  <si>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</si>
  <si>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</si>
  <si>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</si>
  <si>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</si>
  <si>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</si>
  <si>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</si>
  <si>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</si>
  <si>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</si>
  <si>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</si>
  <si>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</si>
  <si>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</si>
  <si>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</si>
  <si>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</si>
  <si>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</si>
  <si>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</si>
  <si>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</si>
  <si>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</si>
  <si>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</si>
  <si>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</si>
  <si>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</si>
  <si>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</si>
  <si>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</si>
  <si>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</si>
  <si>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</si>
  <si>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</si>
  <si>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</si>
  <si>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</si>
  <si>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</si>
  <si>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</si>
  <si>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</si>
  <si>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</si>
  <si>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</si>
  <si>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</si>
  <si>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</si>
  <si>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</si>
  <si>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</si>
  <si>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</si>
  <si>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</si>
  <si>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</si>
  <si>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</si>
  <si>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</si>
  <si>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</si>
  <si>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</si>
  <si>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</si>
  <si>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</si>
  <si>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</si>
  <si>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</si>
  <si>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</si>
  <si>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</si>
  <si>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</si>
  <si>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</si>
  <si>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</si>
  <si>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</si>
  <si>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</si>
  <si>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</si>
  <si>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</si>
  <si>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</si>
  <si>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</si>
  <si>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</si>
  <si>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</si>
  <si>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</si>
  <si>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</si>
  <si>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</si>
  <si>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</si>
  <si>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</si>
  <si>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</si>
  <si>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</si>
  <si>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</si>
  <si>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</si>
  <si>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</si>
  <si>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</si>
  <si>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</si>
  <si>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</si>
  <si>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</si>
  <si>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</si>
  <si>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</si>
  <si>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</si>
  <si>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</si>
  <si>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</si>
  <si>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</si>
  <si>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</si>
  <si>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</si>
  <si>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</si>
  <si>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</si>
  <si>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</si>
  <si>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</si>
  <si>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</si>
  <si>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</si>
  <si>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</si>
  <si>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</si>
  <si>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</si>
  <si>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</si>
  <si>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</si>
  <si>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</si>
  <si>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</si>
  <si>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</si>
  <si>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</si>
  <si>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</si>
  <si>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</si>
  <si>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</si>
  <si>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</si>
  <si>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</si>
  <si>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</si>
  <si>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</si>
  <si>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</si>
  <si>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</si>
  <si>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</si>
  <si>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</si>
  <si>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</si>
  <si>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</si>
  <si>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</si>
  <si>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</si>
  <si>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</si>
  <si>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</si>
  <si>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</si>
  <si>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</si>
  <si>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</si>
  <si>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</si>
  <si>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</si>
  <si>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</si>
  <si>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</si>
  <si>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</si>
  <si>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</si>
  <si>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</si>
  <si>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</si>
  <si>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</si>
  <si>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</si>
  <si>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</si>
  <si>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</si>
  <si>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</si>
  <si>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</si>
  <si>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</si>
  <si>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</si>
  <si>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</si>
  <si>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</si>
  <si>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</si>
  <si>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</si>
  <si>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</si>
  <si>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</si>
  <si>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</si>
  <si>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</si>
  <si>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</si>
  <si>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</si>
  <si>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</si>
  <si>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</si>
  <si>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</si>
  <si>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</si>
  <si>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</si>
  <si>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</si>
  <si>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</si>
  <si>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</si>
  <si>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</si>
  <si>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</si>
  <si>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</si>
  <si>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</si>
  <si>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</si>
  <si>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</si>
  <si>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</si>
  <si>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</si>
  <si>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</si>
  <si>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</si>
  <si>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</si>
  <si>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</si>
  <si>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</si>
  <si>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</si>
  <si>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</si>
  <si>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</si>
  <si>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</si>
  <si>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</si>
  <si>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</si>
  <si>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</si>
  <si>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</si>
  <si>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</si>
  <si>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</si>
  <si>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</si>
  <si>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</si>
  <si>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</si>
  <si>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</si>
  <si>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</si>
  <si>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</si>
  <si>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</si>
  <si>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</si>
  <si>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</si>
  <si>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</si>
  <si>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</si>
  <si>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</si>
  <si>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</si>
  <si>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</si>
  <si>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</si>
  <si>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</si>
  <si>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</si>
  <si>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</si>
  <si>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</si>
  <si>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</si>
  <si>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</si>
  <si>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</si>
  <si>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</si>
  <si>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</si>
  <si>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</si>
  <si>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</si>
  <si>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</si>
  <si>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</si>
  <si>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</si>
  <si>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</si>
  <si>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</si>
  <si>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</si>
  <si>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</si>
  <si>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</si>
  <si>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</si>
  <si>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</si>
  <si>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</si>
  <si>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</si>
  <si>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</si>
  <si>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</si>
  <si>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</si>
  <si>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</si>
  <si>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</si>
  <si>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</si>
  <si>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</si>
  <si>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</si>
  <si>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</si>
  <si>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</si>
  <si>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</si>
  <si>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</si>
  <si>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</si>
  <si>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</si>
  <si>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</si>
  <si>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</si>
  <si>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</si>
  <si>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</si>
  <si>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</si>
  <si>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</si>
  <si>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</si>
  <si>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</si>
  <si>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</si>
  <si>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</si>
  <si>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</si>
  <si>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</si>
  <si>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</si>
  <si>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</si>
  <si>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</si>
  <si>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</si>
  <si>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</si>
  <si>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</si>
  <si>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</si>
  <si>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</si>
  <si>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</si>
  <si>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</si>
  <si>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</si>
  <si>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</si>
  <si>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</si>
  <si>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</si>
  <si>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</si>
  <si>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</si>
  <si>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</si>
  <si>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</si>
  <si>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</si>
  <si>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</si>
  <si>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</si>
  <si>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</si>
  <si>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</si>
  <si>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</si>
  <si>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</si>
  <si>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</si>
  <si>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</si>
  <si>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</si>
  <si>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</si>
  <si>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</si>
  <si>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</si>
  <si>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</si>
  <si>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</si>
  <si>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</si>
  <si>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</si>
  <si>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</si>
  <si>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</si>
  <si>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</si>
  <si>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</si>
  <si>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</si>
  <si>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</si>
  <si>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</si>
  <si>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</si>
  <si>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</si>
  <si>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</si>
  <si>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</si>
  <si>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</si>
  <si>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</si>
  <si>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</si>
  <si>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</si>
  <si>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</si>
  <si>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</si>
  <si>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</si>
  <si>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</si>
  <si>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</si>
  <si>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</si>
  <si>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</si>
  <si>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</si>
  <si>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</si>
  <si>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</si>
  <si>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</si>
  <si>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</si>
  <si>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</si>
  <si>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</si>
  <si>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</si>
  <si>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</si>
  <si>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</si>
  <si>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</si>
  <si>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</si>
  <si>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</si>
  <si>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</si>
  <si>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</si>
  <si>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</si>
  <si>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</si>
  <si>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</si>
  <si>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</si>
  <si>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</si>
  <si>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</si>
  <si>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</si>
  <si>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</si>
  <si>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</si>
  <si>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</si>
  <si>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</si>
  <si>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</si>
  <si>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</si>
  <si>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</si>
  <si>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</si>
  <si>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</si>
  <si>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</si>
  <si>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</si>
  <si>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</si>
  <si>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</si>
  <si>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</si>
  <si>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</si>
  <si>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</si>
  <si>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</si>
  <si>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</si>
  <si>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</si>
  <si>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</si>
  <si>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</si>
  <si>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</si>
  <si>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</si>
  <si>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</si>
  <si>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</si>
  <si>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</si>
  <si>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</si>
  <si>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</si>
  <si>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</si>
  <si>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</si>
  <si>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</si>
  <si>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</si>
  <si>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</si>
  <si>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</si>
  <si>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</si>
  <si>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</si>
  <si>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</si>
  <si>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</si>
  <si>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</si>
  <si>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</si>
  <si>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</si>
  <si>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</si>
  <si>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</si>
  <si>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</si>
  <si>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</si>
  <si>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</si>
  <si>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</si>
  <si>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</si>
  <si>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</si>
  <si>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</si>
  <si>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</si>
  <si>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</si>
  <si>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</si>
  <si>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</si>
  <si>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</si>
  <si>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</si>
  <si>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</si>
  <si>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</si>
  <si>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</si>
  <si>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</si>
  <si>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</si>
  <si>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</si>
  <si>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</si>
  <si>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</si>
  <si>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</si>
  <si>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</si>
  <si>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</si>
  <si>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</si>
  <si>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</si>
  <si>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</si>
  <si>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</si>
  <si>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</si>
  <si>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</si>
  <si>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</si>
  <si>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</si>
  <si>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</si>
  <si>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</si>
  <si>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</si>
  <si>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</si>
  <si>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</si>
  <si>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</si>
  <si>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</si>
  <si>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</si>
  <si>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</si>
  <si>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</si>
  <si>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</si>
  <si>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</si>
  <si>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</si>
  <si>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</si>
  <si>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</si>
  <si>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</si>
  <si>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</si>
  <si>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</si>
  <si>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</si>
  <si>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</si>
  <si>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</si>
  <si>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</si>
  <si>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</si>
  <si>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</si>
  <si>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</si>
  <si>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</si>
  <si>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</si>
  <si>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</si>
  <si>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</si>
  <si>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</si>
  <si>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</si>
  <si>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</si>
  <si>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</si>
  <si>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</si>
  <si>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</si>
  <si>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</si>
  <si>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</si>
  <si>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</si>
  <si>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</si>
  <si>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</si>
  <si>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</si>
  <si>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</si>
  <si>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</si>
  <si>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</si>
  <si>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</si>
  <si>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</si>
  <si>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</si>
  <si>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</si>
  <si>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</si>
  <si>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</si>
  <si>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</si>
  <si>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</si>
  <si>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</si>
  <si>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</si>
  <si>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</si>
  <si>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</si>
  <si>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</si>
  <si>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</si>
  <si>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</si>
  <si>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</si>
  <si>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</si>
  <si>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</si>
  <si>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</si>
  <si>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</si>
  <si>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</si>
  <si>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</si>
  <si>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</si>
  <si>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</si>
  <si>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</si>
  <si>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</si>
  <si>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</si>
  <si>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</si>
  <si>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</si>
  <si>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</si>
  <si>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</si>
  <si>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</si>
  <si>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</si>
  <si>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</si>
  <si>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</si>
  <si>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</si>
  <si>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</si>
  <si>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</si>
  <si>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</si>
  <si>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</si>
  <si>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</si>
  <si>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</si>
  <si>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</si>
  <si>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</si>
  <si>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</si>
  <si>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</si>
  <si>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</si>
  <si>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</si>
  <si>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</si>
  <si>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</si>
  <si>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</si>
  <si>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</si>
  <si>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</si>
  <si>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</si>
  <si>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</si>
  <si>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</si>
  <si>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</si>
  <si>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</si>
  <si>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</si>
  <si>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</si>
  <si>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</si>
  <si>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</si>
  <si>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</si>
  <si>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</si>
  <si>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</si>
  <si>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</si>
  <si>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</si>
  <si>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</si>
  <si>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</si>
  <si>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</si>
  <si>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</si>
  <si>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</si>
  <si>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</si>
  <si>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</si>
  <si>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</si>
  <si>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</si>
  <si>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</si>
  <si>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</si>
  <si>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</si>
  <si>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</si>
  <si>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</si>
  <si>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</si>
  <si>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</si>
  <si>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</si>
  <si>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</si>
  <si>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</si>
  <si>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</si>
  <si>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</si>
  <si>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</si>
  <si>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</si>
  <si>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</si>
  <si>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</si>
  <si>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</si>
  <si>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</si>
  <si>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</si>
  <si>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</si>
  <si>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</si>
  <si>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</si>
  <si>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</si>
  <si>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</si>
  <si>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</si>
  <si>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</si>
  <si>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</si>
  <si>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</si>
  <si>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</si>
  <si>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</si>
  <si>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</si>
  <si>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</si>
  <si>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</si>
  <si>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</si>
  <si>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</si>
  <si>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</si>
  <si>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</si>
  <si>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</si>
  <si>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</si>
  <si>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</si>
  <si>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</si>
  <si>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</si>
  <si>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</si>
  <si>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</si>
  <si>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</si>
  <si>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</si>
  <si>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</si>
  <si>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</si>
  <si>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</si>
  <si>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</si>
  <si>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</si>
  <si>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</si>
  <si>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</si>
  <si>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</si>
  <si>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</si>
  <si>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</si>
  <si>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</si>
  <si>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</si>
  <si>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</si>
  <si>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</si>
  <si>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</si>
  <si>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</si>
  <si>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</si>
  <si>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</si>
  <si>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</si>
  <si>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</si>
  <si>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</si>
  <si>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</si>
  <si>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</si>
  <si>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</si>
  <si>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</si>
  <si>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</si>
  <si>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</si>
  <si>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</si>
  <si>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</si>
  <si>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</si>
  <si>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</si>
  <si>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</si>
  <si>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</si>
  <si>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</si>
  <si>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</si>
  <si>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</si>
  <si>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</si>
  <si>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</si>
  <si>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</si>
  <si>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</si>
  <si>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</si>
  <si>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</si>
  <si>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</si>
  <si>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</si>
  <si>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</si>
  <si>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</si>
  <si>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</si>
  <si>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</si>
  <si>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</si>
  <si>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</si>
  <si>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</si>
  <si>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</si>
  <si>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</si>
  <si>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</si>
  <si>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</si>
  <si>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</si>
  <si>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</si>
  <si>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</si>
  <si>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</si>
  <si>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</si>
  <si>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</si>
  <si>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</si>
  <si>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</si>
  <si>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</si>
  <si>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</si>
  <si>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</si>
  <si>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</si>
  <si>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</si>
  <si>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</si>
  <si>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</si>
  <si>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</si>
  <si>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</si>
  <si>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</si>
  <si>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</si>
  <si>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</si>
  <si>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</si>
  <si>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</si>
  <si>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</si>
  <si>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</si>
  <si>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</si>
  <si>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</si>
  <si>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</si>
  <si>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</si>
  <si>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</si>
  <si>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</si>
  <si>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</si>
  <si>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</si>
  <si>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</si>
  <si>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</si>
  <si>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</si>
  <si>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</si>
  <si>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</si>
  <si>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</si>
  <si>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</si>
  <si>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</si>
  <si>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</si>
  <si>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</si>
  <si>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</si>
  <si>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</si>
  <si>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</si>
  <si>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</si>
  <si>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</si>
  <si>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</si>
  <si>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</si>
  <si>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</si>
  <si>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</si>
  <si>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</si>
  <si>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</si>
  <si>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</si>
  <si>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</si>
  <si>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</si>
  <si>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</si>
  <si>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</si>
  <si>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</si>
  <si>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</si>
  <si>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</si>
  <si>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</si>
  <si>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</si>
  <si>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</si>
  <si>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</si>
  <si>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</si>
  <si>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</si>
  <si>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</si>
  <si>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</si>
  <si>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</si>
  <si>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</si>
  <si>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</si>
  <si>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</si>
  <si>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</si>
  <si>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</si>
  <si>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</si>
  <si>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</si>
  <si>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</si>
  <si>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</si>
  <si>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</si>
  <si>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</si>
  <si>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</si>
  <si>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</si>
  <si>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</si>
  <si>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</si>
  <si>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</si>
  <si>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</si>
  <si>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</si>
  <si>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</si>
  <si>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</si>
  <si>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</si>
  <si>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</si>
  <si>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</si>
  <si>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</si>
  <si>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</si>
  <si>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</si>
  <si>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</si>
  <si>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</si>
  <si>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</si>
  <si>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</si>
  <si>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</si>
  <si>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</si>
  <si>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</si>
  <si>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</si>
  <si>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</si>
  <si>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</si>
  <si>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</si>
  <si>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</si>
  <si>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</si>
  <si>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</si>
  <si>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</si>
  <si>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</si>
  <si>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</si>
  <si>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</si>
  <si>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</si>
  <si>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</si>
  <si>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</si>
  <si>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</si>
  <si>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</si>
  <si>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</si>
  <si>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</si>
  <si>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</si>
  <si>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</si>
  <si>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</si>
  <si>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</si>
  <si>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</si>
  <si>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</si>
  <si>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</si>
  <si>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</si>
  <si>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</si>
  <si>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</si>
  <si>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</si>
  <si>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</si>
  <si>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</si>
  <si>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</si>
  <si>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</si>
  <si>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</si>
  <si>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</si>
  <si>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</si>
  <si>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</si>
  <si>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</si>
  <si>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</si>
  <si>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</si>
  <si>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</si>
  <si>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</si>
  <si>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</si>
  <si>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</si>
  <si>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</si>
  <si>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</si>
  <si>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</si>
  <si>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</si>
  <si>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</si>
  <si>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</si>
  <si>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</si>
  <si>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</si>
  <si>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</si>
  <si>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</si>
  <si>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</si>
  <si>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</si>
  <si>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</si>
  <si>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</si>
  <si>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</si>
  <si>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</si>
  <si>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</si>
  <si>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</si>
  <si>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</si>
  <si>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</si>
  <si>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</si>
  <si>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</si>
  <si>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</si>
  <si>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</si>
  <si>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</si>
  <si>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</si>
  <si>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</si>
  <si>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</si>
  <si>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</si>
  <si>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</si>
  <si>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</si>
  <si>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</si>
  <si>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</si>
  <si>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</si>
  <si>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</si>
  <si>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</si>
  <si>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</si>
  <si>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</si>
  <si>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</si>
  <si>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</si>
  <si>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</si>
  <si>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</si>
  <si>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</si>
  <si>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</si>
  <si>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</si>
  <si>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</si>
  <si>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</si>
  <si>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</si>
  <si>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</si>
  <si>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</si>
  <si>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</si>
  <si>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</si>
  <si>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</si>
  <si>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</si>
  <si>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</si>
  <si>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</si>
  <si>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</si>
  <si>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</si>
  <si>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</si>
  <si>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</si>
  <si>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</si>
  <si>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</si>
  <si>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</si>
  <si>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</si>
  <si>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</si>
  <si>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</si>
  <si>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</si>
  <si>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</si>
  <si>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</si>
  <si>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</si>
  <si>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</si>
  <si>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</si>
  <si>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</si>
  <si>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</si>
  <si>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</si>
  <si>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</si>
  <si>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</si>
  <si>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</si>
  <si>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</si>
  <si>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</si>
  <si>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</si>
  <si>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</si>
  <si>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</si>
  <si>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</si>
  <si>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</si>
  <si>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</si>
  <si>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</si>
  <si>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</si>
  <si>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</si>
  <si>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</si>
  <si>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</si>
  <si>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</si>
  <si>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</si>
  <si>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</si>
  <si>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</si>
  <si>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</si>
  <si>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</si>
  <si>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</si>
  <si>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</si>
  <si>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</si>
  <si>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</si>
  <si>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</si>
  <si>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</si>
  <si>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</si>
  <si>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</si>
  <si>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</si>
  <si>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</si>
  <si>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</si>
  <si>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</si>
  <si>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</si>
  <si>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</si>
  <si>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</si>
  <si>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</si>
  <si>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</si>
  <si>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</si>
  <si>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</si>
  <si>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</si>
  <si>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</si>
  <si>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</si>
  <si>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</si>
  <si>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</si>
  <si>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</si>
  <si>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</si>
  <si>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</si>
  <si>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</si>
  <si>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</si>
  <si>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</si>
  <si>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</si>
  <si>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</si>
  <si>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</si>
  <si>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</si>
  <si>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</si>
  <si>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</si>
  <si>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</si>
  <si>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</si>
  <si>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</si>
  <si>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</si>
  <si>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</si>
  <si>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</si>
  <si>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</si>
  <si>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</si>
  <si>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</si>
  <si>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</si>
  <si>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</si>
  <si>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</si>
  <si>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</si>
  <si>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</si>
  <si>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</si>
  <si>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</si>
  <si>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</si>
  <si>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</si>
  <si>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</si>
  <si>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</si>
  <si>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</si>
  <si>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</si>
  <si>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</si>
  <si>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</si>
  <si>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</si>
  <si>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</si>
  <si>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</si>
  <si>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</si>
  <si>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</si>
  <si>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</si>
  <si>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</si>
  <si>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</si>
  <si>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</si>
  <si>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</si>
  <si>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</si>
  <si>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</si>
  <si>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</si>
  <si>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</si>
  <si>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</si>
  <si>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</si>
  <si>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</si>
  <si>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</si>
  <si>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</si>
  <si>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</si>
  <si>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</si>
  <si>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</si>
  <si>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</si>
  <si>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</si>
  <si>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</si>
  <si>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</si>
  <si>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</si>
  <si>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</si>
  <si>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</si>
  <si>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</si>
  <si>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</si>
  <si>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</si>
  <si>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</si>
  <si>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</si>
  <si>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</si>
  <si>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</si>
  <si>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</si>
  <si>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</si>
  <si>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</si>
  <si>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</si>
  <si>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</si>
  <si>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</si>
  <si>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</si>
  <si>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</si>
  <si>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</si>
  <si>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</si>
  <si>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</si>
  <si>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</si>
  <si>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</si>
  <si>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</si>
  <si>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</si>
  <si>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</si>
  <si>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</si>
  <si>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</si>
  <si>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</si>
  <si>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</si>
  <si>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</si>
  <si>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</si>
  <si>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</si>
  <si>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</si>
  <si>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</si>
  <si>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</si>
  <si>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</si>
  <si>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</si>
  <si>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</si>
  <si>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</si>
  <si>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</si>
  <si>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</si>
  <si>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</si>
  <si>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</si>
  <si>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</si>
  <si>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</si>
  <si>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</si>
  <si>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</si>
  <si>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</si>
  <si>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</si>
  <si>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</si>
  <si>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</si>
  <si>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</si>
  <si>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</si>
  <si>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</si>
  <si>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</si>
  <si>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</si>
  <si>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</si>
  <si>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</si>
  <si>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</si>
  <si>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</si>
  <si>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</si>
  <si>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</si>
  <si>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</si>
  <si>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</si>
  <si>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</si>
  <si>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</si>
  <si>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</si>
  <si>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</si>
  <si>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</si>
  <si>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</si>
  <si>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</si>
  <si>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</si>
  <si>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</si>
  <si>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</si>
  <si>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</si>
  <si>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</si>
  <si>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</si>
  <si>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</si>
  <si>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</si>
  <si>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</si>
  <si>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</si>
  <si>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</si>
  <si>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</si>
  <si>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</si>
  <si>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</si>
  <si>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</si>
  <si>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</si>
  <si>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</si>
  <si>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</si>
  <si>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</si>
  <si>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</si>
  <si>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</si>
  <si>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</si>
  <si>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</si>
  <si>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</si>
  <si>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</si>
  <si>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</si>
  <si>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</si>
  <si>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</si>
  <si>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</si>
  <si>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</si>
  <si>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</si>
  <si>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</si>
  <si>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</si>
  <si>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</si>
  <si>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</si>
  <si>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</si>
  <si>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</si>
  <si>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</si>
  <si>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</si>
  <si>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</si>
  <si>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</si>
  <si>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</si>
  <si>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</si>
  <si>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</si>
  <si>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</si>
  <si>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</si>
  <si>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</si>
  <si>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</si>
  <si>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</si>
  <si>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</si>
  <si>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</si>
  <si>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</si>
  <si>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</si>
  <si>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</si>
  <si>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</si>
  <si>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</si>
  <si>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</si>
  <si>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</si>
  <si>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</si>
  <si>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</si>
  <si>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</si>
  <si>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</si>
  <si>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</si>
  <si>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</si>
  <si>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</si>
  <si>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</si>
  <si>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</si>
  <si>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</si>
  <si>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</si>
  <si>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</si>
  <si>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</si>
  <si>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</si>
  <si>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</si>
  <si>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</si>
  <si>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</si>
  <si>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</si>
  <si>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</si>
  <si>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</si>
  <si>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</si>
  <si>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</si>
  <si>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</si>
  <si>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</si>
  <si>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</si>
  <si>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</si>
  <si>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</si>
  <si>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</si>
  <si>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</si>
  <si>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</si>
  <si>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</si>
  <si>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</si>
  <si>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</si>
  <si>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</si>
  <si>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</si>
  <si>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</si>
  <si>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</si>
  <si>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</si>
  <si>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</si>
  <si>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</si>
  <si>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</si>
  <si>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</si>
  <si>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</si>
  <si>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</si>
  <si>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</si>
  <si>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</si>
  <si>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</si>
  <si>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</si>
  <si>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</si>
  <si>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</si>
  <si>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</si>
  <si>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</si>
  <si>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</si>
  <si>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</si>
  <si>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</si>
  <si>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</si>
  <si>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</si>
  <si>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</si>
  <si>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</si>
  <si>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</si>
  <si>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</si>
  <si>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</si>
  <si>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</si>
  <si>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</si>
  <si>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</si>
  <si>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</si>
  <si>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</si>
  <si>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</si>
  <si>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</si>
  <si>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</si>
  <si>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</si>
  <si>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</si>
  <si>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</si>
  <si>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</si>
  <si>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</si>
  <si>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</si>
  <si>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</si>
  <si>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</si>
  <si>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</si>
  <si>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</si>
  <si>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</si>
  <si>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</si>
  <si>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</si>
  <si>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</si>
  <si>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</si>
  <si>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</si>
  <si>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</si>
  <si>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</si>
  <si>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</si>
  <si>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</si>
  <si>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</si>
  <si>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</si>
  <si>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</si>
  <si>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</si>
  <si>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</si>
  <si>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</si>
  <si>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</si>
  <si>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</si>
  <si>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</si>
  <si>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</si>
  <si>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</si>
  <si>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</si>
  <si>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</si>
  <si>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</si>
  <si>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</si>
  <si>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</si>
  <si>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</si>
  <si>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</si>
  <si>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</si>
  <si>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</si>
  <si>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</si>
  <si>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</si>
  <si>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</si>
  <si>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</si>
  <si>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</si>
  <si>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</si>
  <si>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</si>
  <si>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</si>
  <si>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</si>
  <si>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</si>
  <si>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</si>
  <si>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</si>
  <si>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</si>
  <si>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</si>
  <si>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</si>
  <si>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</si>
  <si>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</si>
  <si>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</si>
  <si>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</si>
  <si>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</si>
  <si>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</si>
  <si>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</si>
  <si>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</si>
  <si>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</si>
  <si>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</si>
  <si>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</si>
  <si>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</si>
  <si>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</si>
  <si>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</si>
  <si>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</si>
  <si>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</si>
  <si>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</si>
  <si>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</si>
  <si>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</si>
  <si>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</si>
  <si>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</si>
  <si>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</si>
  <si>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</si>
  <si>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</si>
  <si>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</si>
  <si>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</si>
  <si>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</si>
  <si>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</si>
  <si>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</si>
  <si>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</si>
  <si>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</si>
  <si>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</si>
  <si>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</si>
  <si>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</si>
  <si>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</si>
  <si>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</si>
  <si>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</si>
  <si>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</si>
  <si>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</si>
  <si>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</si>
  <si>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</si>
  <si>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</si>
  <si>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</si>
  <si>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</si>
  <si>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</si>
  <si>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</si>
  <si>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</si>
  <si>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</si>
  <si>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</si>
  <si>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</si>
  <si>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</si>
  <si>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</si>
  <si>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</si>
  <si>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</si>
  <si>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</si>
  <si>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</si>
  <si>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</si>
  <si>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</si>
  <si>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</si>
  <si>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</si>
  <si>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</si>
  <si>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</si>
  <si>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</si>
  <si>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</si>
  <si>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</si>
  <si>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</si>
  <si>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</si>
  <si>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</si>
  <si>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</si>
  <si>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</si>
  <si>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</si>
  <si>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</si>
  <si>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</si>
  <si>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</si>
  <si>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</si>
  <si>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</si>
  <si>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</si>
  <si>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</si>
  <si>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</si>
  <si>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</si>
  <si>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</si>
  <si>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</si>
  <si>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</si>
  <si>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</si>
  <si>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</si>
  <si>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</si>
  <si>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</si>
  <si>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</si>
  <si>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</si>
  <si>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</si>
  <si>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</si>
  <si>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</si>
  <si>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</si>
  <si>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</si>
  <si>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</si>
  <si>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</si>
  <si>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</si>
  <si>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</si>
  <si>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</si>
  <si>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</si>
  <si>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</si>
  <si>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</si>
  <si>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</si>
  <si>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</si>
  <si>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</si>
  <si>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</si>
  <si>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</si>
  <si>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</si>
  <si>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</si>
  <si>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</si>
  <si>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</si>
  <si>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</si>
  <si>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</si>
  <si>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</si>
  <si>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</si>
  <si>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</si>
  <si>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</si>
  <si>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</si>
  <si>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</si>
  <si>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</si>
  <si>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</si>
  <si>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</si>
  <si>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</si>
  <si>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</si>
  <si>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</si>
  <si>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</si>
  <si>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</si>
  <si>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</si>
  <si>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</si>
  <si>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</si>
  <si>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</si>
  <si>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</si>
  <si>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</si>
  <si>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</si>
  <si>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</si>
  <si>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</si>
  <si>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</si>
  <si>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</si>
  <si>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</si>
  <si>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</si>
  <si>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</si>
  <si>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</si>
  <si>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</si>
  <si>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</si>
  <si>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</si>
  <si>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</si>
  <si>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</si>
  <si>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</si>
  <si>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</si>
  <si>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</si>
  <si>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</si>
  <si>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</si>
  <si>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</si>
  <si>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</si>
  <si>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</si>
  <si>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</si>
  <si>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</si>
  <si>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</si>
  <si>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</si>
  <si>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</si>
  <si>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</si>
  <si>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</si>
  <si>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</si>
  <si>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</si>
  <si>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</si>
  <si>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</si>
  <si>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</si>
  <si>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</si>
  <si>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</si>
  <si>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</si>
  <si>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</si>
  <si>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</si>
  <si>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</si>
  <si>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</si>
  <si>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</si>
  <si>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</si>
  <si>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</si>
  <si>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</si>
  <si>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</si>
  <si>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</si>
  <si>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</si>
  <si>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</si>
  <si>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</si>
  <si>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</si>
  <si>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</si>
  <si>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</si>
  <si>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</si>
  <si>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</si>
  <si>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</si>
  <si>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</si>
  <si>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</si>
  <si>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</si>
  <si>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</si>
  <si>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</si>
  <si>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</si>
  <si>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</si>
  <si>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</si>
  <si>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</si>
  <si>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</si>
  <si>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</si>
  <si>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</si>
  <si>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</si>
  <si>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</si>
  <si>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</si>
  <si>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</si>
  <si>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</si>
  <si>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</si>
  <si>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</si>
  <si>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</si>
  <si>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</si>
  <si>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</si>
  <si>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</si>
  <si>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</si>
  <si>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</si>
  <si>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</si>
  <si>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</si>
  <si>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</si>
  <si>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</si>
  <si>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</si>
  <si>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</si>
  <si>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</si>
  <si>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</si>
  <si>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</si>
  <si>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</si>
  <si>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</si>
  <si>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</si>
  <si>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</si>
  <si>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</si>
  <si>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</si>
  <si>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</si>
  <si>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</si>
  <si>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</si>
  <si>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</si>
  <si>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</si>
  <si>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</si>
  <si>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</si>
  <si>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</si>
  <si>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</si>
  <si>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</si>
  <si>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</si>
  <si>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</si>
  <si>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</si>
  <si>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</si>
  <si>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</si>
  <si>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</si>
  <si>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</si>
  <si>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</si>
  <si>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</si>
  <si>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</si>
  <si>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</si>
  <si>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</si>
  <si>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</si>
  <si>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</si>
  <si>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</si>
  <si>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</si>
  <si>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</si>
  <si>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</si>
  <si>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</si>
  <si>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</si>
  <si>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</si>
  <si>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</si>
  <si>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</si>
  <si>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</si>
  <si>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</si>
  <si>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</si>
  <si>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</si>
  <si>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</si>
  <si>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</si>
  <si>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</si>
  <si>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</si>
  <si>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</si>
  <si>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</si>
  <si>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</si>
  <si>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</si>
  <si>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</si>
  <si>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</si>
  <si>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</si>
  <si>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</si>
  <si>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</si>
  <si>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</si>
  <si>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</si>
  <si>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</si>
  <si>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</si>
  <si>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</si>
  <si>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</si>
  <si>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</si>
  <si>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</si>
  <si>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</si>
  <si>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</si>
  <si>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</si>
  <si>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</si>
  <si>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</si>
  <si>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</si>
  <si>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</si>
  <si>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</si>
  <si>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</si>
  <si>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</si>
  <si>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</si>
  <si>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</si>
  <si>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</si>
  <si>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</si>
  <si>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</si>
  <si>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</si>
  <si>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</si>
  <si>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</si>
  <si>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</si>
  <si>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</si>
  <si>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</si>
  <si>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</si>
  <si>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</si>
  <si>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</si>
  <si>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</si>
  <si>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</si>
  <si>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</si>
  <si>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</si>
  <si>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</si>
  <si>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</si>
  <si>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</si>
  <si>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</si>
  <si>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</si>
  <si>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</si>
  <si>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</si>
  <si>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</si>
  <si>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</si>
  <si>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</si>
  <si>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</si>
  <si>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</si>
  <si>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</si>
  <si>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</si>
  <si>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</si>
  <si>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</si>
  <si>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</si>
  <si>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</si>
  <si>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</si>
  <si>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</si>
  <si>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</si>
  <si>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</si>
  <si>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</si>
  <si>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</si>
  <si>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</si>
  <si>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</si>
  <si>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</si>
  <si>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</si>
  <si>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</si>
  <si>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</si>
  <si>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</si>
  <si>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</si>
  <si>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</si>
  <si>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</si>
  <si>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</si>
  <si>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</si>
  <si>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</si>
  <si>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</si>
  <si>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</si>
  <si>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</si>
  <si>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</si>
  <si>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</si>
  <si>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</si>
  <si>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</si>
  <si>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</si>
  <si>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</si>
  <si>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</si>
  <si>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</si>
  <si>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</si>
  <si>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</si>
  <si>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</si>
  <si>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</si>
  <si>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</si>
  <si>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</si>
  <si>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</si>
  <si>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</si>
  <si>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</si>
  <si>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</si>
  <si>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</si>
  <si>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</si>
  <si>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</si>
  <si>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</si>
  <si>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</si>
  <si>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</si>
  <si>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</si>
  <si>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</si>
  <si>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</si>
  <si>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</si>
  <si>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</si>
  <si>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</si>
  <si>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</si>
  <si>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</si>
  <si>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</si>
  <si>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</si>
  <si>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</si>
  <si>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</si>
  <si>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</si>
  <si>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</si>
  <si>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</si>
  <si>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</si>
  <si>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</si>
  <si>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</si>
  <si>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</si>
  <si>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</si>
  <si>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</si>
  <si>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</si>
  <si>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</si>
  <si>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</si>
  <si>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</si>
  <si>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</si>
  <si>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</si>
  <si>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</si>
  <si>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</si>
  <si>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</si>
  <si>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</si>
  <si>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</si>
  <si>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</si>
  <si>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</si>
  <si>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</si>
  <si>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</si>
  <si>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</si>
  <si>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</si>
  <si>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</si>
  <si>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</si>
  <si>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</si>
  <si>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</si>
  <si>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</si>
  <si>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</si>
  <si>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</si>
  <si>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</si>
  <si>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</si>
  <si>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</si>
  <si>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</si>
  <si>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</si>
  <si>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</si>
  <si>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</si>
  <si>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</si>
  <si>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</si>
  <si>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</si>
  <si>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</si>
  <si>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</si>
  <si>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</si>
  <si>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</si>
  <si>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</si>
  <si>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</si>
  <si>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</si>
  <si>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</si>
  <si>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</si>
  <si>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</si>
  <si>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</si>
  <si>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</si>
  <si>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</si>
  <si>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</si>
  <si>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</si>
  <si>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</si>
  <si>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</si>
  <si>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</si>
  <si>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</si>
  <si>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</si>
  <si>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</si>
  <si>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</si>
  <si>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</si>
  <si>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</si>
  <si>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</si>
  <si>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</si>
  <si>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</si>
  <si>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</si>
  <si>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</si>
  <si>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</si>
  <si>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</si>
  <si>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</si>
  <si>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</si>
  <si>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</si>
  <si>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</si>
  <si>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</si>
  <si>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</si>
  <si>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</si>
  <si>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</si>
  <si>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</si>
  <si>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</si>
  <si>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</si>
  <si>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</si>
  <si>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</si>
  <si>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</si>
  <si>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</si>
  <si>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</si>
  <si>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</si>
  <si>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</si>
  <si>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</si>
  <si>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</si>
  <si>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</si>
  <si>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</si>
  <si>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</si>
  <si>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</si>
  <si>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</si>
  <si>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</si>
  <si>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</si>
  <si>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</si>
  <si>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</si>
  <si>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</si>
  <si>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</si>
  <si>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</si>
  <si>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</si>
  <si>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</si>
  <si>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</si>
  <si>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</si>
  <si>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</si>
  <si>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</si>
  <si>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</si>
  <si>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</si>
  <si>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</si>
  <si>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</si>
  <si>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</si>
  <si>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</si>
  <si>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</si>
  <si>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</si>
  <si>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</si>
  <si>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</si>
  <si>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</si>
  <si>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</si>
  <si>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</si>
  <si>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</si>
  <si>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</si>
  <si>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</si>
  <si>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r>
      <t>2</t>
    </r>
    <r>
      <rPr>
        <sz val="10"/>
        <color indexed="8"/>
        <rFont val="宋体"/>
        <family val="3"/>
        <charset val="134"/>
      </rPr>
      <t>号楼</t>
    </r>
    <phoneticPr fontId="3" type="noConversion"/>
  </si>
  <si>
    <t>地上</t>
  </si>
  <si>
    <t>商业</t>
    <phoneticPr fontId="7" type="noConversion"/>
  </si>
  <si>
    <t>成新度</t>
  </si>
  <si>
    <t>成本法</t>
  </si>
  <si>
    <t>未包含在土地购买价格中</t>
  </si>
  <si>
    <t>已包含在土地取得成本中</t>
  </si>
  <si>
    <t>成本法 (元)</t>
  </si>
  <si>
    <t>押一</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</si>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</sst>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56" fillId="17" borderId="49" xfId="1" applyNumberFormat="1" applyFont="1" applyFill="1" applyBorder="1" applyAlignment="1" applyProtection="1">
      <alignment horizontal="center" vertical="center"/>
      <protection locked="0"/>
    </xf>
    <xf numFmtId="0" fontId="56" fillId="17" borderId="8"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0" fontId="50" fillId="17" borderId="1"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24" xfId="0" applyNumberFormat="1" applyFont="1" applyFill="1" applyBorder="1" applyAlignment="1" applyProtection="1">
      <alignment horizontal="center" vertical="center"/>
      <protection locked="0"/>
    </xf>
    <xf numFmtId="0" fontId="122" fillId="7" borderId="0" xfId="0" applyFont="1" applyFill="1" applyProtection="1">
      <alignment vertical="center"/>
      <protection locked="0"/>
    </xf>
    <xf numFmtId="0" fontId="148" fillId="17" borderId="24" xfId="1" applyFont="1" applyFill="1" applyBorder="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4341</v>
      </c>
    </row>
    <row r="21" spans="1:2" s="1591" customFormat="1">
      <c r="A21" s="1589" t="s">
        <v>1231</v>
      </c>
      <c r="B21" s="1590">
        <f ca="1">'预评函-2'!D7</f>
        <v>18039</v>
      </c>
    </row>
    <row r="22" spans="1:2" s="1591" customFormat="1">
      <c r="A22" s="1589" t="s">
        <v>1232</v>
      </c>
      <c r="B22" s="1590" t="str">
        <f ca="1">'预评函-2'!D6</f>
        <v>肆仟叁佰肆拾壹万元整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4341</v>
      </c>
    </row>
    <row r="31" spans="1:2" s="1591" customFormat="1">
      <c r="A31" s="1589" t="s">
        <v>1270</v>
      </c>
      <c r="B31" s="1590">
        <f ca="1">'预评函-2'!D15</f>
        <v>18039</v>
      </c>
    </row>
    <row r="32" spans="1:2" s="1591" customFormat="1">
      <c r="A32" s="1589" t="s">
        <v>1237</v>
      </c>
      <c r="B32" s="1590" t="str">
        <f ca="1">'预评函-2'!D14</f>
        <v>肆仟叁佰肆拾壹万元整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3503</v>
      </c>
    </row>
    <row r="39" spans="1:2" s="1591" customFormat="1">
      <c r="A39" s="1589" t="s">
        <v>1239</v>
      </c>
      <c r="B39" s="1590">
        <f ca="1">'预评函-2'!D21</f>
        <v>14557</v>
      </c>
    </row>
    <row r="40" spans="1:2" s="1591" customFormat="1">
      <c r="A40" s="1589" t="s">
        <v>1240</v>
      </c>
      <c r="B40" s="1590" t="str">
        <f ca="1">'预评函-2'!D20</f>
        <v>叁仟伍佰零叁万元整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2406.44</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1"/>
      <c r="B54" s="2020" t="s">
        <v>861</v>
      </c>
      <c r="C54" s="2017" t="s">
        <v>1277</v>
      </c>
    </row>
    <row r="55" spans="1:4">
      <c r="A55" s="3011"/>
      <c r="B55" s="2020" t="s">
        <v>862</v>
      </c>
      <c r="C55" s="2017" t="s">
        <v>1278</v>
      </c>
    </row>
    <row r="56" spans="1:4">
      <c r="A56" s="3011"/>
      <c r="B56" s="2020" t="s">
        <v>863</v>
      </c>
      <c r="C56" s="2017" t="s">
        <v>1282</v>
      </c>
    </row>
    <row r="57" spans="1:4">
      <c r="A57" s="301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Normal="100" zoomScaleSheetLayoutView="100" workbookViewId="0">
      <selection activeCell="I6" sqref="I6"/>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012"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013"/>
      <c r="D1" s="3013"/>
      <c r="E1" s="3013"/>
      <c r="F1" s="3013"/>
      <c r="G1" s="3013"/>
      <c r="H1" s="3013"/>
      <c r="I1" s="301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3057</v>
      </c>
      <c r="C7" s="2047"/>
      <c r="D7" s="2048"/>
      <c r="E7" s="2032"/>
      <c r="F7" s="2040"/>
      <c r="G7" s="2040"/>
      <c r="H7" s="2040"/>
      <c r="I7" s="2040"/>
      <c r="J7" s="2040"/>
      <c r="K7" s="2050"/>
      <c r="L7" s="2026"/>
      <c r="M7" s="2026"/>
      <c r="N7" s="2027"/>
      <c r="O7" s="2028"/>
      <c r="P7" s="2027"/>
      <c r="Q7" s="2027"/>
      <c r="R7" s="2027"/>
    </row>
    <row r="8" spans="1:19" ht="18" customHeight="1">
      <c r="A8" s="2045" t="s">
        <v>1780</v>
      </c>
      <c r="B8" s="2051" t="s">
        <v>3051</v>
      </c>
      <c r="C8" s="2052"/>
      <c r="D8" s="3015" t="s">
        <v>1781</v>
      </c>
      <c r="E8" s="2053" t="s">
        <v>3053</v>
      </c>
      <c r="F8" s="2054"/>
      <c r="G8" s="2024"/>
      <c r="H8" s="2024"/>
      <c r="I8" s="2024"/>
      <c r="J8" s="2040"/>
      <c r="K8" s="2041"/>
      <c r="L8" s="2026"/>
      <c r="M8" s="2026"/>
      <c r="N8" s="2027"/>
      <c r="O8" s="2028"/>
      <c r="P8" s="2027"/>
      <c r="Q8" s="2027"/>
      <c r="R8" s="2027"/>
    </row>
    <row r="9" spans="1:19" ht="18" customHeight="1" thickBot="1">
      <c r="A9" s="2038" t="s">
        <v>1782</v>
      </c>
      <c r="B9" s="2055" t="s">
        <v>3053</v>
      </c>
      <c r="C9" s="2056"/>
      <c r="D9" s="3016"/>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3054</v>
      </c>
      <c r="D10" s="2044"/>
      <c r="E10" s="2061" t="s">
        <v>1784</v>
      </c>
      <c r="F10" s="2062" t="s">
        <v>3058</v>
      </c>
      <c r="G10" s="2063"/>
      <c r="H10" s="2064"/>
      <c r="I10" s="2044"/>
      <c r="J10" s="2040"/>
      <c r="K10" s="2050"/>
      <c r="L10" s="2026"/>
      <c r="M10" s="2026"/>
      <c r="N10" s="2027"/>
      <c r="O10" s="2028"/>
      <c r="P10" s="2027"/>
      <c r="Q10" s="2027"/>
      <c r="R10" s="2027"/>
    </row>
    <row r="11" spans="1:19" ht="18" customHeight="1">
      <c r="A11" s="2065" t="s">
        <v>1785</v>
      </c>
      <c r="B11" s="2066" t="s">
        <v>3055</v>
      </c>
      <c r="C11" s="2948" t="s">
        <v>3056</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3063</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022" t="s">
        <v>3059</v>
      </c>
      <c r="C16" s="3023"/>
      <c r="D16" s="3024"/>
      <c r="E16" s="2080" t="s">
        <v>1798</v>
      </c>
      <c r="F16" s="3025"/>
      <c r="G16" s="3026"/>
      <c r="H16" s="3026"/>
      <c r="I16" s="3027"/>
      <c r="J16" s="2027"/>
      <c r="K16" s="2077"/>
      <c r="L16" s="2078"/>
      <c r="M16" s="2078"/>
      <c r="N16" s="2079"/>
      <c r="O16" s="2078"/>
      <c r="P16" s="2079"/>
      <c r="Q16" s="2027"/>
      <c r="R16" s="2027"/>
    </row>
    <row r="17" spans="1:22" ht="18" customHeight="1">
      <c r="A17" s="2081" t="s">
        <v>1799</v>
      </c>
      <c r="B17" s="2033" t="s">
        <v>1800</v>
      </c>
      <c r="C17" s="1052">
        <f>'数据-汇总表'!E3</f>
        <v>2406.44</v>
      </c>
      <c r="D17" s="2082" t="s">
        <v>1801</v>
      </c>
      <c r="E17" s="3028" t="s">
        <v>3061</v>
      </c>
      <c r="F17" s="3029"/>
      <c r="G17" s="3029"/>
      <c r="H17" s="3029"/>
      <c r="I17" s="3030"/>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031" t="s">
        <v>1804</v>
      </c>
      <c r="F18" s="3032"/>
      <c r="G18" s="3032"/>
      <c r="H18" s="3032"/>
      <c r="I18" s="3033"/>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3060</v>
      </c>
      <c r="D19" s="2087" t="s">
        <v>1807</v>
      </c>
      <c r="E19" s="2088" t="s">
        <v>3060</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018" t="s">
        <v>1809</v>
      </c>
      <c r="C20" s="3019"/>
      <c r="D20" s="3020" t="s">
        <v>1810</v>
      </c>
      <c r="E20" s="3021"/>
      <c r="F20" s="2092" t="s">
        <v>1811</v>
      </c>
      <c r="G20" s="2040"/>
      <c r="H20" s="2040"/>
      <c r="I20" s="2040"/>
      <c r="J20" s="2040"/>
      <c r="K20" s="3017"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01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01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35"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35"/>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35"/>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36"/>
      <c r="B30" s="2033" t="s">
        <v>1828</v>
      </c>
      <c r="C30" s="3037"/>
      <c r="D30" s="3038"/>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39" t="s">
        <v>1829</v>
      </c>
      <c r="B31" s="2121" t="s">
        <v>3062</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40"/>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40"/>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034" t="s">
        <v>1838</v>
      </c>
      <c r="T34" s="2129" t="str">
        <f>NUMBERSTRING(7-K34,1)&amp;"通"</f>
        <v>七通</v>
      </c>
      <c r="U34" s="2027"/>
      <c r="V34" s="2027"/>
    </row>
    <row r="35" spans="1:22" ht="18" customHeight="1">
      <c r="A35" s="2130"/>
      <c r="B35" s="3041" t="s">
        <v>1839</v>
      </c>
      <c r="C35" s="3041"/>
      <c r="D35" s="3041"/>
      <c r="E35" s="3041"/>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4" sqref="L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2406.44</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2406.44</v>
      </c>
      <c r="G5" s="16">
        <f>SUM(G13:G587)</f>
        <v>2406.44</v>
      </c>
      <c r="H5" s="16">
        <f t="shared" ref="H5:AT5" si="0">SUM(H13:H656)</f>
        <v>2406.44</v>
      </c>
      <c r="I5" s="16">
        <f t="shared" si="0"/>
        <v>2406.44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2406.44</v>
      </c>
      <c r="BA5" s="18">
        <f t="shared" si="1"/>
        <v>2406.44</v>
      </c>
      <c r="BB5" s="18">
        <f t="shared" si="1"/>
        <v>2406.44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3066</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3065</v>
      </c>
      <c r="D13" s="2208" t="s">
        <v>3064</v>
      </c>
      <c r="E13" s="16">
        <f>IF($C$3="是",ROUND($A$3*G13/$B$3,2),ROUND($A$3*(G13-AT13)/$B$3,2))</f>
        <v>0</v>
      </c>
      <c r="F13" s="32">
        <v>2406.44</v>
      </c>
      <c r="G13" s="33">
        <f>H13+AC13+AT13</f>
        <v>2406.44</v>
      </c>
      <c r="H13" s="20">
        <f>SUMIF(I$12:AB$12,"总值",I13:AB13)</f>
        <v>2406.44</v>
      </c>
      <c r="I13" s="2209">
        <v>2406.44</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2号楼</v>
      </c>
      <c r="AY13" s="1804">
        <f>ROUND($AY$6*AZ13/$AZ$5,2)</f>
        <v>0</v>
      </c>
      <c r="AZ13" s="16">
        <f>BA13+BL13</f>
        <v>2406.44</v>
      </c>
      <c r="BA13" s="16">
        <f>SUM(BB13:BK13)</f>
        <v>2406.44</v>
      </c>
      <c r="BB13" s="16">
        <f>IF($D13="是",I13-J13,0)</f>
        <v>2406.44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19" sqref="A19:XFD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053" t="s">
        <v>1935</v>
      </c>
      <c r="B2" s="3053"/>
      <c r="C2" s="3053"/>
      <c r="D2" s="965" t="s">
        <v>1911</v>
      </c>
      <c r="E2" s="2222" t="s">
        <v>1912</v>
      </c>
      <c r="F2" s="1390"/>
      <c r="G2" s="2223"/>
      <c r="H2" s="2224"/>
      <c r="I2" s="2225" t="s">
        <v>1936</v>
      </c>
      <c r="J2" s="1390"/>
      <c r="K2" s="1390"/>
      <c r="L2" s="1390"/>
      <c r="M2" s="1390"/>
      <c r="N2" s="1425"/>
      <c r="O2" s="1390"/>
      <c r="P2" s="1390"/>
    </row>
    <row r="3" spans="1:16" ht="15.75" thickBot="1">
      <c r="A3" s="3054" t="s">
        <v>1909</v>
      </c>
      <c r="B3" s="3054"/>
      <c r="C3" s="3054"/>
      <c r="D3" s="46">
        <f>'数据-基础表'!AY6</f>
        <v>0</v>
      </c>
      <c r="E3" s="46">
        <f>'数据-基础表'!AZ5</f>
        <v>2406.44</v>
      </c>
      <c r="F3" s="1390"/>
      <c r="G3" s="1397"/>
      <c r="H3" s="1245" t="s">
        <v>1910</v>
      </c>
      <c r="I3" s="55" t="e">
        <f>ROUND('数据-基础表'!B3/'数据-基础表'!A3,2)</f>
        <v>#DIV/0!</v>
      </c>
      <c r="J3" s="1390"/>
      <c r="K3" s="1390"/>
      <c r="L3" s="1390"/>
      <c r="M3" s="1390"/>
      <c r="N3" s="1425"/>
      <c r="O3" s="1390"/>
      <c r="P3" s="1390"/>
    </row>
    <row r="4" spans="1:16" ht="15">
      <c r="A4" s="3055"/>
      <c r="B4" s="3056"/>
      <c r="C4" s="3057"/>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058" t="s">
        <v>1914</v>
      </c>
      <c r="C5" s="3058"/>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058" t="s">
        <v>1915</v>
      </c>
      <c r="C6" s="3058"/>
      <c r="D6" s="48">
        <f>ROUND($D$3*E6/$E$3,2)</f>
        <v>0</v>
      </c>
      <c r="E6" s="49">
        <f>E3-E5</f>
        <v>2406.44</v>
      </c>
      <c r="F6" s="1390"/>
      <c r="G6" s="2230" t="s">
        <v>1916</v>
      </c>
      <c r="H6" s="1397" t="s">
        <v>1917</v>
      </c>
      <c r="I6" s="937" t="e">
        <f>ROUND(F31/D31,2)</f>
        <v>#DIV/0!</v>
      </c>
      <c r="J6" s="1390"/>
      <c r="K6" s="1390"/>
      <c r="L6" s="1390"/>
      <c r="M6" s="1390"/>
      <c r="N6" s="1390"/>
      <c r="O6" s="1390"/>
      <c r="P6" s="1390"/>
    </row>
    <row r="7" spans="1:16" ht="15">
      <c r="A7" s="3050"/>
      <c r="B7" s="3051"/>
      <c r="C7" s="3052"/>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2406.44</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2406.44</v>
      </c>
      <c r="F16" s="1390"/>
      <c r="G16" s="2232"/>
      <c r="H16" s="2235" t="s">
        <v>1939</v>
      </c>
      <c r="I16" s="2236"/>
      <c r="J16" s="1390"/>
      <c r="K16" s="3047" t="s">
        <v>1939</v>
      </c>
      <c r="L16" s="3048"/>
      <c r="M16" s="3048"/>
      <c r="N16" s="3048"/>
      <c r="O16" s="3048"/>
      <c r="P16" s="3049"/>
    </row>
    <row r="17" spans="1:19" ht="15">
      <c r="A17" s="2237" t="s">
        <v>1940</v>
      </c>
      <c r="B17" s="2238" t="s">
        <v>1941</v>
      </c>
      <c r="C17" s="2239" t="s">
        <v>1942</v>
      </c>
      <c r="D17" s="2240" t="s">
        <v>1930</v>
      </c>
      <c r="E17" s="2241" t="s">
        <v>1931</v>
      </c>
      <c r="F17" s="2242"/>
      <c r="G17" s="2243"/>
      <c r="H17" s="2244" t="s">
        <v>1943</v>
      </c>
      <c r="I17" s="2245" t="s">
        <v>1928</v>
      </c>
      <c r="J17" s="1390"/>
      <c r="K17" s="3044" t="s">
        <v>1944</v>
      </c>
      <c r="L17" s="3045"/>
      <c r="M17" s="3046"/>
      <c r="N17" s="3044" t="s">
        <v>1945</v>
      </c>
      <c r="O17" s="3045"/>
      <c r="P17" s="3046"/>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3067</v>
      </c>
      <c r="D19" s="48">
        <f>ROUND($D$3*E19/$E$3,2)</f>
        <v>0</v>
      </c>
      <c r="E19" s="56">
        <f t="shared" ref="E19:E26" si="1">SUM(F19:G19)</f>
        <v>2406.44</v>
      </c>
      <c r="F19" s="57">
        <v>2406.44</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2406.44</v>
      </c>
    </row>
    <row r="20" spans="1:19">
      <c r="A20" s="2258"/>
      <c r="B20" s="50" t="s">
        <v>1957</v>
      </c>
      <c r="C20" s="2255"/>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0</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2406.44</v>
      </c>
      <c r="F27" s="1391">
        <f>IF(SUM(F19:F26)=E8,SUM(F19:F26),"地上面积有误")</f>
        <v>2406.44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2406.44</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2406.44</v>
      </c>
      <c r="F31" s="728">
        <f>F27+F30</f>
        <v>2406.44</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39"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3068</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2958">
        <v>5.5E-2</v>
      </c>
      <c r="I6" s="2958">
        <v>0.06</v>
      </c>
      <c r="J6" s="74">
        <v>0.08</v>
      </c>
      <c r="K6" s="1249">
        <f>SUMIF('数据-汇总表'!C$19:C$33,A6,'数据-汇总表'!E$19:E$33)</f>
        <v>2406.44</v>
      </c>
      <c r="L6" s="801">
        <v>3000</v>
      </c>
      <c r="M6" s="75">
        <f t="shared" ref="M6:M14" si="0">ROUND(K6*L6/10000,0)</f>
        <v>722</v>
      </c>
      <c r="N6" s="2959">
        <v>0.97</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2964">
        <v>5.5</v>
      </c>
      <c r="V6" s="79">
        <v>0.02</v>
      </c>
      <c r="W6" s="79">
        <v>0.15</v>
      </c>
      <c r="X6" s="1259"/>
      <c r="Y6" s="80">
        <f>N6</f>
        <v>0.97</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2965">
        <v>0.02</v>
      </c>
      <c r="AN6" s="2304" t="s">
        <v>3076</v>
      </c>
      <c r="AO6" s="55">
        <f ca="1">SUMIF(INDIRECT("'"&amp;AN6&amp;"'"&amp;"!A:A"),"总价",INDIRECT("'"&amp;AN6&amp;"'"&amp;"!B:B"))</f>
        <v>5787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2406.44</v>
      </c>
      <c r="L16" s="102">
        <f>ROUND(M16*10000/SUM(K6:K14),0)</f>
        <v>3000</v>
      </c>
      <c r="M16" s="102">
        <f>SUM(M6:M14)</f>
        <v>722</v>
      </c>
      <c r="N16" s="103">
        <f>ROUND(SUMPRODUCT(M6:M14,N6:N14)/M16,3)</f>
        <v>0.97</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2960">
        <f ca="1">成本法!C10</f>
        <v>19</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2961">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0.05</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2962">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59" t="s">
        <v>2080</v>
      </c>
      <c r="B1" s="3060"/>
      <c r="C1" s="3060"/>
      <c r="D1" s="3060"/>
      <c r="E1" s="3060"/>
      <c r="F1" s="3060"/>
      <c r="G1" s="306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3077</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3078</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3079</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3080</v>
      </c>
      <c r="D8" s="2372"/>
      <c r="E8" s="2372"/>
      <c r="F8" s="1131"/>
      <c r="G8" s="1131"/>
      <c r="H8" s="2363"/>
      <c r="I8" s="2363"/>
      <c r="J8" s="2363"/>
      <c r="K8" s="2363"/>
      <c r="L8" s="2363"/>
      <c r="M8" s="2363"/>
      <c r="N8" s="2363"/>
      <c r="O8" s="2363"/>
      <c r="P8" s="2363"/>
      <c r="Q8" s="2363"/>
      <c r="R8" s="2363"/>
    </row>
    <row r="9" spans="1:29" ht="54">
      <c r="A9" s="430"/>
      <c r="B9" s="1793" t="s">
        <v>2098</v>
      </c>
      <c r="C9" s="2951" t="s">
        <v>3081</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3082</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2406.44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4341</v>
      </c>
      <c r="C5" s="1741">
        <f ca="1">ROUND(B5*10000/$B$1,0)</f>
        <v>18039</v>
      </c>
      <c r="D5" s="1741" t="e">
        <f ca="1">ROUND(B5*10000/$B$2,0)</f>
        <v>#DIV/0!</v>
      </c>
      <c r="E5" s="1740"/>
      <c r="F5" s="1738"/>
      <c r="G5" s="1738"/>
    </row>
    <row r="6" spans="1:10" ht="16.5">
      <c r="A6" s="1741" t="s">
        <v>1352</v>
      </c>
      <c r="B6" s="1741">
        <f ca="1">SUM(G14:G23)</f>
        <v>4341</v>
      </c>
      <c r="C6" s="1741">
        <f ca="1">ROUND(B6*10000/$B$1,0)</f>
        <v>18039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 ca="1">SUM(I14:I23)</f>
        <v>3503</v>
      </c>
      <c r="C8" s="1741">
        <f ca="1">ROUND(B8*10000/$B$1,0)</f>
        <v>14557</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2406.44</v>
      </c>
      <c r="C14" s="1739">
        <f>结果表!C118</f>
        <v>0</v>
      </c>
      <c r="D14" s="1739">
        <f ca="1">结果表!H118</f>
        <v>4341</v>
      </c>
      <c r="E14" s="1739">
        <f ca="1">ROUND(D14*10000/B14,0)</f>
        <v>18039</v>
      </c>
      <c r="F14" s="1739" t="e">
        <f ca="1">ROUND(D14*10000/C14,0)</f>
        <v>#DIV/0!</v>
      </c>
      <c r="G14" s="1739">
        <f ca="1">结果表!D122</f>
        <v>4341</v>
      </c>
      <c r="H14" s="1739" t="str">
        <f>结果表!D124</f>
        <v>——</v>
      </c>
      <c r="I14" s="1739">
        <f ca="1">结果表!D126</f>
        <v>3503</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9" zoomScaleNormal="100" zoomScaleSheetLayoutView="100" zoomScalePageLayoutView="80" workbookViewId="0">
      <selection activeCell="D125" sqref="D125:I125"/>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t="s">
        <v>1373</v>
      </c>
      <c r="D1" s="2413"/>
      <c r="E1" s="2413"/>
      <c r="F1" s="2415" t="s">
        <v>2114</v>
      </c>
      <c r="G1" s="2066" t="s">
        <v>3062</v>
      </c>
      <c r="H1" s="2416" t="str">
        <f>IF(G1="现房","——","估价对象范围")</f>
        <v>——</v>
      </c>
      <c r="I1" s="2417" t="s">
        <v>3104</v>
      </c>
    </row>
    <row r="2" spans="1:12" ht="21.75" customHeight="1" thickBot="1">
      <c r="A2" s="3133" t="str">
        <f>项目基本情况!S2</f>
        <v>江苏省泰州市泰兴市泰兴市佳源新天地2号16幢101室房地产</v>
      </c>
      <c r="B2" s="3134"/>
      <c r="C2" s="3134"/>
      <c r="D2" s="3134"/>
      <c r="E2" s="3134"/>
      <c r="F2" s="3134"/>
      <c r="G2" s="3134"/>
      <c r="H2" s="3134"/>
      <c r="I2" s="3135"/>
    </row>
    <row r="3" spans="1:12" ht="12.75">
      <c r="A3" s="3136" t="s">
        <v>2115</v>
      </c>
      <c r="B3" s="3137"/>
      <c r="C3" s="3137"/>
      <c r="D3" s="3137"/>
      <c r="E3" s="3137"/>
      <c r="F3" s="3137"/>
      <c r="G3" s="3137"/>
      <c r="H3" s="3137"/>
      <c r="I3" s="3137"/>
    </row>
    <row r="4" spans="1:12" ht="14.25">
      <c r="A4" s="2420" t="s">
        <v>2116</v>
      </c>
      <c r="B4" s="2421" t="s">
        <v>2117</v>
      </c>
      <c r="C4" s="2422" t="s">
        <v>3069</v>
      </c>
      <c r="D4" s="2422" t="s">
        <v>3076</v>
      </c>
      <c r="E4" s="3117" t="s">
        <v>2118</v>
      </c>
      <c r="F4" s="3130"/>
      <c r="G4" s="3130"/>
      <c r="H4" s="3130"/>
      <c r="I4" s="311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8" t="s">
        <v>2119</v>
      </c>
      <c r="B5" s="3034">
        <v>25</v>
      </c>
      <c r="C5" s="3138"/>
      <c r="D5" s="3126"/>
      <c r="E5" s="139" t="s">
        <v>2120</v>
      </c>
      <c r="F5" s="2424"/>
      <c r="G5" s="2424"/>
      <c r="H5" s="2424"/>
      <c r="I5" s="1829"/>
    </row>
    <row r="6" spans="1:12" ht="12.75">
      <c r="A6" s="3108"/>
      <c r="B6" s="3034"/>
      <c r="C6" s="3140"/>
      <c r="D6" s="3126"/>
      <c r="E6" s="139" t="s">
        <v>2121</v>
      </c>
      <c r="F6" s="2424"/>
      <c r="G6" s="2424"/>
      <c r="H6" s="2424"/>
      <c r="I6" s="1829"/>
    </row>
    <row r="7" spans="1:12" ht="12.75">
      <c r="A7" s="3108"/>
      <c r="B7" s="3034"/>
      <c r="C7" s="3139"/>
      <c r="D7" s="3126"/>
      <c r="E7" s="139" t="s">
        <v>2122</v>
      </c>
      <c r="F7" s="2424"/>
      <c r="G7" s="2424"/>
      <c r="H7" s="2424"/>
      <c r="I7" s="1829"/>
    </row>
    <row r="8" spans="1:12" ht="12.75">
      <c r="A8" s="3108" t="s">
        <v>2123</v>
      </c>
      <c r="B8" s="3034">
        <v>15</v>
      </c>
      <c r="C8" s="3138"/>
      <c r="D8" s="3126"/>
      <c r="E8" s="139" t="s">
        <v>2124</v>
      </c>
      <c r="F8" s="2424"/>
      <c r="G8" s="2424"/>
      <c r="H8" s="2424"/>
      <c r="I8" s="1829"/>
    </row>
    <row r="9" spans="1:12" ht="12.75">
      <c r="A9" s="3108"/>
      <c r="B9" s="3034"/>
      <c r="C9" s="3139"/>
      <c r="D9" s="3126"/>
      <c r="E9" s="139" t="s">
        <v>2125</v>
      </c>
      <c r="F9" s="2424"/>
      <c r="G9" s="2424"/>
      <c r="H9" s="2424"/>
      <c r="I9" s="1829"/>
    </row>
    <row r="10" spans="1:12" ht="12.75">
      <c r="A10" s="3108" t="s">
        <v>2126</v>
      </c>
      <c r="B10" s="3034">
        <v>15</v>
      </c>
      <c r="C10" s="3138"/>
      <c r="D10" s="3126"/>
      <c r="E10" s="139" t="s">
        <v>2127</v>
      </c>
      <c r="F10" s="2424"/>
      <c r="G10" s="2424"/>
      <c r="H10" s="2424"/>
      <c r="I10" s="1829"/>
    </row>
    <row r="11" spans="1:12" ht="12.75">
      <c r="A11" s="3108"/>
      <c r="B11" s="3034"/>
      <c r="C11" s="3139"/>
      <c r="D11" s="3126"/>
      <c r="E11" s="139" t="s">
        <v>2128</v>
      </c>
      <c r="F11" s="2424"/>
      <c r="G11" s="2424"/>
      <c r="H11" s="2424"/>
      <c r="I11" s="1829"/>
    </row>
    <row r="12" spans="1:12" ht="12.75">
      <c r="A12" s="3108" t="s">
        <v>2129</v>
      </c>
      <c r="B12" s="3034">
        <v>15</v>
      </c>
      <c r="C12" s="3138"/>
      <c r="D12" s="3126"/>
      <c r="E12" s="139" t="s">
        <v>2130</v>
      </c>
      <c r="F12" s="2424"/>
      <c r="G12" s="2424"/>
      <c r="H12" s="2424"/>
      <c r="I12" s="1829"/>
    </row>
    <row r="13" spans="1:12" ht="12.75">
      <c r="A13" s="3108"/>
      <c r="B13" s="3034"/>
      <c r="C13" s="3139"/>
      <c r="D13" s="3126"/>
      <c r="E13" s="139" t="s">
        <v>2131</v>
      </c>
      <c r="F13" s="2424"/>
      <c r="G13" s="2424"/>
      <c r="H13" s="2424"/>
      <c r="I13" s="1829"/>
    </row>
    <row r="14" spans="1:12" ht="12.75">
      <c r="A14" s="3108" t="s">
        <v>2132</v>
      </c>
      <c r="B14" s="3034">
        <v>30</v>
      </c>
      <c r="C14" s="3138">
        <v>40</v>
      </c>
      <c r="D14" s="3126">
        <v>60</v>
      </c>
      <c r="E14" s="139" t="s">
        <v>2133</v>
      </c>
      <c r="F14" s="2424"/>
      <c r="G14" s="2424"/>
      <c r="H14" s="2424"/>
      <c r="I14" s="1829"/>
    </row>
    <row r="15" spans="1:12" ht="12.75">
      <c r="A15" s="3108"/>
      <c r="B15" s="3034"/>
      <c r="C15" s="3140"/>
      <c r="D15" s="3126"/>
      <c r="E15" s="139" t="s">
        <v>2134</v>
      </c>
      <c r="F15" s="2424"/>
      <c r="G15" s="2424"/>
      <c r="H15" s="2424"/>
      <c r="I15" s="1829"/>
    </row>
    <row r="16" spans="1:12" ht="12.75">
      <c r="A16" s="3108"/>
      <c r="B16" s="3034"/>
      <c r="C16" s="3139"/>
      <c r="D16" s="3126"/>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2406.44</v>
      </c>
      <c r="M18" s="2423">
        <f>IF(C1="",'数据-汇总表'!E3,SUMIF(项目类型,C1,'数据-汇总表'!E17:E26))</f>
        <v>2406.44</v>
      </c>
    </row>
    <row r="19" spans="1:35" ht="15">
      <c r="A19" s="2429" t="s">
        <v>2141</v>
      </c>
      <c r="B19" s="2430" t="s">
        <v>2142</v>
      </c>
      <c r="C19" s="142">
        <f ca="1">SUMIF(INDIRECT("'"&amp;C4&amp;"'"&amp;"!A:A"),结果表!B19,INDIRECT("'"&amp;C4&amp;"'"&amp;"!B:B"))</f>
        <v>2171</v>
      </c>
      <c r="D19" s="143">
        <f ca="1">SUMIF(INDIRECT("'"&amp;D4&amp;"'"&amp;"!A:A"),结果表!B19,INDIRECT("'"&amp;D4&amp;"'"&amp;"!B:B"))</f>
        <v>5787</v>
      </c>
      <c r="E19" s="2429" t="s">
        <v>2143</v>
      </c>
      <c r="F19" s="2430" t="s">
        <v>2142</v>
      </c>
      <c r="G19" s="144">
        <f ca="1">ROUND(C19*$C$18+D19*$D$18,0)</f>
        <v>4341</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9022</v>
      </c>
      <c r="D20" s="146">
        <f ca="1">SUMIF(INDIRECT("'"&amp;D4&amp;"'"&amp;"!A:A"),结果表!B20,INDIRECT("'"&amp;D4&amp;"'"&amp;"!B:B"))</f>
        <v>24048</v>
      </c>
      <c r="E20" s="2432"/>
      <c r="F20" s="1245" t="s">
        <v>2146</v>
      </c>
      <c r="G20" s="147">
        <f ca="1">ROUND(C20*$C$18+D20*$D$18,0)</f>
        <v>18038</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1.6655918931368032</v>
      </c>
      <c r="E22" s="137"/>
      <c r="F22" s="137"/>
      <c r="G22" s="137"/>
      <c r="H22" s="137"/>
      <c r="I22" s="137"/>
    </row>
    <row r="23" spans="1:35" ht="13.5" thickBot="1">
      <c r="A23" s="2413"/>
      <c r="B23" s="2413"/>
      <c r="C23" s="2413"/>
      <c r="D23" s="2413"/>
      <c r="E23" s="138"/>
      <c r="F23" s="137"/>
      <c r="G23" s="137"/>
      <c r="H23" s="137"/>
      <c r="I23" s="137"/>
    </row>
    <row r="24" spans="1:35" ht="14.25">
      <c r="A24" s="3147" t="s">
        <v>2150</v>
      </c>
      <c r="B24" s="2430" t="s">
        <v>2142</v>
      </c>
      <c r="C24" s="144">
        <f>IF(B30=0,0,D30)</f>
        <v>0</v>
      </c>
      <c r="D24" s="2437"/>
      <c r="E24" s="137"/>
      <c r="F24" s="137"/>
      <c r="G24" s="137"/>
      <c r="H24" s="137"/>
      <c r="I24" s="137"/>
    </row>
    <row r="25" spans="1:35" ht="14.25">
      <c r="A25" s="3148"/>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3032</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4341</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127" t="s">
        <v>2164</v>
      </c>
      <c r="B36" s="2456" t="s">
        <v>2165</v>
      </c>
      <c r="C36" s="153"/>
      <c r="D36" s="2457"/>
      <c r="E36" s="2458"/>
      <c r="F36" s="2459"/>
      <c r="G36" s="137"/>
      <c r="H36" s="137"/>
      <c r="I36" s="137"/>
    </row>
    <row r="37" spans="1:15" ht="15.75" thickBot="1">
      <c r="A37" s="3128"/>
      <c r="B37" s="2262" t="s">
        <v>2166</v>
      </c>
      <c r="C37" s="155"/>
      <c r="D37" s="1390"/>
      <c r="E37" s="1390"/>
      <c r="F37" s="2459"/>
      <c r="G37" s="137"/>
      <c r="H37" s="137"/>
      <c r="I37" s="137"/>
    </row>
    <row r="38" spans="1:15" ht="15.75" thickBot="1">
      <c r="A38" s="3129"/>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144" t="s">
        <v>2178</v>
      </c>
      <c r="B45" s="3145"/>
      <c r="C45" s="3146"/>
      <c r="D45" s="163">
        <f ca="1">ROUND(H101*F45,0)</f>
        <v>4341</v>
      </c>
      <c r="E45" s="164" t="s">
        <v>2179</v>
      </c>
      <c r="F45" s="165">
        <v>1</v>
      </c>
      <c r="G45" s="166" t="s">
        <v>2180</v>
      </c>
      <c r="H45" s="137"/>
      <c r="I45" s="137"/>
      <c r="J45" s="3063" t="s">
        <v>2181</v>
      </c>
      <c r="K45" s="3063"/>
      <c r="L45" s="3063"/>
      <c r="M45" s="3063"/>
      <c r="N45" s="3063"/>
      <c r="O45" s="3063"/>
    </row>
    <row r="46" spans="1:15" ht="14.25" customHeight="1">
      <c r="A46" s="3141" t="s">
        <v>2182</v>
      </c>
      <c r="B46" s="3142"/>
      <c r="C46" s="3142"/>
      <c r="D46" s="3142"/>
      <c r="E46" s="3142"/>
      <c r="F46" s="3142"/>
      <c r="G46" s="3143"/>
      <c r="H46" s="2475"/>
      <c r="I46" s="167"/>
      <c r="J46" s="1807">
        <v>1</v>
      </c>
      <c r="K46" s="3063" t="s">
        <v>2183</v>
      </c>
      <c r="L46" s="3063"/>
      <c r="M46" s="3064"/>
      <c r="N46" s="3064"/>
      <c r="O46" s="3064"/>
    </row>
    <row r="47" spans="1:15" ht="12" customHeight="1">
      <c r="A47" s="168" t="s">
        <v>2184</v>
      </c>
      <c r="B47" s="169"/>
      <c r="C47" s="170"/>
      <c r="D47" s="171" t="s">
        <v>2185</v>
      </c>
      <c r="E47" s="24" t="s">
        <v>2186</v>
      </c>
      <c r="F47" s="172" t="s">
        <v>2187</v>
      </c>
      <c r="G47" s="173" t="s">
        <v>2188</v>
      </c>
      <c r="H47" s="2475"/>
      <c r="I47" s="167"/>
      <c r="J47" s="1807">
        <v>2</v>
      </c>
      <c r="K47" s="3063" t="s">
        <v>2189</v>
      </c>
      <c r="L47" s="3063"/>
      <c r="M47" s="3065">
        <f>'数据-取费表'!B2</f>
        <v>43391</v>
      </c>
      <c r="N47" s="3065"/>
      <c r="O47" s="3065"/>
    </row>
    <row r="48" spans="1:15" ht="25.5">
      <c r="A48" s="3131" t="s">
        <v>2190</v>
      </c>
      <c r="B48" s="3132"/>
      <c r="C48" s="3132"/>
      <c r="D48" s="139">
        <f>IF(H48="情况1",0,IF(H48="情况2",D52,IF(H48="情况3",D53,IF(H48="情况4",D54))))</f>
        <v>0</v>
      </c>
      <c r="E48" s="1796" t="str">
        <f>IF(H48="情况4","(销售额-原购置价)×税（费）率","销售额×税（费）率")</f>
        <v>销售额×税（费）率</v>
      </c>
      <c r="F48" s="174" t="str">
        <f>IF(H48="情况1","免征",'数据-取费表'!B41)</f>
        <v>免征</v>
      </c>
      <c r="G48" s="2476" t="s">
        <v>2191</v>
      </c>
      <c r="H48" s="2477" t="s">
        <v>2192</v>
      </c>
      <c r="I48" s="2475"/>
      <c r="J48" s="1807">
        <v>3</v>
      </c>
      <c r="K48" s="3063" t="s">
        <v>2193</v>
      </c>
      <c r="L48" s="3063"/>
      <c r="M48" s="3066">
        <f ca="1">H101</f>
        <v>4341</v>
      </c>
      <c r="N48" s="3066"/>
      <c r="O48" s="3066"/>
    </row>
    <row r="49" spans="1:35" ht="25.5" customHeight="1">
      <c r="A49" s="175" t="s">
        <v>2194</v>
      </c>
      <c r="B49" s="3111" t="s">
        <v>2195</v>
      </c>
      <c r="C49" s="3111"/>
      <c r="D49" s="176">
        <v>0</v>
      </c>
      <c r="E49" s="23" t="s">
        <v>2196</v>
      </c>
      <c r="F49" s="28" t="s">
        <v>34</v>
      </c>
      <c r="G49" s="3092"/>
      <c r="H49" s="137"/>
      <c r="I49" s="2478"/>
      <c r="J49" s="1807">
        <v>4</v>
      </c>
      <c r="K49" s="3063" t="str">
        <f>IF(项目基本情况!E8="房地产抵押价值","房地产抵押价值","抵押担保权已注销时的房地产抵押价值")</f>
        <v>房地产抵押价值</v>
      </c>
      <c r="L49" s="3063"/>
      <c r="M49" s="3066">
        <f ca="1">IF(项目基本情况!E8="房地产抵押价值",H107,H109)</f>
        <v>4341</v>
      </c>
      <c r="N49" s="3066"/>
      <c r="O49" s="3066"/>
    </row>
    <row r="50" spans="1:35" ht="25.5" customHeight="1">
      <c r="A50" s="177"/>
      <c r="B50" s="3111" t="s">
        <v>2197</v>
      </c>
      <c r="C50" s="3111"/>
      <c r="D50" s="178"/>
      <c r="E50" s="31"/>
      <c r="F50" s="179"/>
      <c r="G50" s="3093"/>
      <c r="H50" s="137"/>
      <c r="I50" s="2478"/>
      <c r="J50" s="3063" t="s">
        <v>2198</v>
      </c>
      <c r="K50" s="3063"/>
      <c r="L50" s="3063"/>
      <c r="M50" s="3063"/>
      <c r="N50" s="3063"/>
      <c r="O50" s="3063"/>
    </row>
    <row r="51" spans="1:35" ht="12" customHeight="1">
      <c r="A51" s="180"/>
      <c r="B51" s="3111" t="s">
        <v>2199</v>
      </c>
      <c r="C51" s="3111"/>
      <c r="D51" s="181"/>
      <c r="E51" s="30"/>
      <c r="F51" s="179"/>
      <c r="G51" s="3094"/>
      <c r="H51" s="137"/>
      <c r="I51" s="2478"/>
      <c r="J51" s="2479" t="s">
        <v>2200</v>
      </c>
      <c r="K51" s="3063" t="s">
        <v>2201</v>
      </c>
      <c r="L51" s="3063"/>
      <c r="M51" s="2479" t="s">
        <v>2202</v>
      </c>
      <c r="N51" s="2479" t="s">
        <v>2203</v>
      </c>
      <c r="O51" s="2479" t="s">
        <v>2204</v>
      </c>
    </row>
    <row r="52" spans="1:35" ht="24" customHeight="1">
      <c r="A52" s="182" t="s">
        <v>2205</v>
      </c>
      <c r="B52" s="3111" t="s">
        <v>2206</v>
      </c>
      <c r="C52" s="3111"/>
      <c r="D52" s="181">
        <f ca="1">ROUND(D45*'数据-取费表'!B41/(1+'数据-取费表'!C42),0)</f>
        <v>227</v>
      </c>
      <c r="E52" s="11" t="s">
        <v>2207</v>
      </c>
      <c r="F52" s="183">
        <f>'数据-取费表'!B41</f>
        <v>5.5000000000000007E-2</v>
      </c>
      <c r="G52" s="2480"/>
      <c r="H52" s="137"/>
      <c r="I52" s="2478"/>
      <c r="J52" s="1807">
        <v>1</v>
      </c>
      <c r="K52" s="3086" t="s">
        <v>2208</v>
      </c>
      <c r="L52" s="3086"/>
      <c r="M52" s="1749">
        <f>D48</f>
        <v>0</v>
      </c>
      <c r="N52" s="1807" t="str">
        <f>E48</f>
        <v>销售额×税（费）率</v>
      </c>
      <c r="O52" s="1750" t="str">
        <f>F48</f>
        <v>免征</v>
      </c>
    </row>
    <row r="53" spans="1:35" ht="12" customHeight="1">
      <c r="A53" s="182" t="s">
        <v>2209</v>
      </c>
      <c r="B53" s="3112" t="s">
        <v>2210</v>
      </c>
      <c r="C53" s="3113"/>
      <c r="D53" s="181">
        <f ca="1">ROUND(D45*'数据-取费表'!B41/(1+'数据-取费表'!C42),0)</f>
        <v>227</v>
      </c>
      <c r="E53" s="11" t="s">
        <v>2207</v>
      </c>
      <c r="F53" s="183">
        <f>'数据-取费表'!B41</f>
        <v>5.5000000000000007E-2</v>
      </c>
      <c r="G53" s="2480"/>
      <c r="H53" s="137"/>
      <c r="I53" s="2478"/>
      <c r="J53" s="1807">
        <v>2</v>
      </c>
      <c r="K53" s="3086" t="s">
        <v>2211</v>
      </c>
      <c r="L53" s="3086"/>
      <c r="M53" s="1749">
        <f t="shared" ref="M53:O54" ca="1" si="0">D55</f>
        <v>2</v>
      </c>
      <c r="N53" s="1807" t="str">
        <f t="shared" si="0"/>
        <v>销售额×税（费）率</v>
      </c>
      <c r="O53" s="1750">
        <f t="shared" si="0"/>
        <v>5.0000000000000001E-4</v>
      </c>
    </row>
    <row r="54" spans="1:35" ht="12" customHeight="1">
      <c r="A54" s="182" t="s">
        <v>2212</v>
      </c>
      <c r="B54" s="3112" t="s">
        <v>2213</v>
      </c>
      <c r="C54" s="3113"/>
      <c r="D54" s="181">
        <f ca="1">C68</f>
        <v>227</v>
      </c>
      <c r="E54" s="30" t="s">
        <v>2214</v>
      </c>
      <c r="F54" s="183">
        <f>'数据-取费表'!B41</f>
        <v>5.5000000000000007E-2</v>
      </c>
      <c r="G54" s="2480"/>
      <c r="H54" s="2481"/>
      <c r="I54" s="2478"/>
      <c r="J54" s="1807">
        <v>3</v>
      </c>
      <c r="K54" s="3086" t="s">
        <v>2215</v>
      </c>
      <c r="L54" s="3086"/>
      <c r="M54" s="1749">
        <f t="shared" ca="1" si="0"/>
        <v>836</v>
      </c>
      <c r="N54" s="1807" t="str">
        <f t="shared" si="0"/>
        <v>增值额×税（费）率</v>
      </c>
      <c r="O54" s="1751" t="str">
        <f t="shared" si="0"/>
        <v>——</v>
      </c>
    </row>
    <row r="55" spans="1:35" ht="24" customHeight="1">
      <c r="A55" s="3150" t="s">
        <v>2216</v>
      </c>
      <c r="B55" s="3132"/>
      <c r="C55" s="3132"/>
      <c r="D55" s="184">
        <f ca="1">IF(H55="个人住宅",0,ROUND(D45*I55,0))</f>
        <v>2</v>
      </c>
      <c r="E55" s="11" t="s">
        <v>2217</v>
      </c>
      <c r="F55" s="183">
        <f>IF(H55="正常",I55,"免征")</f>
        <v>5.0000000000000001E-4</v>
      </c>
      <c r="G55" s="2480"/>
      <c r="H55" s="2477" t="s">
        <v>2218</v>
      </c>
      <c r="I55" s="185">
        <f>'数据-取费表'!B49</f>
        <v>5.0000000000000001E-4</v>
      </c>
      <c r="J55" s="1807" t="str">
        <f>IF(H59="非个人房产","",4)</f>
        <v/>
      </c>
      <c r="K55" s="3086" t="str">
        <f>IF(H59="非个人房产","——","个人所得税")</f>
        <v>——</v>
      </c>
      <c r="L55" s="3086"/>
      <c r="M55" s="1752" t="str">
        <f>D59</f>
        <v>——</v>
      </c>
      <c r="N55" s="1805" t="str">
        <f>E59</f>
        <v>——</v>
      </c>
      <c r="O55" s="1753" t="str">
        <f>F59</f>
        <v>——</v>
      </c>
    </row>
    <row r="56" spans="1:35" ht="24.75">
      <c r="A56" s="3150" t="s">
        <v>2219</v>
      </c>
      <c r="B56" s="3132"/>
      <c r="C56" s="3132"/>
      <c r="D56" s="184">
        <f ca="1">IF(H56="个人住宅",D57,D58)</f>
        <v>836</v>
      </c>
      <c r="E56" s="11" t="s">
        <v>2220</v>
      </c>
      <c r="F56" s="183" t="str">
        <f>IF(H56="正常",F58,"免征")</f>
        <v>——</v>
      </c>
      <c r="G56" s="2482" t="s">
        <v>2221</v>
      </c>
      <c r="H56" s="2483" t="s">
        <v>2218</v>
      </c>
      <c r="I56" s="2484"/>
      <c r="J56" s="1807" t="str">
        <f>IF(项目基本情况!K6="上海银行",IF(J55="",4,J55+1),"")</f>
        <v/>
      </c>
      <c r="K56" s="3069" t="str">
        <f>IF(项目基本情况!K6="上海银行","其他处置费用","")</f>
        <v/>
      </c>
      <c r="L56" s="3070"/>
      <c r="M56" s="1749" t="str">
        <f>IF(项目基本情况!K6="上海银行",M69,"")</f>
        <v/>
      </c>
      <c r="N56" s="3072" t="str">
        <f>IF(项目基本情况!K6="上海银行","包含处置中涉及的律师、诉讼、拍卖、评估等费用","")</f>
        <v/>
      </c>
      <c r="O56" s="3073"/>
    </row>
    <row r="57" spans="1:35" ht="12.75">
      <c r="A57" s="182" t="s">
        <v>2194</v>
      </c>
      <c r="B57" s="3117" t="s">
        <v>2222</v>
      </c>
      <c r="C57" s="3118"/>
      <c r="D57" s="186">
        <v>0</v>
      </c>
      <c r="E57" s="23" t="s">
        <v>2196</v>
      </c>
      <c r="F57" s="154"/>
      <c r="G57" s="2480"/>
      <c r="H57" s="2484"/>
      <c r="I57" s="2484"/>
      <c r="J57" s="3086">
        <f>IF(AND(J55="",J56=""),4,IF(项目基本情况!K6="上海银行",结果表!J56+1,结果表!J55+1))</f>
        <v>4</v>
      </c>
      <c r="K57" s="3086" t="s">
        <v>2223</v>
      </c>
      <c r="L57" s="2485" t="s">
        <v>2224</v>
      </c>
      <c r="M57" s="1754"/>
      <c r="N57" s="1755">
        <f ca="1">SUMIF(M52:M56,"&lt;9e307")</f>
        <v>838</v>
      </c>
      <c r="O57" s="2486"/>
      <c r="P57" s="1748">
        <f ca="1">N57/M49</f>
        <v>0.19304307763188205</v>
      </c>
    </row>
    <row r="58" spans="1:35" ht="24.75">
      <c r="A58" s="182" t="s">
        <v>2205</v>
      </c>
      <c r="B58" s="3117" t="s">
        <v>2225</v>
      </c>
      <c r="C58" s="3130"/>
      <c r="D58" s="184">
        <f ca="1">IF(H58="转让取得",C81,C97)</f>
        <v>836</v>
      </c>
      <c r="E58" s="11" t="s">
        <v>2220</v>
      </c>
      <c r="F58" s="24" t="s">
        <v>34</v>
      </c>
      <c r="G58" s="2480"/>
      <c r="H58" s="2483" t="s">
        <v>2226</v>
      </c>
      <c r="I58" s="2484"/>
      <c r="J58" s="3086"/>
      <c r="K58" s="3086"/>
      <c r="L58" s="2485" t="s">
        <v>2227</v>
      </c>
      <c r="M58" s="1756"/>
      <c r="N58" s="2487" t="str">
        <f ca="1">NUMBERSTRING(INT(N57*10000),2)&amp;"元整"</f>
        <v>捌佰叁拾捌万元整</v>
      </c>
      <c r="O58" s="2488"/>
    </row>
    <row r="59" spans="1:35" ht="24.75" thickBot="1">
      <c r="A59" s="3090" t="s">
        <v>2228</v>
      </c>
      <c r="B59" s="3091"/>
      <c r="C59" s="3091"/>
      <c r="D59" s="187" t="str">
        <f>IF(H59="非个人房产","——",IF(H59="个人住宅",0,ROUND(D45*I59,0)))</f>
        <v>——</v>
      </c>
      <c r="E59" s="188" t="str">
        <f>IF(H59="非个人房产","——","销售额×税（费）率")</f>
        <v>——</v>
      </c>
      <c r="F59" s="189" t="str">
        <f>IF(H59="非个人房产","——",IF(H59="个人住宅","免征",I59))</f>
        <v>——</v>
      </c>
      <c r="G59" s="2489" t="s">
        <v>2221</v>
      </c>
      <c r="H59" s="2483" t="s">
        <v>2229</v>
      </c>
      <c r="I59" s="190">
        <v>0.01</v>
      </c>
      <c r="J59" s="3088">
        <f>J57+1</f>
        <v>5</v>
      </c>
      <c r="K59" s="3086" t="s">
        <v>2230</v>
      </c>
      <c r="L59" s="1807" t="s">
        <v>2224</v>
      </c>
      <c r="M59" s="1757"/>
      <c r="N59" s="1758">
        <f ca="1">M49-N57</f>
        <v>3503</v>
      </c>
      <c r="O59" s="2490"/>
    </row>
    <row r="60" spans="1:35" ht="12" customHeight="1">
      <c r="A60" s="2491"/>
      <c r="B60" s="2413"/>
      <c r="C60" s="2413"/>
      <c r="D60" s="2413"/>
      <c r="E60" s="2161"/>
      <c r="F60" s="2484"/>
      <c r="G60" s="2484"/>
      <c r="H60" s="2492"/>
      <c r="I60" s="137"/>
      <c r="J60" s="3089"/>
      <c r="K60" s="3086"/>
      <c r="L60" s="2485" t="s">
        <v>2227</v>
      </c>
      <c r="M60" s="1756"/>
      <c r="N60" s="2487" t="str">
        <f ca="1">NUMBERSTRING(INT(N59*10000),2)&amp;"元整"</f>
        <v>叁仟伍佰零叁万元整</v>
      </c>
      <c r="O60" s="2488"/>
    </row>
    <row r="61" spans="1:35" ht="13.5" thickBot="1">
      <c r="A61" s="3149" t="s">
        <v>2231</v>
      </c>
      <c r="B61" s="3149"/>
      <c r="C61" s="3149"/>
      <c r="D61" s="3149"/>
      <c r="E61" s="3149"/>
      <c r="F61" s="2484"/>
      <c r="G61" s="2484"/>
      <c r="H61" s="2492"/>
      <c r="I61" s="137"/>
      <c r="J61" s="1807">
        <f>J59+1</f>
        <v>6</v>
      </c>
      <c r="K61" s="3086" t="s">
        <v>2232</v>
      </c>
      <c r="L61" s="3086"/>
      <c r="M61" s="1759"/>
      <c r="N61" s="1760">
        <f ca="1">ROUND(N59*10000/'数据-汇总表'!E3,0)</f>
        <v>14557</v>
      </c>
      <c r="O61" s="2493"/>
    </row>
    <row r="62" spans="1:35" ht="12.75">
      <c r="A62" s="3106" t="s">
        <v>2233</v>
      </c>
      <c r="B62" s="3107"/>
      <c r="C62" s="1799"/>
      <c r="D62" s="1799" t="s">
        <v>2234</v>
      </c>
      <c r="E62" s="191" t="s">
        <v>2235</v>
      </c>
      <c r="F62" s="2484"/>
      <c r="G62" s="2484"/>
      <c r="H62" s="2492"/>
      <c r="I62" s="137"/>
    </row>
    <row r="63" spans="1:35" ht="12.75">
      <c r="A63" s="202" t="s">
        <v>775</v>
      </c>
      <c r="B63" s="192" t="s">
        <v>2236</v>
      </c>
      <c r="C63" s="193">
        <f ca="1">ROUND((C64+C65)/(1+'数据-取费表'!C42),0)</f>
        <v>4134</v>
      </c>
      <c r="D63" s="194"/>
      <c r="E63" s="195"/>
      <c r="F63" s="2484"/>
      <c r="G63" s="2484"/>
      <c r="H63" s="2492"/>
      <c r="I63" s="137"/>
      <c r="J63" s="3071" t="s">
        <v>2237</v>
      </c>
      <c r="K63" s="2494" t="s">
        <v>2238</v>
      </c>
      <c r="L63" s="1747">
        <f ca="1">IF(M49&gt;10000,M49*0.5%,IF(AND(M49&gt;1000,M49&lt;=10000),M49*1%,IF(AND(M49&gt;100,M49&lt;=1000),M49*3%,IF(AND(M49&gt;10,M49&lt;=100),M49*5%,M49*8%))))</f>
        <v>43.410000000000004</v>
      </c>
      <c r="M63" s="24">
        <f ca="1">ROUND(L63,1)</f>
        <v>43.4</v>
      </c>
      <c r="Z63" s="2418"/>
      <c r="AI63" s="2419"/>
    </row>
    <row r="64" spans="1:35" ht="14.25" customHeight="1">
      <c r="A64" s="196" t="s">
        <v>770</v>
      </c>
      <c r="B64" s="197" t="s">
        <v>2239</v>
      </c>
      <c r="C64" s="198">
        <f ca="1">D45</f>
        <v>4341</v>
      </c>
      <c r="D64" s="199" t="s">
        <v>32</v>
      </c>
      <c r="E64" s="200"/>
      <c r="F64" s="2484"/>
      <c r="G64" s="2484"/>
      <c r="H64" s="2492"/>
      <c r="I64" s="137"/>
      <c r="J64" s="3071"/>
      <c r="K64" s="2494" t="s">
        <v>2240</v>
      </c>
      <c r="L64" s="1747">
        <f ca="1">IF(M49&gt;2000,M49*0.5%,IF(AND(M49&gt;1000,M49&lt;=2000),M49*0.6%,IF(AND(M49&gt;500,M49&lt;=1000),M49*0.7%,IF(AND(M49&gt;200,M49&lt;=500),M49*0.8%,IF(AND(M49&gt;100,M49&lt;=200),M49*0.9%,IF(AND(M49&gt;50,M49&lt;=100),M49*1%,IF(AND(M49&gt;20,M49&lt;=50),M49*1.5%,IF(AND(M49&gt;10,M49&lt;=20),M49*2%,IF(AND(M49&gt;1,M49&lt;=10),M49*2.5%)))))))))</f>
        <v>21.705000000000002</v>
      </c>
      <c r="M64" s="24">
        <f t="shared" ref="M64:M65" ca="1" si="1">ROUND(L64,1)</f>
        <v>21.7</v>
      </c>
      <c r="N64" s="137" t="s">
        <v>2241</v>
      </c>
      <c r="Z64" s="2418"/>
      <c r="AI64" s="2419"/>
    </row>
    <row r="65" spans="1:35" ht="14.25" customHeight="1">
      <c r="A65" s="196" t="s">
        <v>771</v>
      </c>
      <c r="B65" s="197" t="s">
        <v>2242</v>
      </c>
      <c r="C65" s="201"/>
      <c r="D65" s="199"/>
      <c r="E65" s="200"/>
      <c r="F65" s="2484"/>
      <c r="G65" s="2484"/>
      <c r="H65" s="2492"/>
      <c r="I65" s="137"/>
      <c r="J65" s="3071"/>
      <c r="K65" s="2494" t="s">
        <v>2243</v>
      </c>
      <c r="L65" s="1747">
        <f ca="1">IF(M49&gt;1000,M49*0.1%,IF(AND(M49&gt;500,M49&lt;=1000),M49*0.5%,IF(AND(M49&gt;50,M49&lt;=500),M49*1%,IF(AND(M49&gt;1,M49&lt;=50),M49*1.5%))))</f>
        <v>4.3410000000000002</v>
      </c>
      <c r="M65" s="24">
        <f t="shared" ca="1" si="1"/>
        <v>4.3</v>
      </c>
      <c r="N65" s="137" t="s">
        <v>2241</v>
      </c>
      <c r="Z65" s="2418"/>
      <c r="AI65" s="2419"/>
    </row>
    <row r="66" spans="1:35" ht="14.25" customHeight="1">
      <c r="A66" s="202" t="s">
        <v>772</v>
      </c>
      <c r="B66" s="203" t="s">
        <v>2244</v>
      </c>
      <c r="C66" s="204"/>
      <c r="D66" s="205" t="s">
        <v>32</v>
      </c>
      <c r="E66" s="1771" t="s">
        <v>1367</v>
      </c>
      <c r="F66" s="2484"/>
      <c r="G66" s="2484"/>
      <c r="H66" s="2492"/>
      <c r="I66" s="137"/>
      <c r="J66" s="3071"/>
      <c r="K66" s="2494" t="s">
        <v>2245</v>
      </c>
      <c r="L66" s="1747">
        <f ca="1">M49*0.5%</f>
        <v>21.705000000000002</v>
      </c>
      <c r="M66" s="24">
        <f ca="1">IF(L66&gt;0.5,0.5,ROUND(L66,0))</f>
        <v>0.5</v>
      </c>
      <c r="N66" s="137" t="s">
        <v>2246</v>
      </c>
      <c r="Z66" s="2418"/>
      <c r="AI66" s="2419"/>
    </row>
    <row r="67" spans="1:35" ht="14.25" customHeight="1">
      <c r="A67" s="202" t="s">
        <v>773</v>
      </c>
      <c r="B67" s="203" t="s">
        <v>2247</v>
      </c>
      <c r="C67" s="206">
        <f ca="1">C63-C66</f>
        <v>4134</v>
      </c>
      <c r="D67" s="199" t="s">
        <v>32</v>
      </c>
      <c r="E67" s="200"/>
      <c r="F67" s="2484"/>
      <c r="G67" s="2484"/>
      <c r="H67" s="2492"/>
      <c r="I67" s="137"/>
      <c r="J67" s="3071"/>
      <c r="K67" s="2494" t="s">
        <v>2248</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7" t="s">
        <v>774</v>
      </c>
      <c r="B68" s="208" t="s">
        <v>2249</v>
      </c>
      <c r="C68" s="209">
        <f ca="1">IF(C67&lt;=0,0,ROUND(C67*D68,0))</f>
        <v>227</v>
      </c>
      <c r="D68" s="210">
        <f>'数据-取费表'!B41</f>
        <v>5.5000000000000007E-2</v>
      </c>
      <c r="E68" s="211"/>
      <c r="F68" s="2484"/>
      <c r="G68" s="2484"/>
      <c r="H68" s="2492"/>
      <c r="I68" s="137"/>
      <c r="J68" s="3071"/>
      <c r="K68" s="2494" t="s">
        <v>2250</v>
      </c>
      <c r="L68" s="1747">
        <f ca="1">IF(M49&gt;10000,M49*0.5%,IF(AND(M49&gt;5000,M49&lt;=10000),M49*1%,IF(AND(M49&gt;1000,M49&lt;=5000),M49*2%,IF(AND(M49&gt;200,M49&lt;=1000),M49*3%,M49*5%))))</f>
        <v>86.820000000000007</v>
      </c>
      <c r="M68" s="24">
        <f ca="1">ROUND(L68,1)</f>
        <v>86.8</v>
      </c>
      <c r="Z68" s="2418"/>
      <c r="AI68" s="2419"/>
    </row>
    <row r="69" spans="1:35" s="2441" customFormat="1" ht="16.5" customHeight="1">
      <c r="A69" s="2495"/>
      <c r="B69" s="2496"/>
      <c r="C69" s="2497"/>
      <c r="D69" s="2498"/>
      <c r="E69" s="2499"/>
      <c r="F69" s="2161"/>
      <c r="G69" s="2161"/>
      <c r="H69" s="2160"/>
      <c r="I69" s="2413"/>
      <c r="J69" s="3071"/>
      <c r="K69" s="2494" t="s">
        <v>2251</v>
      </c>
      <c r="L69" s="2500"/>
      <c r="M69" s="24">
        <f ca="1">ROUND(SUM(M63:M68),0)</f>
        <v>159</v>
      </c>
      <c r="N69" s="1748">
        <f ca="1">M69/M49</f>
        <v>3.6627505183137524E-2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115" t="s">
        <v>2252</v>
      </c>
      <c r="B70" s="3116"/>
      <c r="C70" s="3116"/>
      <c r="D70" s="3116"/>
      <c r="E70" s="3116"/>
      <c r="F70" s="3116"/>
      <c r="G70" s="3116"/>
      <c r="H70" s="311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06" t="s">
        <v>2233</v>
      </c>
      <c r="B71" s="3107"/>
      <c r="C71" s="1799"/>
      <c r="D71" s="1799" t="s">
        <v>2234</v>
      </c>
      <c r="E71" s="212" t="s">
        <v>2235</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2253</v>
      </c>
      <c r="C72" s="206">
        <f ca="1">ROUND(D45/(1+'数据-取费表'!C42),0)</f>
        <v>4134</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2254</v>
      </c>
      <c r="C73" s="206">
        <f ca="1">C74+C78</f>
        <v>21</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2255</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2256</v>
      </c>
      <c r="C75" s="217"/>
      <c r="D75" s="199" t="s">
        <v>32</v>
      </c>
      <c r="E75" s="218" t="s">
        <v>2257</v>
      </c>
      <c r="F75" s="2506" t="s">
        <v>2258</v>
      </c>
      <c r="G75" s="218" t="s">
        <v>2259</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2260</v>
      </c>
      <c r="C76" s="199">
        <f>IF(F75="购房发票",ROUND(C75*H75*D76,0),0)</f>
        <v>0</v>
      </c>
      <c r="D76" s="221">
        <v>0.05</v>
      </c>
      <c r="E76" s="3112" t="s">
        <v>2261</v>
      </c>
      <c r="F76" s="3111"/>
      <c r="G76" s="3111"/>
      <c r="H76" s="311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8" t="s">
        <v>2264</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2265</v>
      </c>
      <c r="C78" s="224">
        <f ca="1">ROUND(D45*D78/(1+'数据-取费表'!C42),0)</f>
        <v>21</v>
      </c>
      <c r="D78" s="225">
        <f>'数据-取费表'!B43</f>
        <v>5.000000000000001E-3</v>
      </c>
      <c r="E78" s="3103" t="s">
        <v>2266</v>
      </c>
      <c r="F78" s="3104"/>
      <c r="G78" s="3104"/>
      <c r="H78" s="310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2267</v>
      </c>
      <c r="C79" s="206">
        <f ca="1">C72-C73</f>
        <v>4113</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2268</v>
      </c>
      <c r="C80" s="226">
        <f ca="1">IF(C79&lt;=0,0,C79/C73)</f>
        <v>195.85714285714286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2269</v>
      </c>
      <c r="C81" s="227">
        <f ca="1">ROUND(IF(C79&lt;=0,0,IF(C80&gt;=200%,C79*60%-C73*35%,IF(C80&gt;=100%,C79*50%-C73*15%,IF(C80&gt;=50%,C79*40%-C73*5%,IF(C80&lt;50%,C79*30%,0))))),0)</f>
        <v>2460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5" t="s">
        <v>2270</v>
      </c>
      <c r="B83" s="3116"/>
      <c r="C83" s="3116"/>
      <c r="D83" s="3116"/>
      <c r="E83" s="3116"/>
      <c r="F83" s="3116"/>
      <c r="G83" s="3116"/>
      <c r="H83" s="311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6" t="s">
        <v>2233</v>
      </c>
      <c r="B84" s="3107"/>
      <c r="C84" s="1799"/>
      <c r="D84" s="1799" t="s">
        <v>2234</v>
      </c>
      <c r="E84" s="212" t="s">
        <v>2235</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2253</v>
      </c>
      <c r="C85" s="206">
        <f ca="1">ROUND(D45/(1+'数据-取费表'!C42),0)</f>
        <v>4134</v>
      </c>
      <c r="D85" s="199" t="s">
        <v>32</v>
      </c>
      <c r="E85" s="1798"/>
      <c r="F85" s="1792"/>
      <c r="G85" s="1792"/>
      <c r="H85" s="233"/>
      <c r="I85" s="2507"/>
      <c r="J85" s="2966" t="s">
        <v>3106</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2254</v>
      </c>
      <c r="C86" s="206">
        <f ca="1">IF(H88="仅含出让金",C87+C90+C91+C92+C93+C94,C87+C91+C92+C93+C94)</f>
        <v>1894</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2271</v>
      </c>
      <c r="C87" s="224">
        <f>C88+C89</f>
        <v>638</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2272</v>
      </c>
      <c r="C88" s="235">
        <f>ROUND(J86*'数据-汇总表'!F19/10000,0)</f>
        <v>619</v>
      </c>
      <c r="D88" s="225"/>
      <c r="E88" s="236" t="s">
        <v>2273</v>
      </c>
      <c r="F88" s="1795"/>
      <c r="G88" s="237" t="s">
        <v>2274</v>
      </c>
      <c r="H88" s="2512" t="s">
        <v>3107</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2262</v>
      </c>
      <c r="C89" s="224">
        <f>ROUND(C88*D89,0)</f>
        <v>19</v>
      </c>
      <c r="D89" s="225">
        <f>'数据-取费表'!B48+'数据-取费表'!B49</f>
        <v>3.0499999999999999E-2</v>
      </c>
      <c r="E89" s="236" t="s">
        <v>2275</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2276</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2277</v>
      </c>
      <c r="B91" s="197" t="s">
        <v>2278</v>
      </c>
      <c r="C91" s="224">
        <f ca="1">IF(H91="——",成本法!C33,I91)</f>
        <v>803</v>
      </c>
      <c r="D91" s="225"/>
      <c r="E91" s="3103" t="s">
        <v>2279</v>
      </c>
      <c r="F91" s="3104"/>
      <c r="G91" s="3104"/>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2280</v>
      </c>
      <c r="B92" s="197" t="s">
        <v>2281</v>
      </c>
      <c r="C92" s="224">
        <f ca="1">ROUND((C87+C90+C91)*D92,0)</f>
        <v>144</v>
      </c>
      <c r="D92" s="225">
        <v>0.1</v>
      </c>
      <c r="E92" s="3103" t="s">
        <v>2282</v>
      </c>
      <c r="F92" s="3104"/>
      <c r="G92" s="3104"/>
      <c r="H92" s="310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2283</v>
      </c>
      <c r="B93" s="197" t="s">
        <v>2265</v>
      </c>
      <c r="C93" s="224">
        <f ca="1">ROUND(D45*D93/(1+'数据-取费表'!C42),0)</f>
        <v>21</v>
      </c>
      <c r="D93" s="225">
        <f>'数据-取费表'!B43</f>
        <v>5.000000000000001E-3</v>
      </c>
      <c r="E93" s="3103" t="s">
        <v>2266</v>
      </c>
      <c r="F93" s="3104"/>
      <c r="G93" s="3104"/>
      <c r="H93" s="310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2284</v>
      </c>
      <c r="B94" s="197" t="s">
        <v>2285</v>
      </c>
      <c r="C94" s="235">
        <f ca="1">ROUND((C87+C90+C91)*D94,0)</f>
        <v>288</v>
      </c>
      <c r="D94" s="225">
        <v>0.2</v>
      </c>
      <c r="E94" s="3151" t="s">
        <v>2286</v>
      </c>
      <c r="F94" s="3152"/>
      <c r="G94" s="3152"/>
      <c r="H94" s="315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2267</v>
      </c>
      <c r="C95" s="206">
        <f ca="1">ROUND(C85-C86,0)</f>
        <v>2240</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2268</v>
      </c>
      <c r="C96" s="226">
        <f ca="1">IF(C95&lt;=0,0,C95/C86)</f>
        <v>1.1826821541710666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2269</v>
      </c>
      <c r="C97" s="227">
        <f ca="1">ROUND(IF(C95&lt;=0,0,IF(C96&gt;=200%,C95*60%-C86*35%,IF(C96&gt;=100%,C95*50%-C86*15%,IF(C96&gt;=50%,C95*40%-C86*5%,IF(C96&lt;50%,C95*30%,0))))),0)</f>
        <v>836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2287</v>
      </c>
      <c r="B99" s="2413"/>
      <c r="C99" s="2413"/>
      <c r="D99" s="2413"/>
      <c r="E99" s="2161"/>
      <c r="F99" s="2161"/>
      <c r="G99" s="2161"/>
      <c r="H99" s="2160"/>
      <c r="I99" s="137"/>
    </row>
    <row r="100" spans="1:35" ht="18.75" customHeight="1">
      <c r="A100" s="3055" t="s">
        <v>2288</v>
      </c>
      <c r="B100" s="3056"/>
      <c r="C100" s="3056"/>
      <c r="D100" s="3087"/>
      <c r="E100" s="3056" t="s">
        <v>2289</v>
      </c>
      <c r="F100" s="3056"/>
      <c r="G100" s="3056"/>
      <c r="H100" s="3087"/>
      <c r="I100" s="137"/>
    </row>
    <row r="101" spans="1:35" ht="18.75" customHeight="1">
      <c r="A101" s="3095" t="s">
        <v>2290</v>
      </c>
      <c r="B101" s="3096"/>
      <c r="C101" s="734" t="str">
        <f>C4</f>
        <v>成本法</v>
      </c>
      <c r="D101" s="735" t="str">
        <f>D4</f>
        <v>收益法</v>
      </c>
      <c r="E101" s="3067" t="s">
        <v>2291</v>
      </c>
      <c r="F101" s="3068"/>
      <c r="G101" s="2515" t="s">
        <v>2292</v>
      </c>
      <c r="H101" s="1043">
        <f ca="1">H118</f>
        <v>4341</v>
      </c>
      <c r="I101" s="137"/>
    </row>
    <row r="102" spans="1:35" ht="18.75" customHeight="1">
      <c r="A102" s="3097" t="s">
        <v>2293</v>
      </c>
      <c r="B102" s="2515" t="s">
        <v>2292</v>
      </c>
      <c r="C102" s="734">
        <f ca="1">C19</f>
        <v>2171</v>
      </c>
      <c r="D102" s="735">
        <f ca="1">D19</f>
        <v>5787</v>
      </c>
      <c r="E102" s="3067"/>
      <c r="F102" s="3068"/>
      <c r="G102" s="2515" t="s">
        <v>2294</v>
      </c>
      <c r="H102" s="370">
        <f ca="1">I118</f>
        <v>18039</v>
      </c>
      <c r="I102" s="137"/>
    </row>
    <row r="103" spans="1:35" ht="42.75" customHeight="1">
      <c r="A103" s="3097"/>
      <c r="B103" s="2515" t="s">
        <v>2294</v>
      </c>
      <c r="C103" s="736">
        <f ca="1">C20</f>
        <v>9022</v>
      </c>
      <c r="D103" s="737">
        <f ca="1">D20</f>
        <v>24048</v>
      </c>
      <c r="E103" s="3061" t="s">
        <v>2295</v>
      </c>
      <c r="F103" s="3062"/>
      <c r="G103" s="2516" t="s">
        <v>2296</v>
      </c>
      <c r="H103" s="1043">
        <f>IF(D36="正常操作",H104+H105+H106,H105+H106)</f>
        <v>0</v>
      </c>
      <c r="I103" s="137"/>
    </row>
    <row r="104" spans="1:35" ht="18.75" customHeight="1">
      <c r="A104" s="3097" t="s">
        <v>2297</v>
      </c>
      <c r="B104" s="2517" t="s">
        <v>2292</v>
      </c>
      <c r="C104" s="738">
        <f ca="1">H118</f>
        <v>4341</v>
      </c>
      <c r="D104" s="739"/>
      <c r="E104" s="2262" t="s">
        <v>2298</v>
      </c>
      <c r="F104" s="2253"/>
      <c r="G104" s="2516" t="s">
        <v>2296</v>
      </c>
      <c r="H104" s="1044">
        <f>IF(D36="同一抵押权人同一抵押物续贷",C36&amp;"（未扣减，详见特别提示）",C36)</f>
        <v>0</v>
      </c>
      <c r="I104" s="137"/>
    </row>
    <row r="105" spans="1:35" ht="18.75" customHeight="1" thickBot="1">
      <c r="A105" s="3109"/>
      <c r="B105" s="2518" t="s">
        <v>2294</v>
      </c>
      <c r="C105" s="740">
        <f ca="1">I118</f>
        <v>18039</v>
      </c>
      <c r="D105" s="741"/>
      <c r="E105" s="2262" t="s">
        <v>2299</v>
      </c>
      <c r="F105" s="2253"/>
      <c r="G105" s="2516" t="s">
        <v>2296</v>
      </c>
      <c r="H105" s="1044">
        <f>C37</f>
        <v>0</v>
      </c>
      <c r="I105" s="137"/>
    </row>
    <row r="106" spans="1:35" ht="18.75" customHeight="1">
      <c r="A106" s="2413" t="s">
        <v>2300</v>
      </c>
      <c r="B106" s="2413"/>
      <c r="C106" s="2413"/>
      <c r="D106" s="2413"/>
      <c r="E106" s="2519" t="s">
        <v>2301</v>
      </c>
      <c r="F106" s="2253"/>
      <c r="G106" s="2516" t="s">
        <v>2296</v>
      </c>
      <c r="H106" s="1044">
        <f>C38</f>
        <v>0</v>
      </c>
      <c r="I106" s="137"/>
    </row>
    <row r="107" spans="1:35" ht="18.75" customHeight="1">
      <c r="A107" s="137"/>
      <c r="B107" s="137"/>
      <c r="C107" s="137"/>
      <c r="D107" s="137"/>
      <c r="E107" s="3098" t="str">
        <f>IF(项目基本情况!E8="已注销","——","3.房地产抵押价值")</f>
        <v>3.房地产抵押价值</v>
      </c>
      <c r="F107" s="3068"/>
      <c r="G107" s="2515" t="s">
        <v>2292</v>
      </c>
      <c r="H107" s="1043">
        <f ca="1">IF(E107="——","——",H101-H103)</f>
        <v>4341</v>
      </c>
      <c r="I107" s="137"/>
    </row>
    <row r="108" spans="1:35" ht="18.75" customHeight="1">
      <c r="A108" s="137"/>
      <c r="B108" s="137"/>
      <c r="C108" s="137"/>
      <c r="D108" s="137"/>
      <c r="E108" s="3098"/>
      <c r="F108" s="3068"/>
      <c r="G108" s="2515" t="s">
        <v>2294</v>
      </c>
      <c r="H108" s="370">
        <f ca="1">ROUND(H107*10000/'数据-汇总表'!E3,0)</f>
        <v>18039</v>
      </c>
      <c r="I108" s="137"/>
    </row>
    <row r="109" spans="1:35" ht="18.75" customHeight="1">
      <c r="A109" s="137"/>
      <c r="B109" s="137"/>
      <c r="C109" s="137"/>
      <c r="D109" s="137"/>
      <c r="E109" s="3098" t="str">
        <f>IF(项目基本情况!E8="已注销及未注销","4.抵押担保权已注销时的房地产抵押价值",IF(项目基本情况!E8="已注销","3.抵押担保权已注销时的房地产抵押价值","——"))</f>
        <v>——</v>
      </c>
      <c r="F109" s="3068"/>
      <c r="G109" s="2515" t="s">
        <v>2292</v>
      </c>
      <c r="H109" s="347" t="str">
        <f>IF(E109="——","——",H101-H105-H106)</f>
        <v>——</v>
      </c>
      <c r="I109" s="137"/>
    </row>
    <row r="110" spans="1:35" ht="18.75" customHeight="1">
      <c r="A110" s="137"/>
      <c r="B110" s="137"/>
      <c r="C110" s="137"/>
      <c r="D110" s="137"/>
      <c r="E110" s="3098"/>
      <c r="F110" s="3068"/>
      <c r="G110" s="2515" t="s">
        <v>2294</v>
      </c>
      <c r="H110" s="370" t="str">
        <f>IF(H109="——","——",ROUND(H109*10000/'数据-汇总表'!E3,0))</f>
        <v>——</v>
      </c>
      <c r="I110" s="137"/>
    </row>
    <row r="111" spans="1:35" ht="18.75" customHeight="1">
      <c r="A111" s="137"/>
      <c r="B111" s="137"/>
      <c r="C111" s="137"/>
      <c r="D111" s="137"/>
      <c r="E111" s="3099" t="str">
        <f>IF(项目基本情况!E9="抵押净值",IF(OR(项目基本情况!E8="已注销",项目基本情况!E8="房地产抵押价值"),"4.抵押净值","5.抵押净值"),"——")</f>
        <v>4.抵押净值</v>
      </c>
      <c r="F111" s="3100"/>
      <c r="G111" s="2515" t="s">
        <v>2292</v>
      </c>
      <c r="H111" s="1043">
        <f ca="1">IF(E111="——","——",N59)</f>
        <v>3503</v>
      </c>
      <c r="I111" s="137"/>
    </row>
    <row r="112" spans="1:35" ht="18.75" customHeight="1" thickBot="1">
      <c r="A112" s="137"/>
      <c r="B112" s="137"/>
      <c r="C112" s="137"/>
      <c r="D112" s="137"/>
      <c r="E112" s="3101"/>
      <c r="F112" s="3102"/>
      <c r="G112" s="2520" t="s">
        <v>2294</v>
      </c>
      <c r="H112" s="788">
        <f ca="1">IF(E111="——","——",N61)</f>
        <v>14557</v>
      </c>
      <c r="I112" s="137"/>
    </row>
    <row r="113" spans="1:11" ht="18.75" customHeight="1">
      <c r="A113" s="137"/>
      <c r="B113" s="137"/>
      <c r="C113" s="137"/>
      <c r="D113" s="137"/>
      <c r="E113" s="3110" t="s">
        <v>2300</v>
      </c>
      <c r="F113" s="3110"/>
      <c r="G113" s="3110"/>
      <c r="H113" s="3110"/>
      <c r="I113" s="137"/>
    </row>
    <row r="114" spans="1:11" ht="3.75" customHeight="1">
      <c r="A114" s="2413"/>
      <c r="B114" s="2413"/>
      <c r="C114" s="2413"/>
      <c r="D114" s="2413"/>
      <c r="E114" s="2491"/>
      <c r="F114" s="2491"/>
      <c r="G114" s="2491"/>
      <c r="H114" s="2491"/>
      <c r="I114" s="2413"/>
    </row>
    <row r="115" spans="1:11" ht="18.75" customHeight="1">
      <c r="A115" s="3123" t="s">
        <v>2302</v>
      </c>
      <c r="B115" s="3124"/>
      <c r="C115" s="3124"/>
      <c r="D115" s="3124"/>
      <c r="E115" s="3124"/>
      <c r="F115" s="3124"/>
      <c r="G115" s="3124"/>
      <c r="H115" s="3124"/>
      <c r="I115" s="3125"/>
    </row>
    <row r="116" spans="1:11" ht="27" customHeight="1">
      <c r="A116" s="3034" t="s">
        <v>2303</v>
      </c>
      <c r="B116" s="3077" t="s">
        <v>2304</v>
      </c>
      <c r="C116" s="3077" t="s">
        <v>2305</v>
      </c>
      <c r="D116" s="3083" t="s">
        <v>2306</v>
      </c>
      <c r="E116" s="3084"/>
      <c r="F116" s="3119" t="s">
        <v>2307</v>
      </c>
      <c r="G116" s="3119"/>
      <c r="H116" s="3034" t="s">
        <v>2308</v>
      </c>
      <c r="I116" s="3034"/>
    </row>
    <row r="117" spans="1:11" ht="18.75" customHeight="1">
      <c r="A117" s="3034"/>
      <c r="B117" s="3078"/>
      <c r="C117" s="3078"/>
      <c r="D117" s="1793" t="s">
        <v>2309</v>
      </c>
      <c r="E117" s="1793" t="s">
        <v>2310</v>
      </c>
      <c r="F117" s="1793" t="s">
        <v>2309</v>
      </c>
      <c r="G117" s="1793" t="s">
        <v>2311</v>
      </c>
      <c r="H117" s="1793" t="s">
        <v>2309</v>
      </c>
      <c r="I117" s="1793" t="s">
        <v>2311</v>
      </c>
    </row>
    <row r="118" spans="1:11" ht="24.75" customHeight="1">
      <c r="A118" s="2521" t="str">
        <f>项目基本情况!S2</f>
        <v>江苏省泰州市泰兴市泰兴市佳源新天地2号16幢101室房地产</v>
      </c>
      <c r="B118" s="1793">
        <f>M18</f>
        <v>2406.44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4341</v>
      </c>
      <c r="I118" s="1793">
        <f ca="1">ROUND(IF(D32="楼面单价",C32,H118*10000/B118),0)</f>
        <v>18039</v>
      </c>
    </row>
    <row r="119" spans="1:11" ht="18.75" customHeight="1">
      <c r="A119" s="3034" t="s">
        <v>2312</v>
      </c>
      <c r="B119" s="3034"/>
      <c r="C119" s="3034"/>
      <c r="D119" s="3079" t="e">
        <f ca="1">NUMBERSTRING(INT(D118*10000),2)&amp;"元整"</f>
        <v>#REF!</v>
      </c>
      <c r="E119" s="3080"/>
      <c r="F119" s="3079" t="e">
        <f ca="1">NUMBERSTRING(INT(F118*10000),2)&amp;"元整"</f>
        <v>#REF!</v>
      </c>
      <c r="G119" s="3080"/>
      <c r="H119" s="3079" t="str">
        <f ca="1">NUMBERSTRING(INT(H118*10000),2)&amp;"元整"</f>
        <v>肆仟叁佰肆拾壹万元整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18" t="str">
        <f>IF(D120=0,"故，本次评估不存在"&amp;A120,"故，本次评估"&amp;A120&amp;"为人民币"&amp;D120&amp;"万元整。")</f>
        <v>故，本次评估不存在估价师知悉的法定优先受偿款</v>
      </c>
    </row>
    <row r="121" spans="1:11" ht="18.75" customHeight="1">
      <c r="A121" s="3120" t="s">
        <v>2312</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4341</v>
      </c>
      <c r="E122" s="3075"/>
      <c r="F122" s="3075"/>
      <c r="G122" s="3075"/>
      <c r="H122" s="3075"/>
      <c r="I122" s="3076"/>
    </row>
    <row r="123" spans="1:11" ht="18.75" customHeight="1">
      <c r="A123" s="3034" t="s">
        <v>2312</v>
      </c>
      <c r="B123" s="3034"/>
      <c r="C123" s="3034"/>
      <c r="D123" s="3079" t="str">
        <f ca="1">NUMBERSTRING(INT(D122*10000),2)&amp;"元整"</f>
        <v>肆仟叁佰肆拾壹万元整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2312</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抵押净值</v>
      </c>
      <c r="B126" s="3085"/>
      <c r="C126" s="3085"/>
      <c r="D126" s="3074">
        <f ca="1">H111</f>
        <v>3503</v>
      </c>
      <c r="E126" s="3075"/>
      <c r="F126" s="3075"/>
      <c r="G126" s="3075"/>
      <c r="H126" s="3075"/>
      <c r="I126" s="3076"/>
    </row>
    <row r="127" spans="1:11" ht="18.75" customHeight="1">
      <c r="A127" s="3034" t="s">
        <v>2312</v>
      </c>
      <c r="B127" s="3034"/>
      <c r="C127" s="3034"/>
      <c r="D127" s="3079" t="str">
        <f ca="1">NUMBERSTRING(INT(D126*10000),2)&amp;"元整"</f>
        <v>叁仟伍佰零叁万元整</v>
      </c>
      <c r="E127" s="3081"/>
      <c r="F127" s="3081"/>
      <c r="G127" s="3081"/>
      <c r="H127" s="3081"/>
      <c r="I127" s="3080"/>
    </row>
    <row r="128" spans="1:11" ht="21.75" customHeight="1">
      <c r="A128" s="3082" t="s">
        <v>2313</v>
      </c>
      <c r="B128" s="3082"/>
      <c r="C128" s="3082"/>
      <c r="D128" s="3082"/>
      <c r="E128" s="3082"/>
      <c r="F128" s="3082"/>
      <c r="G128" s="3082"/>
      <c r="H128" s="3082"/>
      <c r="I128" s="3082"/>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2316</v>
      </c>
      <c r="G135" s="2539"/>
      <c r="H135" s="2539"/>
      <c r="I135" s="2540" t="s">
        <v>2317</v>
      </c>
    </row>
    <row r="136" spans="1:35" ht="21.75" customHeight="1">
      <c r="A136" s="793"/>
      <c r="B136" s="2541"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2319</v>
      </c>
    </row>
    <row r="139" spans="1:35" ht="21.75" customHeight="1">
      <c r="A139" s="793"/>
      <c r="B139" s="2541" t="s">
        <v>2320</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2319</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9" sqref="G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5" t="s">
        <v>1373</v>
      </c>
      <c r="C1" s="241"/>
      <c r="D1" s="241"/>
      <c r="E1" s="241"/>
      <c r="F1" s="241"/>
      <c r="G1" s="1377">
        <f>MATCH(B1,'数据-取费表'!A6:A16,0)+5</f>
        <v>6</v>
      </c>
    </row>
    <row r="2" spans="1:9" s="243" customFormat="1" ht="18" customHeight="1">
      <c r="A2" s="244" t="s">
        <v>2322</v>
      </c>
      <c r="B2" s="245">
        <f ca="1">IF(D2="——",C52,C52-E2)</f>
        <v>2171</v>
      </c>
      <c r="C2" s="242" t="s">
        <v>2323</v>
      </c>
      <c r="D2" s="2544" t="s">
        <v>70</v>
      </c>
      <c r="E2" s="1438">
        <f ca="1">SUMIF(INDIRECT("'"&amp;G2&amp;"'"&amp;"!A:A"),"承租人权益价值",INDIRECT("'"&amp;G2&amp;"'"&amp;"!c:c"))</f>
        <v>0</v>
      </c>
      <c r="F2" s="2545" t="s">
        <v>2323</v>
      </c>
      <c r="G2" s="2546" t="s">
        <v>3072</v>
      </c>
    </row>
    <row r="3" spans="1:9" s="243" customFormat="1" ht="18" customHeight="1" thickBot="1">
      <c r="A3" s="246" t="s">
        <v>2324</v>
      </c>
      <c r="B3" s="247">
        <f ca="1">ROUND(B2*10000/(IF(B1="",'数据-汇总表'!E3,INDIRECT("'数据-取费表'!k"&amp;$G$1))),0)</f>
        <v>9022</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 ca="1">C6+C7+C8</f>
        <v>765</v>
      </c>
      <c r="D5" s="254" t="s">
        <v>2329</v>
      </c>
      <c r="E5" s="255" t="s">
        <v>2330</v>
      </c>
      <c r="F5" s="255" t="s">
        <v>2331</v>
      </c>
      <c r="G5" s="256"/>
    </row>
    <row r="6" spans="1:9" s="257" customFormat="1" ht="13.5" customHeight="1">
      <c r="A6" s="947" t="s">
        <v>2332</v>
      </c>
      <c r="B6" s="258" t="s">
        <v>2333</v>
      </c>
      <c r="C6" s="259">
        <f>'土地比较法-住宅、综合'!B2</f>
        <v>724</v>
      </c>
      <c r="D6" s="260"/>
      <c r="E6" s="261"/>
      <c r="F6" s="261"/>
      <c r="G6" s="262"/>
    </row>
    <row r="7" spans="1:9" s="257" customFormat="1" ht="13.5" customHeight="1">
      <c r="A7" s="947" t="s">
        <v>2334</v>
      </c>
      <c r="B7" s="258" t="s">
        <v>2335</v>
      </c>
      <c r="C7" s="263">
        <f>ROUND(C6*F7,0)</f>
        <v>22</v>
      </c>
      <c r="D7" s="263"/>
      <c r="E7" s="261"/>
      <c r="F7" s="264">
        <f>'数据-取费表'!B48+'数据-取费表'!B49</f>
        <v>3.0499999999999999E-2</v>
      </c>
      <c r="G7" s="262"/>
    </row>
    <row r="8" spans="1:9" s="266" customFormat="1">
      <c r="A8" s="947" t="s">
        <v>2336</v>
      </c>
      <c r="B8" s="258" t="s">
        <v>2337</v>
      </c>
      <c r="C8" s="263">
        <f ca="1">IF(G8="已包含在土地购买价格中","0",IF(B1="",'数据-取费表'!B29,IF(G9="全部缴纳",C9+C10,H9)))</f>
        <v>19</v>
      </c>
      <c r="D8" s="265"/>
      <c r="E8" s="263"/>
      <c r="F8" s="264"/>
      <c r="G8" s="2547" t="s">
        <v>3070</v>
      </c>
    </row>
    <row r="9" spans="1:9" s="257" customFormat="1" ht="13.5" customHeight="1">
      <c r="A9" s="948" t="s">
        <v>800</v>
      </c>
      <c r="B9" s="267" t="s">
        <v>2338</v>
      </c>
      <c r="C9" s="268">
        <f ca="1">ROUND(D9*E9/10000,0)</f>
        <v>0</v>
      </c>
      <c r="D9" s="1030">
        <f ca="1">IF(B1="",'数据-汇总表'!E5,IF(INDIRECT("'数据-取费表'!c"&amp;$G$1)="住宅",INDIRECT("'数据-取费表'!k"&amp;$G$1),0))</f>
        <v>0</v>
      </c>
      <c r="E9" s="268">
        <f>'数据-取费表'!B27</f>
        <v>40</v>
      </c>
      <c r="F9" s="264"/>
      <c r="G9" s="2967" t="s">
        <v>3108</v>
      </c>
      <c r="H9" s="1388"/>
      <c r="I9" s="2548" t="s">
        <v>2339</v>
      </c>
    </row>
    <row r="10" spans="1:9" s="257" customFormat="1" ht="13.5" customHeight="1">
      <c r="A10" s="948" t="s">
        <v>801</v>
      </c>
      <c r="B10" s="267" t="s">
        <v>2340</v>
      </c>
      <c r="C10" s="268">
        <f ca="1">ROUND(D10*E10/10000,0)</f>
        <v>19</v>
      </c>
      <c r="D10" s="1030">
        <f ca="1">IF(B1="",'数据-汇总表'!E6,IF(INDIRECT("'数据-取费表'!c"&amp;$G$1)="住宅",INDIRECT("'数据-取费表'!s"&amp;$G$1),INDIRECT("'数据-取费表'!k"&amp;$G$1)+INDIRECT("'数据-取费表'!s"&amp;$G$1)))</f>
        <v>2406.44</v>
      </c>
      <c r="E10" s="268">
        <f>'数据-取费表'!B28</f>
        <v>80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2406.44</v>
      </c>
      <c r="E19" s="254">
        <f>'数据-取费表'!B31</f>
        <v>200</v>
      </c>
      <c r="F19" s="274"/>
      <c r="G19" s="2547" t="s">
        <v>3071</v>
      </c>
    </row>
    <row r="20" spans="1:7" s="257" customFormat="1" ht="13.5" customHeight="1">
      <c r="A20" s="298" t="s">
        <v>2353</v>
      </c>
      <c r="B20" s="253" t="s">
        <v>2354</v>
      </c>
      <c r="C20" s="275">
        <f ca="1">ROUND((C5+C19)*F20,0)</f>
        <v>15</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2">
        <f ca="1">ROUND(SUM(C23:C25),0)</f>
        <v>75</v>
      </c>
      <c r="D22" s="278">
        <f ca="1">C26</f>
        <v>1E-3</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74</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1</v>
      </c>
      <c r="D25" s="281"/>
      <c r="E25" s="284"/>
      <c r="F25" s="282"/>
      <c r="G25" s="285" t="s">
        <v>2370</v>
      </c>
    </row>
    <row r="26" spans="1:7" s="257" customFormat="1">
      <c r="A26" s="949" t="s">
        <v>795</v>
      </c>
      <c r="B26" s="258" t="s">
        <v>2371</v>
      </c>
      <c r="C26" s="281">
        <f ca="1">ROUND(IF('数据-取费表'!B22&lt;=1,F21*F22*'数据-取费表'!B23/2,F21*(POWER((1+F22),'数据-取费表'!B23/2)-1)),4)</f>
        <v>1E-3</v>
      </c>
      <c r="D26" s="281"/>
      <c r="E26" s="284"/>
      <c r="F26" s="282"/>
      <c r="G26" s="286"/>
    </row>
    <row r="27" spans="1:7" s="257" customFormat="1" ht="24.75">
      <c r="A27" s="298" t="s">
        <v>2372</v>
      </c>
      <c r="B27" s="287" t="s">
        <v>2373</v>
      </c>
      <c r="C27" s="288">
        <f ca="1">C28</f>
        <v>156</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ROUND((C5+C19+C20)*F27*'数据-取费表'!B21/'数据-取费表'!B20,0)</f>
        <v>156</v>
      </c>
      <c r="D28" s="278"/>
      <c r="E28" s="279"/>
      <c r="F28" s="289"/>
      <c r="G28" s="290"/>
    </row>
    <row r="29" spans="1:7" s="257" customFormat="1" ht="13.5" customHeight="1">
      <c r="A29" s="949" t="s">
        <v>792</v>
      </c>
      <c r="B29" s="291" t="s">
        <v>2377</v>
      </c>
      <c r="C29" s="281">
        <f ca="1">ROUND(C21*F27*'数据-取费表'!B21/'数据-取费表'!B20,4)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1096</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803</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722</v>
      </c>
      <c r="D34" s="260"/>
      <c r="E34" s="263"/>
      <c r="F34" s="300">
        <f ca="1">IF('数据-取费表'!B24=0,1,IF(B1="",'数据-取费表'!N16,INDIRECT("'数据-取费表'!n"&amp;$G$1)))</f>
        <v>1</v>
      </c>
      <c r="G34" s="262" t="s">
        <v>2386</v>
      </c>
    </row>
    <row r="35" spans="1:7" ht="13.5" customHeight="1">
      <c r="A35" s="949" t="s">
        <v>796</v>
      </c>
      <c r="B35" s="258" t="s">
        <v>2387</v>
      </c>
      <c r="C35" s="263">
        <f ca="1">ROUND(C34*F35,0)</f>
        <v>22</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2390</v>
      </c>
    </row>
    <row r="37" spans="1:7" s="301" customFormat="1" ht="13.5" customHeight="1">
      <c r="A37" s="949" t="s">
        <v>798</v>
      </c>
      <c r="B37" s="258" t="s">
        <v>2391</v>
      </c>
      <c r="C37" s="292">
        <f ca="1">ROUND(E37*D37*F34/10000,0)</f>
        <v>48</v>
      </c>
      <c r="D37" s="260">
        <f ca="1">D19</f>
        <v>2406.44</v>
      </c>
      <c r="E37" s="292">
        <f>'数据-取费表'!B35</f>
        <v>200</v>
      </c>
      <c r="F37" s="302"/>
      <c r="G37" s="304" t="s">
        <v>2392</v>
      </c>
    </row>
    <row r="38" spans="1:7" ht="13.5" customHeight="1">
      <c r="A38" s="949" t="s">
        <v>799</v>
      </c>
      <c r="B38" s="258" t="s">
        <v>2393</v>
      </c>
      <c r="C38" s="263">
        <f ca="1">ROUND(C34*F38,0)</f>
        <v>11</v>
      </c>
      <c r="D38" s="263"/>
      <c r="E38" s="263"/>
      <c r="F38" s="302">
        <f>'数据-取费表'!B36</f>
        <v>1.4999999999999999E-2</v>
      </c>
      <c r="G38" s="262" t="s">
        <v>2388</v>
      </c>
    </row>
    <row r="39" spans="1:7" s="257" customFormat="1" ht="13.5" customHeight="1">
      <c r="A39" s="298" t="s">
        <v>2394</v>
      </c>
      <c r="B39" s="253" t="s">
        <v>2395</v>
      </c>
      <c r="C39" s="275">
        <f ca="1">ROUND(C33*F20,0)</f>
        <v>16</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39</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38</v>
      </c>
      <c r="D42" s="281"/>
      <c r="E42" s="281"/>
      <c r="F42" s="282"/>
      <c r="G42" s="3154" t="s">
        <v>2404</v>
      </c>
    </row>
    <row r="43" spans="1:7" ht="13.5" customHeight="1">
      <c r="A43" s="949" t="s">
        <v>792</v>
      </c>
      <c r="B43" s="258" t="s">
        <v>2405</v>
      </c>
      <c r="C43" s="281">
        <f ca="1">ROUND(IF('数据-取费表'!B22&lt;=1,C39*F22*'数据-取费表'!B21/2,C39*(POWER((1+F22),'数据-取费表'!B21/2)-1)),0)</f>
        <v>1</v>
      </c>
      <c r="D43" s="281"/>
      <c r="E43" s="281"/>
      <c r="F43" s="282"/>
      <c r="G43" s="3155"/>
    </row>
    <row r="44" spans="1:7" ht="13.5" customHeight="1">
      <c r="A44" s="949" t="s">
        <v>793</v>
      </c>
      <c r="B44" s="258" t="s">
        <v>2406</v>
      </c>
      <c r="C44" s="281">
        <f ca="1">ROUND(IF('数据-取费表'!B22&lt;=1,C40*F22*'数据-取费表'!B21/2,C40*(POWER((1+F22),'数据-取费表'!B21/2)-1)),4)</f>
        <v>1E-3</v>
      </c>
      <c r="D44" s="281"/>
      <c r="E44" s="281"/>
      <c r="F44" s="282"/>
      <c r="G44" s="3156"/>
    </row>
    <row r="45" spans="1:7" s="257" customFormat="1" ht="13.5" customHeight="1">
      <c r="A45" s="298" t="s">
        <v>2407</v>
      </c>
      <c r="B45" s="287" t="s">
        <v>2373</v>
      </c>
      <c r="C45" s="288">
        <f ca="1">C46</f>
        <v>164</v>
      </c>
      <c r="D45" s="278">
        <f ca="1">C47</f>
        <v>4.0000000000000001E-3</v>
      </c>
      <c r="E45" s="279" t="s">
        <v>2399</v>
      </c>
      <c r="F45" s="289"/>
      <c r="G45" s="290" t="s">
        <v>2408</v>
      </c>
    </row>
    <row r="46" spans="1:7" s="257" customFormat="1" ht="13.5" customHeight="1">
      <c r="A46" s="949" t="s">
        <v>791</v>
      </c>
      <c r="B46" s="291" t="s">
        <v>2409</v>
      </c>
      <c r="C46" s="292">
        <f ca="1">ROUND((C33+C39)*F27,0)</f>
        <v>164</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1726">
        <f>ROUND(F30/(1+'数据-取费表'!C42),4)</f>
        <v>5.2400000000000002E-2</v>
      </c>
      <c r="D48" s="279" t="s">
        <v>2399</v>
      </c>
      <c r="E48" s="275"/>
      <c r="F48" s="280"/>
      <c r="G48" s="277" t="s">
        <v>2412</v>
      </c>
    </row>
    <row r="49" spans="1:7" ht="16.5" customHeight="1">
      <c r="A49" s="298" t="s">
        <v>2378</v>
      </c>
      <c r="B49" s="253" t="s">
        <v>2413</v>
      </c>
      <c r="C49" s="275">
        <f ca="1">ROUND((C33+C39+C41+C45)/(1-C40-D41-D45-C48),0)</f>
        <v>1108</v>
      </c>
      <c r="D49" s="275"/>
      <c r="E49" s="275"/>
      <c r="F49" s="307"/>
      <c r="G49" s="277" t="s">
        <v>2414</v>
      </c>
    </row>
    <row r="50" spans="1:7" s="301" customFormat="1" ht="24">
      <c r="A50" s="298" t="s">
        <v>2415</v>
      </c>
      <c r="B50" s="253" t="s">
        <v>2416</v>
      </c>
      <c r="C50" s="275"/>
      <c r="D50" s="275"/>
      <c r="E50" s="275"/>
      <c r="F50" s="307">
        <f>IF('数据-取费表'!B24=0,'数据-取费表'!N16,1)</f>
        <v>0.97</v>
      </c>
      <c r="G50" s="290" t="s">
        <v>2417</v>
      </c>
    </row>
    <row r="51" spans="1:7" ht="16.5" customHeight="1">
      <c r="A51" s="298" t="s">
        <v>2418</v>
      </c>
      <c r="B51" s="253" t="s">
        <v>2419</v>
      </c>
      <c r="C51" s="275">
        <f ca="1">ROUND(C49*F50,0)</f>
        <v>1075</v>
      </c>
      <c r="D51" s="275"/>
      <c r="E51" s="275"/>
      <c r="F51" s="307"/>
      <c r="G51" s="277" t="s">
        <v>2420</v>
      </c>
    </row>
    <row r="52" spans="1:7" s="251" customFormat="1" ht="16.5" thickBot="1">
      <c r="A52" s="308" t="s">
        <v>2421</v>
      </c>
      <c r="B52" s="309"/>
      <c r="C52" s="310">
        <f ca="1">C31+C51</f>
        <v>2171</v>
      </c>
      <c r="D52" s="309"/>
      <c r="E52" s="309"/>
      <c r="F52" s="309"/>
      <c r="G52" s="311"/>
    </row>
    <row r="55" spans="1:7" ht="15">
      <c r="B55" s="313" t="s">
        <v>2422</v>
      </c>
      <c r="C55" s="314"/>
    </row>
    <row r="56" spans="1:7">
      <c r="B56" s="316" t="s">
        <v>1509</v>
      </c>
      <c r="C56" s="318">
        <f ca="1">1-C57</f>
        <v>0.505</v>
      </c>
    </row>
    <row r="57" spans="1:7">
      <c r="B57" s="316" t="s">
        <v>1510</v>
      </c>
      <c r="C57" s="317">
        <f ca="1">ROUND(C51/C52,3)</f>
        <v>0.495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8" t="str">
        <f>项目基本情况!B1</f>
        <v>江苏省泰州市泰兴市泰兴市佳源新天地2号16幢101室房地产抵押价值预评估</v>
      </c>
      <c r="C37" s="2968"/>
      <c r="D37" s="2968"/>
      <c r="E37" s="2968"/>
      <c r="F37" s="2968"/>
      <c r="G37" s="2968"/>
      <c r="H37" s="2968"/>
      <c r="I37" s="2968"/>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5"/>
      <c r="C1" s="2549" t="s">
        <v>2423</v>
      </c>
      <c r="D1" s="241"/>
      <c r="E1" s="241"/>
      <c r="F1" s="241"/>
      <c r="G1" s="1377">
        <f>MATCH(B1,'数据-取费表'!A6:A16,0)+5</f>
        <v>7</v>
      </c>
      <c r="H1" s="1280" t="str">
        <f>IF(ISERROR(FIND("住宅",B1)),"非住宅","住宅")</f>
        <v>非住宅</v>
      </c>
    </row>
    <row r="2" spans="1:8" s="243" customFormat="1" ht="18" customHeight="1">
      <c r="A2" s="244" t="s">
        <v>2322</v>
      </c>
      <c r="B2" s="245">
        <f ca="1">ROUND(IF(D2="——",C52/10000,C52/10000-E2),0)</f>
        <v>1170</v>
      </c>
      <c r="C2" s="242" t="s">
        <v>2323</v>
      </c>
      <c r="D2" s="2544" t="s">
        <v>70</v>
      </c>
      <c r="E2" s="1438" t="e">
        <f ca="1">SUMIF(INDIRECT("'"&amp;G2&amp;"'"&amp;"!A:A"),"承租人权益价值",INDIRECT("'"&amp;G2&amp;"'"&amp;"!c:c"))</f>
        <v>#REF!</v>
      </c>
      <c r="F2" s="2545" t="s">
        <v>2323</v>
      </c>
      <c r="G2" s="2546"/>
    </row>
    <row r="3" spans="1:8" s="243" customFormat="1" ht="18" customHeight="1" thickBot="1">
      <c r="A3" s="246" t="s">
        <v>2324</v>
      </c>
      <c r="B3" s="247">
        <f ca="1">ROUND(B2*10000/(IF(B1="",'数据-汇总表'!E3,INDIRECT("'数据-取费表'!k"&amp;$G$1))),0)</f>
        <v>4862</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192515</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192515</v>
      </c>
      <c r="D8" s="265"/>
      <c r="E8" s="263"/>
      <c r="F8" s="264"/>
      <c r="G8" s="2547"/>
    </row>
    <row r="9" spans="1:8" s="257" customFormat="1" ht="13.5" customHeight="1">
      <c r="A9" s="948" t="s">
        <v>800</v>
      </c>
      <c r="B9" s="267" t="s">
        <v>2338</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2340</v>
      </c>
      <c r="C10" s="268">
        <f ca="1">ROUND(D10*E10,0)</f>
        <v>192515</v>
      </c>
      <c r="D10" s="1030">
        <f ca="1">IF(B1="",'数据-汇总表'!E6,IF(INDIRECT("'数据-取费表'!c"&amp;$G$1)="住宅",INDIRECT("'数据-取费表'!s"&amp;$G$1),INDIRECT("'数据-取费表'!k"&amp;$G$1)+INDIRECT("'数据-取费表'!s"&amp;$G$1)))</f>
        <v>2406.44</v>
      </c>
      <c r="E10" s="268">
        <f>'数据-取费表'!B28</f>
        <v>80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481288</v>
      </c>
      <c r="D19" s="1034">
        <f ca="1">D9+D10</f>
        <v>2406.44</v>
      </c>
      <c r="E19" s="254">
        <f>'数据-取费表'!B31</f>
        <v>200</v>
      </c>
      <c r="F19" s="274"/>
      <c r="G19" s="2547"/>
    </row>
    <row r="20" spans="1:7" s="257" customFormat="1" ht="13.5" customHeight="1">
      <c r="A20" s="298" t="s">
        <v>2434</v>
      </c>
      <c r="B20" s="253" t="s">
        <v>2435</v>
      </c>
      <c r="C20" s="275">
        <f ca="1">ROUND((C5+C19)*F20,0)</f>
        <v>13476</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8">
        <f ca="1">ROUND(SUM(C23:C25),0)</f>
        <v>66171</v>
      </c>
      <c r="D22" s="278">
        <f ca="1">C26</f>
        <v>1E-3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18723</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46808</v>
      </c>
      <c r="D24" s="281"/>
      <c r="E24" s="281"/>
      <c r="F24" s="282"/>
      <c r="G24" s="283" t="s">
        <v>2446</v>
      </c>
    </row>
    <row r="25" spans="1:7" s="257" customFormat="1" ht="24">
      <c r="A25" s="949" t="s">
        <v>2336</v>
      </c>
      <c r="B25" s="258" t="s">
        <v>2447</v>
      </c>
      <c r="C25" s="1379">
        <f ca="1">ROUND(IF('数据-取费表'!B22&lt;=1,C20*F22*'数据-取费表'!B22/2,C20*(POWER((1+F22),'数据-取费表'!B22/2)-1)),0)</f>
        <v>640</v>
      </c>
      <c r="D25" s="281"/>
      <c r="E25" s="284"/>
      <c r="F25" s="282"/>
      <c r="G25" s="285" t="s">
        <v>2448</v>
      </c>
    </row>
    <row r="26" spans="1:7" s="257" customFormat="1">
      <c r="A26" s="949" t="s">
        <v>795</v>
      </c>
      <c r="B26" s="258" t="s">
        <v>2371</v>
      </c>
      <c r="C26" s="281">
        <f ca="1">ROUND(IF('数据-取费表'!B22&lt;=1,F21*F22*'数据-取费表'!B22/2,F21*(POWER((1+F22),'数据-取费表'!B22/2)-1)),4)</f>
        <v>1E-3</v>
      </c>
      <c r="D26" s="281"/>
      <c r="E26" s="284"/>
      <c r="F26" s="282"/>
      <c r="G26" s="286"/>
    </row>
    <row r="27" spans="1:7" s="257" customFormat="1" ht="24.75">
      <c r="A27" s="298" t="s">
        <v>2372</v>
      </c>
      <c r="B27" s="287" t="s">
        <v>2373</v>
      </c>
      <c r="C27" s="288">
        <f ca="1">C28</f>
        <v>137456</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ROUND((C5+C19+C20)*F27,0)</f>
        <v>137456</v>
      </c>
      <c r="D28" s="278"/>
      <c r="E28" s="279"/>
      <c r="F28" s="289"/>
      <c r="G28" s="290"/>
    </row>
    <row r="29" spans="1:7" s="257" customFormat="1" ht="13.5" customHeight="1">
      <c r="A29" s="949" t="s">
        <v>792</v>
      </c>
      <c r="B29" s="291" t="s">
        <v>2377</v>
      </c>
      <c r="C29" s="281">
        <f ca="1">ROUND(C21*F27,4)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965647</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8025478</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7219320</v>
      </c>
      <c r="D34" s="260"/>
      <c r="E34" s="263"/>
      <c r="F34" s="300"/>
      <c r="G34" s="262"/>
    </row>
    <row r="35" spans="1:7" ht="13.5" customHeight="1">
      <c r="A35" s="949" t="s">
        <v>796</v>
      </c>
      <c r="B35" s="258" t="s">
        <v>2387</v>
      </c>
      <c r="C35" s="263">
        <f ca="1">ROUND(C34*F35,0)</f>
        <v>216580</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0</v>
      </c>
      <c r="D36" s="263"/>
      <c r="E36" s="263"/>
      <c r="F36" s="302">
        <f>'数据-取费表'!B34</f>
        <v>0.05</v>
      </c>
      <c r="G36" s="303" t="s">
        <v>2390</v>
      </c>
    </row>
    <row r="37" spans="1:7" s="301" customFormat="1" ht="13.5" customHeight="1">
      <c r="A37" s="949" t="s">
        <v>798</v>
      </c>
      <c r="B37" s="258" t="s">
        <v>2391</v>
      </c>
      <c r="C37" s="292">
        <f ca="1">ROUND(E37*D37,0)</f>
        <v>481288</v>
      </c>
      <c r="D37" s="260">
        <f ca="1">D19</f>
        <v>2406.44</v>
      </c>
      <c r="E37" s="292">
        <f>'数据-取费表'!B35</f>
        <v>200</v>
      </c>
      <c r="F37" s="302"/>
      <c r="G37" s="304"/>
    </row>
    <row r="38" spans="1:7" ht="13.5" customHeight="1">
      <c r="A38" s="949" t="s">
        <v>799</v>
      </c>
      <c r="B38" s="258" t="s">
        <v>2393</v>
      </c>
      <c r="C38" s="263">
        <f ca="1">ROUND(C34*F38,0)</f>
        <v>108290</v>
      </c>
      <c r="D38" s="263"/>
      <c r="E38" s="263"/>
      <c r="F38" s="302">
        <f>'数据-取费表'!B36</f>
        <v>1.4999999999999999E-2</v>
      </c>
      <c r="G38" s="262" t="s">
        <v>2388</v>
      </c>
    </row>
    <row r="39" spans="1:7" s="257" customFormat="1" ht="13.5" customHeight="1">
      <c r="A39" s="298" t="s">
        <v>2394</v>
      </c>
      <c r="B39" s="253" t="s">
        <v>2395</v>
      </c>
      <c r="C39" s="275">
        <f ca="1">ROUND(C33*F20,0)</f>
        <v>160510</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388834</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381210</v>
      </c>
      <c r="D42" s="281"/>
      <c r="E42" s="281"/>
      <c r="F42" s="282"/>
      <c r="G42" s="3154" t="s">
        <v>2451</v>
      </c>
    </row>
    <row r="43" spans="1:7" ht="13.5" customHeight="1">
      <c r="A43" s="949" t="s">
        <v>792</v>
      </c>
      <c r="B43" s="258" t="s">
        <v>2405</v>
      </c>
      <c r="C43" s="281">
        <f ca="1">ROUND(IF('数据-取费表'!B22&lt;=1,C39*F22*'数据-取费表'!B20/2,C39*(POWER((1+F22),'数据-取费表'!B20/2)-1)),0)</f>
        <v>7624</v>
      </c>
      <c r="D43" s="281"/>
      <c r="E43" s="281"/>
      <c r="F43" s="282"/>
      <c r="G43" s="3155"/>
    </row>
    <row r="44" spans="1:7" ht="13.5" customHeight="1">
      <c r="A44" s="949" t="s">
        <v>793</v>
      </c>
      <c r="B44" s="258" t="s">
        <v>2406</v>
      </c>
      <c r="C44" s="281">
        <f ca="1">ROUND(IF('数据-取费表'!B22&lt;=1,C40*F22*'数据-取费表'!B20/2,C40*(POWER((1+F22),'数据-取费表'!B20/2)-1)),4)</f>
        <v>1E-3</v>
      </c>
      <c r="D44" s="281"/>
      <c r="E44" s="281"/>
      <c r="F44" s="282"/>
      <c r="G44" s="3156"/>
    </row>
    <row r="45" spans="1:7" s="257" customFormat="1" ht="13.5" customHeight="1">
      <c r="A45" s="298" t="s">
        <v>2407</v>
      </c>
      <c r="B45" s="287" t="s">
        <v>2373</v>
      </c>
      <c r="C45" s="288">
        <f ca="1">C46</f>
        <v>1637198</v>
      </c>
      <c r="D45" s="278">
        <f ca="1">C47</f>
        <v>4.0000000000000001E-3</v>
      </c>
      <c r="E45" s="279" t="s">
        <v>2399</v>
      </c>
      <c r="F45" s="289"/>
      <c r="G45" s="290" t="s">
        <v>2408</v>
      </c>
    </row>
    <row r="46" spans="1:7" s="257" customFormat="1" ht="13.5" customHeight="1">
      <c r="A46" s="949" t="s">
        <v>791</v>
      </c>
      <c r="B46" s="291" t="s">
        <v>2409</v>
      </c>
      <c r="C46" s="292">
        <f ca="1">ROUND((C33+C39)*F27,0)</f>
        <v>1637198</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305">
        <f>ROUND(F30/(1+'数据-取费表'!C42),4)</f>
        <v>5.2400000000000002E-2</v>
      </c>
      <c r="D48" s="279" t="s">
        <v>2399</v>
      </c>
      <c r="E48" s="275"/>
      <c r="F48" s="280"/>
      <c r="G48" s="277" t="s">
        <v>2412</v>
      </c>
    </row>
    <row r="49" spans="1:7" ht="16.5" customHeight="1">
      <c r="A49" s="298" t="s">
        <v>2378</v>
      </c>
      <c r="B49" s="253" t="s">
        <v>2452</v>
      </c>
      <c r="C49" s="275">
        <f ca="1">ROUND((C33+C39+C41+C45)/(1-C40-D41-D45-C48),0)</f>
        <v>11068741</v>
      </c>
      <c r="D49" s="275"/>
      <c r="E49" s="275"/>
      <c r="F49" s="307"/>
      <c r="G49" s="277" t="s">
        <v>2414</v>
      </c>
    </row>
    <row r="50" spans="1:7" s="301" customFormat="1">
      <c r="A50" s="298" t="s">
        <v>2415</v>
      </c>
      <c r="B50" s="253" t="s">
        <v>2416</v>
      </c>
      <c r="C50" s="275"/>
      <c r="D50" s="275"/>
      <c r="E50" s="275"/>
      <c r="F50" s="307">
        <f>IF('数据-取费表'!B24=0,'数据-取费表'!N16,1)</f>
        <v>0.97</v>
      </c>
      <c r="G50" s="290"/>
    </row>
    <row r="51" spans="1:7" ht="16.5" customHeight="1">
      <c r="A51" s="298" t="s">
        <v>2418</v>
      </c>
      <c r="B51" s="253" t="s">
        <v>2453</v>
      </c>
      <c r="C51" s="275">
        <f ca="1">ROUND(C49*F50,0)</f>
        <v>10736679</v>
      </c>
      <c r="D51" s="275"/>
      <c r="E51" s="275"/>
      <c r="F51" s="307"/>
      <c r="G51" s="277" t="s">
        <v>2420</v>
      </c>
    </row>
    <row r="52" spans="1:7" s="251" customFormat="1" ht="16.5" thickBot="1">
      <c r="A52" s="308" t="s">
        <v>2421</v>
      </c>
      <c r="B52" s="309"/>
      <c r="C52" s="310">
        <f ca="1">C31+C51</f>
        <v>11702326</v>
      </c>
      <c r="D52" s="309"/>
      <c r="E52" s="309"/>
      <c r="F52" s="309"/>
      <c r="G52" s="311"/>
    </row>
    <row r="55" spans="1:7" ht="15">
      <c r="B55" s="313" t="s">
        <v>2422</v>
      </c>
      <c r="C55" s="314"/>
    </row>
    <row r="56" spans="1:7">
      <c r="B56" s="316" t="s">
        <v>1509</v>
      </c>
      <c r="C56" s="318">
        <f ca="1">1-C57</f>
        <v>8.2999999999999963E-2</v>
      </c>
    </row>
    <row r="57" spans="1:7">
      <c r="B57" s="316" t="s">
        <v>1510</v>
      </c>
      <c r="C57" s="317">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2454</v>
      </c>
      <c r="B1" s="1579"/>
      <c r="C1" s="1580"/>
      <c r="D1" s="1578"/>
      <c r="E1" s="319"/>
      <c r="F1" s="319"/>
      <c r="G1" s="1579"/>
      <c r="H1" s="319"/>
      <c r="I1" s="319"/>
      <c r="J1" s="319"/>
      <c r="K1" s="319">
        <f>MATCH(C1,'数据-取费表'!A6:A16,0)+5</f>
        <v>7</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4" customFormat="1" ht="16.5" customHeight="1">
      <c r="A4" s="951" t="s">
        <v>2457</v>
      </c>
      <c r="B4" s="952"/>
      <c r="C4" s="994">
        <f>SUM(C8:K8)</f>
        <v>0</v>
      </c>
      <c r="D4" s="952"/>
      <c r="E4" s="952"/>
      <c r="F4" s="952"/>
      <c r="G4" s="952"/>
      <c r="H4" s="952"/>
      <c r="I4" s="952"/>
      <c r="J4" s="952"/>
      <c r="K4" s="953"/>
    </row>
    <row r="5" spans="1:33" s="958" customFormat="1" ht="24.75">
      <c r="A5" s="955" t="s">
        <v>2458</v>
      </c>
      <c r="B5" s="956" t="s">
        <v>2459</v>
      </c>
      <c r="C5" s="2550" t="s">
        <v>2460</v>
      </c>
      <c r="D5" s="2550" t="s">
        <v>2461</v>
      </c>
      <c r="E5" s="2550" t="s">
        <v>2462</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2466</v>
      </c>
      <c r="B8" s="176" t="s">
        <v>2467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2468</v>
      </c>
      <c r="B9" s="952"/>
      <c r="C9" s="952"/>
      <c r="D9" s="952"/>
      <c r="E9" s="952"/>
      <c r="F9" s="952"/>
      <c r="G9" s="952"/>
      <c r="H9" s="952"/>
      <c r="I9" s="952"/>
      <c r="J9" s="952"/>
      <c r="K9" s="953"/>
    </row>
    <row r="10" spans="1:33" s="968" customFormat="1" ht="13.5" customHeight="1">
      <c r="A10" s="955" t="s">
        <v>2469</v>
      </c>
      <c r="B10" s="8" t="s">
        <v>2470</v>
      </c>
      <c r="C10" s="964" t="s">
        <v>2471</v>
      </c>
      <c r="D10" s="965" t="s">
        <v>2472</v>
      </c>
      <c r="E10" s="965" t="s">
        <v>2473</v>
      </c>
      <c r="F10" s="965" t="s">
        <v>2474</v>
      </c>
      <c r="G10" s="8"/>
      <c r="H10" s="966"/>
      <c r="I10" s="966"/>
      <c r="J10" s="966"/>
      <c r="K10" s="967"/>
    </row>
    <row r="11" spans="1:33" s="973" customFormat="1" ht="13.5" customHeight="1">
      <c r="A11" s="969" t="s">
        <v>1330</v>
      </c>
      <c r="B11" s="970" t="s">
        <v>2475</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2476</v>
      </c>
      <c r="C12" s="24">
        <f ca="1">ROUND(C11*F12,0)</f>
        <v>0</v>
      </c>
      <c r="D12" s="971"/>
      <c r="E12" s="374"/>
      <c r="F12" s="974">
        <f>'数据-取费表'!B33</f>
        <v>0.03</v>
      </c>
      <c r="G12" s="8" t="s">
        <v>2477</v>
      </c>
      <c r="H12" s="966"/>
      <c r="I12" s="966"/>
      <c r="J12" s="966"/>
      <c r="K12" s="967"/>
    </row>
    <row r="13" spans="1:33" s="973" customFormat="1" ht="13.5" customHeight="1">
      <c r="A13" s="969" t="s">
        <v>1332</v>
      </c>
      <c r="B13" s="970" t="s">
        <v>2478</v>
      </c>
      <c r="C13" s="24">
        <f ca="1">ROUND(IF(C1="",SUMIF('数据-取费表'!C:C,"住宅",'数据-取费表'!P:P)*F13,IF(INDIRECT("'数据-取费表'!c"&amp;$K$1)="住宅",INDIRECT("'数据-取费表'!P"&amp;$K$1)*F13,0)),0)</f>
        <v>0</v>
      </c>
      <c r="D13" s="1031"/>
      <c r="E13" s="374"/>
      <c r="F13" s="974">
        <f>'数据-取费表'!B34</f>
        <v>0.05</v>
      </c>
      <c r="G13" s="8" t="s">
        <v>2479</v>
      </c>
      <c r="H13" s="966"/>
      <c r="I13" s="966"/>
      <c r="J13" s="966"/>
      <c r="K13" s="967"/>
    </row>
    <row r="14" spans="1:33" s="975" customFormat="1" ht="13.5" customHeight="1">
      <c r="A14" s="969" t="s">
        <v>1333</v>
      </c>
      <c r="B14" s="970" t="s">
        <v>2480</v>
      </c>
      <c r="C14" s="24">
        <f ca="1">ROUND(D14*E14*F11/10000,0)</f>
        <v>0</v>
      </c>
      <c r="D14" s="1031">
        <f ca="1">IF(C1="",'数据-汇总表'!E3,INDIRECT("'数据-取费表'!K"&amp;$K$1)+INDIRECT("'数据-取费表'!S"&amp;$K$1))</f>
        <v>2406.44</v>
      </c>
      <c r="E14" s="24">
        <f>'数据-取费表'!B35</f>
        <v>200</v>
      </c>
      <c r="F14" s="974"/>
      <c r="G14" s="8" t="s">
        <v>2481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2482</v>
      </c>
      <c r="C15" s="981">
        <f ca="1">ROUND(C11*F15,0)</f>
        <v>0</v>
      </c>
      <c r="D15" s="976"/>
      <c r="E15" s="981"/>
      <c r="F15" s="982">
        <f>'数据-取费表'!B36</f>
        <v>1.4999999999999999E-2</v>
      </c>
      <c r="G15" s="139" t="s">
        <v>2483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2484</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2485</v>
      </c>
      <c r="C17" s="24">
        <f ca="1">ROUND(D17*E17/10000,0)</f>
        <v>0</v>
      </c>
      <c r="D17" s="1031">
        <f ca="1">D14</f>
        <v>2406.44</v>
      </c>
      <c r="E17" s="24">
        <f>'数据-取费表'!B32</f>
        <v>0</v>
      </c>
      <c r="F17" s="976"/>
      <c r="G17" s="139" t="s">
        <v>2486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2487</v>
      </c>
      <c r="C18" s="24">
        <f ca="1">C19+C20-IF(C1="",'数据-取费表'!B29,IF(G18="已全部缴纳",C19+C20,H18))</f>
        <v>0</v>
      </c>
      <c r="D18" s="1031"/>
      <c r="E18" s="24"/>
      <c r="F18" s="974"/>
      <c r="G18" s="2552"/>
      <c r="H18" s="1575"/>
      <c r="I18" s="2553" t="s">
        <v>2488</v>
      </c>
      <c r="J18" s="977"/>
      <c r="K18" s="978"/>
    </row>
    <row r="19" spans="1:33" s="973" customFormat="1" ht="13.5" customHeight="1">
      <c r="A19" s="969" t="s">
        <v>805</v>
      </c>
      <c r="B19" s="970" t="s">
        <v>2489</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2490</v>
      </c>
      <c r="C20" s="24">
        <f ca="1">ROUND(D20*E20/10000,0)</f>
        <v>19</v>
      </c>
      <c r="D20" s="1031">
        <f ca="1">IF(C1="",'数据-汇总表'!E6,IF(INDIRECT("'数据-取费表'!c"&amp;$K$1)="住宅",INDIRECT("'数据-取费表'!s"&amp;$K$1),INDIRECT("'数据-取费表'!k"&amp;$K$1)+INDIRECT("'数据-取费表'!s"&amp;$K$1)))</f>
        <v>2406.44</v>
      </c>
      <c r="E20" s="24">
        <f>'数据-取费表'!B28</f>
        <v>80</v>
      </c>
      <c r="F20" s="974"/>
      <c r="G20" s="15"/>
      <c r="H20" s="979"/>
      <c r="I20" s="979"/>
      <c r="J20" s="979"/>
      <c r="K20" s="980"/>
    </row>
    <row r="21" spans="1:33" s="973" customFormat="1" ht="13.5" customHeight="1">
      <c r="A21" s="959" t="s">
        <v>802</v>
      </c>
      <c r="B21" s="983" t="s">
        <v>2491</v>
      </c>
      <c r="C21" s="984">
        <f ca="1">C16+C17+C18</f>
        <v>0</v>
      </c>
      <c r="D21" s="985"/>
      <c r="E21" s="324"/>
      <c r="F21" s="324"/>
      <c r="G21" s="139" t="s">
        <v>2492</v>
      </c>
      <c r="H21" s="977"/>
      <c r="I21" s="977"/>
      <c r="J21" s="977"/>
      <c r="K21" s="978"/>
    </row>
    <row r="22" spans="1:33" s="973" customFormat="1" ht="13.5" customHeight="1">
      <c r="A22" s="959" t="s">
        <v>2464</v>
      </c>
      <c r="B22" s="983" t="s">
        <v>2493</v>
      </c>
      <c r="C22" s="984">
        <f ca="1">ROUND(C21*F22,0)</f>
        <v>0</v>
      </c>
      <c r="D22" s="324"/>
      <c r="E22" s="324"/>
      <c r="F22" s="986">
        <f>'数据-取费表'!B37</f>
        <v>0.02</v>
      </c>
      <c r="G22" s="8" t="s">
        <v>2494</v>
      </c>
      <c r="H22" s="966"/>
      <c r="I22" s="966"/>
      <c r="J22" s="966"/>
      <c r="K22" s="967"/>
    </row>
    <row r="23" spans="1:33" s="973" customFormat="1" ht="13.5" customHeight="1">
      <c r="A23" s="959" t="s">
        <v>2466</v>
      </c>
      <c r="B23" s="983" t="s">
        <v>2495</v>
      </c>
      <c r="C23" s="984">
        <f ca="1">ROUND(C4*F23*F11,0)</f>
        <v>0</v>
      </c>
      <c r="D23" s="324"/>
      <c r="E23" s="324"/>
      <c r="F23" s="986">
        <f>'数据-取费表'!B38</f>
        <v>0.02</v>
      </c>
      <c r="G23" s="8" t="s">
        <v>2496</v>
      </c>
      <c r="H23" s="966"/>
      <c r="I23" s="966"/>
      <c r="J23" s="966"/>
      <c r="K23" s="967"/>
    </row>
    <row r="24" spans="1:33" s="973" customFormat="1" ht="13.5" customHeight="1">
      <c r="A24" s="959" t="s">
        <v>2497</v>
      </c>
      <c r="B24" s="983" t="s">
        <v>2498</v>
      </c>
      <c r="C24" s="323">
        <f>ROUND(F24/(1+'数据-取费表'!C42),4)</f>
        <v>2.9000000000000001E-2</v>
      </c>
      <c r="D24" s="324" t="s">
        <v>15</v>
      </c>
      <c r="E24" s="324"/>
      <c r="F24" s="986">
        <f>'数据-取费表'!B48+'数据-取费表'!B49</f>
        <v>3.0499999999999999E-2</v>
      </c>
      <c r="G24" s="8" t="s">
        <v>2499</v>
      </c>
      <c r="H24" s="988"/>
      <c r="I24" s="988"/>
      <c r="J24" s="988"/>
      <c r="K24" s="989"/>
    </row>
    <row r="25" spans="1:33" s="973" customFormat="1" ht="13.5" customHeight="1">
      <c r="A25" s="959" t="s">
        <v>2500</v>
      </c>
      <c r="B25" s="985" t="s">
        <v>2501</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2502</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2503</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2504</v>
      </c>
      <c r="B28" s="2555" t="s">
        <v>2505</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2506</v>
      </c>
      <c r="C29" s="327">
        <f ca="1">ROUND((1+C24)*F28*'数据-取费表'!B24/'数据-取费表'!B20,4)</f>
        <v>0</v>
      </c>
      <c r="D29" s="327"/>
      <c r="E29" s="328"/>
      <c r="F29" s="333"/>
      <c r="G29" s="139" t="s">
        <v>2507</v>
      </c>
      <c r="H29" s="977"/>
      <c r="I29" s="977"/>
      <c r="J29" s="977"/>
      <c r="K29" s="978"/>
    </row>
    <row r="30" spans="1:33" s="334" customFormat="1" ht="13.5" customHeight="1">
      <c r="A30" s="969" t="s">
        <v>804</v>
      </c>
      <c r="B30" s="992" t="s">
        <v>2508</v>
      </c>
      <c r="C30" s="335">
        <f ca="1">ROUND((C21+C22+C23)*F28,0)</f>
        <v>0</v>
      </c>
      <c r="D30" s="327"/>
      <c r="E30" s="328"/>
      <c r="F30" s="333"/>
      <c r="G30" s="139"/>
      <c r="H30" s="977"/>
      <c r="I30" s="977"/>
      <c r="J30" s="977"/>
      <c r="K30" s="978"/>
    </row>
    <row r="31" spans="1:33" s="973" customFormat="1" ht="13.5" customHeight="1" thickBot="1">
      <c r="A31" s="2556" t="s">
        <v>2509</v>
      </c>
      <c r="B31" s="1003" t="s">
        <v>2510</v>
      </c>
      <c r="C31" s="1004">
        <f>ROUND(C4*F31/(1+'数据-取费表'!C42),0)</f>
        <v>0</v>
      </c>
      <c r="D31" s="1005"/>
      <c r="E31" s="1006"/>
      <c r="F31" s="1007">
        <f>'数据-取费表'!B41</f>
        <v>5.5000000000000007E-2</v>
      </c>
      <c r="G31" s="1008" t="s">
        <v>2511</v>
      </c>
      <c r="H31" s="1009"/>
      <c r="I31" s="1009"/>
      <c r="J31" s="1009"/>
      <c r="K31" s="1010"/>
    </row>
    <row r="32" spans="1:33" s="968" customFormat="1" ht="13.5" customHeight="1" thickBot="1">
      <c r="A32" s="998" t="s">
        <v>2512</v>
      </c>
      <c r="B32" s="999"/>
      <c r="C32" s="1000">
        <f ca="1">ROUND((C4-C21-C22-C23-C25-C28-C31)/(1+C24+D25+D28),0)</f>
        <v>0</v>
      </c>
      <c r="D32" s="999"/>
      <c r="E32" s="999"/>
      <c r="F32" s="999"/>
      <c r="G32" s="1001" t="s">
        <v>2513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157" t="s">
        <v>1399</v>
      </c>
      <c r="C6" s="1294">
        <f ca="1">ROUND(F6*F8*F7*(1-F9),0)</f>
        <v>0</v>
      </c>
      <c r="D6" s="163" t="s">
        <v>3025</v>
      </c>
      <c r="E6" s="346" t="s">
        <v>1401</v>
      </c>
      <c r="F6" s="347">
        <f ca="1">INDIRECT("'数据-取费表'!u"&amp;$G$1)</f>
        <v>0</v>
      </c>
      <c r="G6" s="1849"/>
      <c r="H6" s="1289" t="s">
        <v>1032</v>
      </c>
      <c r="I6" s="3157" t="s">
        <v>1399</v>
      </c>
      <c r="J6" s="345">
        <f ca="1">ROUND(M6*M8*M7*(1-M9),0)</f>
        <v>0</v>
      </c>
      <c r="K6" s="1832" t="s">
        <v>3026</v>
      </c>
      <c r="L6" s="346" t="s">
        <v>1401</v>
      </c>
      <c r="M6" s="347">
        <f ca="1">INDIRECT("'数据-取费表'!z"&amp;$G$1)</f>
        <v>0</v>
      </c>
    </row>
    <row r="7" spans="1:37" ht="18" customHeight="1">
      <c r="A7" s="1293"/>
      <c r="B7" s="3158"/>
      <c r="C7" s="1295"/>
      <c r="D7" s="351"/>
      <c r="E7" s="1296" t="s">
        <v>1402</v>
      </c>
      <c r="F7" s="347">
        <f ca="1">IF(INDIRECT("'数据-取费表'!ah"&amp;$G$1)="",INDIRECT("'数据-取费表'!k"&amp;$G$1),INDIRECT("'数据-取费表'!ah"&amp;$G$1))</f>
        <v>0</v>
      </c>
      <c r="G7" s="1849"/>
      <c r="H7" s="348"/>
      <c r="I7" s="3158"/>
      <c r="J7" s="350"/>
      <c r="K7" s="351"/>
      <c r="L7" s="346" t="s">
        <v>1402</v>
      </c>
      <c r="M7" s="347">
        <f ca="1">F7</f>
        <v>0</v>
      </c>
    </row>
    <row r="8" spans="1:37" ht="18" customHeight="1">
      <c r="A8" s="348"/>
      <c r="B8" s="3158"/>
      <c r="C8" s="350"/>
      <c r="D8" s="351"/>
      <c r="E8" s="346" t="s">
        <v>1403</v>
      </c>
      <c r="F8" s="347">
        <f ca="1">INDIRECT("'数据-取费表'!ai"&amp;$G$1)</f>
        <v>0</v>
      </c>
      <c r="G8" s="1849"/>
      <c r="H8" s="348"/>
      <c r="I8" s="3158"/>
      <c r="J8" s="350"/>
      <c r="K8" s="351"/>
      <c r="L8" s="346" t="s">
        <v>1403</v>
      </c>
      <c r="M8" s="347">
        <f ca="1">INDIRECT("'数据-取费表'!ai"&amp;$G$1)</f>
        <v>0</v>
      </c>
    </row>
    <row r="9" spans="1:37" ht="18" customHeight="1">
      <c r="A9" s="348"/>
      <c r="B9" s="3159"/>
      <c r="C9" s="350"/>
      <c r="D9" s="351"/>
      <c r="E9" s="346" t="s">
        <v>1404</v>
      </c>
      <c r="F9" s="356">
        <f ca="1">INDIRECT("'数据-取费表'!w"&amp;$G$1)</f>
        <v>0</v>
      </c>
      <c r="G9" s="1849"/>
      <c r="H9" s="348"/>
      <c r="I9" s="3159"/>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3036</v>
      </c>
      <c r="E10" s="357" t="s">
        <v>1406</v>
      </c>
      <c r="F10" s="1364"/>
      <c r="G10" s="1849"/>
      <c r="H10" s="1289" t="s">
        <v>1036</v>
      </c>
      <c r="I10" s="1821" t="s">
        <v>1405</v>
      </c>
      <c r="J10" s="345">
        <f ca="1">ROUND(IF(M10="押一",J6/12*M11,IF(M10="押二",J6/12*2*M11,IF(M10="押三",J6/12*3*M11,J11*M11))),0)</f>
        <v>0</v>
      </c>
      <c r="K10" s="1833" t="s">
        <v>3038</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3039</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60" t="s">
        <v>1544</v>
      </c>
      <c r="L53" s="3161"/>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2521</v>
      </c>
      <c r="B1" s="2558"/>
      <c r="C1" s="2558"/>
      <c r="D1" s="2558"/>
      <c r="E1" s="2559"/>
    </row>
    <row r="2" spans="1:6" ht="15.75">
      <c r="A2" s="2560" t="s">
        <v>2322</v>
      </c>
      <c r="B2" s="2561">
        <f ca="1">SUMIF(B6:B13,"&lt;&gt;#ref!",B6:B13)</f>
        <v>5787</v>
      </c>
      <c r="C2" s="2562" t="s">
        <v>2514</v>
      </c>
      <c r="D2" s="2563" t="s">
        <v>2515</v>
      </c>
      <c r="E2" s="2564">
        <f>SUM(E6:E13)</f>
        <v>2406.44</v>
      </c>
    </row>
    <row r="3" spans="1:6" ht="15.75">
      <c r="A3" s="2560" t="s">
        <v>1391</v>
      </c>
      <c r="B3" s="2561">
        <f ca="1">ROUND(B2*10000/E2,0)</f>
        <v>24048</v>
      </c>
      <c r="C3" s="2562" t="s">
        <v>2522</v>
      </c>
      <c r="D3" s="2565"/>
      <c r="E3" s="2566"/>
    </row>
    <row r="4" spans="1:6" ht="15.75">
      <c r="A4" s="2567"/>
      <c r="B4" s="2565"/>
      <c r="C4" s="2565"/>
      <c r="D4" s="2565"/>
      <c r="E4" s="2566"/>
    </row>
    <row r="5" spans="1:6" ht="15">
      <c r="A5" s="2568" t="s">
        <v>2516</v>
      </c>
      <c r="B5" s="3162" t="s">
        <v>2517</v>
      </c>
      <c r="C5" s="3162"/>
      <c r="D5" s="2569"/>
      <c r="E5" s="2570" t="s">
        <v>2518</v>
      </c>
      <c r="F5" s="2571" t="s">
        <v>2519</v>
      </c>
    </row>
    <row r="6" spans="1:6">
      <c r="A6" s="2572" t="str">
        <f>'数据-取费表'!AN6</f>
        <v>收益法</v>
      </c>
      <c r="B6" s="2571">
        <f ca="1">IF(F6="是",'数据-取费表'!AO6,0)</f>
        <v>5787</v>
      </c>
      <c r="C6" s="2562" t="s">
        <v>2514</v>
      </c>
      <c r="D6" s="2565"/>
      <c r="E6" s="2573">
        <f>IF(OR(A6=0,F6="否"),0,'数据-取费表'!K6+'数据-取费表'!S6)</f>
        <v>2406.44</v>
      </c>
      <c r="F6" s="2574" t="s">
        <v>2520</v>
      </c>
    </row>
    <row r="7" spans="1:6">
      <c r="A7" s="2572">
        <f>'数据-取费表'!AN7</f>
        <v>0</v>
      </c>
      <c r="B7" s="2571" t="e">
        <f ca="1">IF(F7="是",'数据-取费表'!AO7,0)</f>
        <v>#REF!</v>
      </c>
      <c r="C7" s="2562" t="s">
        <v>2514</v>
      </c>
      <c r="D7" s="2565"/>
      <c r="E7" s="2573">
        <f>IF(OR(A7=0,F7="否"),0,'数据-取费表'!K7+'数据-取费表'!S7)</f>
        <v>0</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68" t="s">
        <v>1074</v>
      </c>
      <c r="B2" s="3169" t="s">
        <v>1075</v>
      </c>
      <c r="C2" s="3169"/>
      <c r="D2" s="1299" t="s">
        <v>1076</v>
      </c>
      <c r="E2" s="1299" t="s">
        <v>1077</v>
      </c>
      <c r="F2" s="1299" t="s">
        <v>1078</v>
      </c>
      <c r="G2" s="1299" t="s">
        <v>1079</v>
      </c>
      <c r="H2" s="1299" t="s">
        <v>1080</v>
      </c>
      <c r="I2" s="1300" t="s">
        <v>1081</v>
      </c>
    </row>
    <row r="3" spans="1:9">
      <c r="A3" s="3168"/>
      <c r="B3" s="3169" t="s">
        <v>1082</v>
      </c>
      <c r="C3" s="3169"/>
      <c r="D3" s="1301"/>
      <c r="E3" s="1299"/>
      <c r="F3" s="1302"/>
      <c r="G3" s="1302"/>
      <c r="H3" s="1303"/>
      <c r="I3" s="1304">
        <f>ROUND(D3*E3*F3*G3*H3/10000,0)</f>
        <v>0</v>
      </c>
    </row>
    <row r="4" spans="1:9">
      <c r="A4" s="3168"/>
      <c r="B4" s="3169" t="s">
        <v>1083</v>
      </c>
      <c r="C4" s="3169"/>
      <c r="D4" s="1301"/>
      <c r="E4" s="1299"/>
      <c r="F4" s="1302"/>
      <c r="G4" s="1302"/>
      <c r="H4" s="1303"/>
      <c r="I4" s="1304">
        <f t="shared" ref="I4:I9" si="0">ROUND(D4*E4*F4*G4*H4/10000,0)</f>
        <v>0</v>
      </c>
    </row>
    <row r="5" spans="1:9">
      <c r="A5" s="3168"/>
      <c r="B5" s="3169" t="s">
        <v>1084</v>
      </c>
      <c r="C5" s="3169"/>
      <c r="D5" s="1301"/>
      <c r="E5" s="1299"/>
      <c r="F5" s="1302"/>
      <c r="G5" s="1302"/>
      <c r="H5" s="1303"/>
      <c r="I5" s="1304">
        <f t="shared" si="0"/>
        <v>0</v>
      </c>
    </row>
    <row r="6" spans="1:9">
      <c r="A6" s="3168"/>
      <c r="B6" s="3169" t="s">
        <v>1085</v>
      </c>
      <c r="C6" s="3169"/>
      <c r="D6" s="1301"/>
      <c r="E6" s="1299"/>
      <c r="F6" s="1302"/>
      <c r="G6" s="1302"/>
      <c r="H6" s="1303"/>
      <c r="I6" s="1304">
        <f t="shared" si="0"/>
        <v>0</v>
      </c>
    </row>
    <row r="7" spans="1:9">
      <c r="A7" s="3168"/>
      <c r="B7" s="3169" t="s">
        <v>1086</v>
      </c>
      <c r="C7" s="3169"/>
      <c r="D7" s="1301"/>
      <c r="E7" s="1299"/>
      <c r="F7" s="1302"/>
      <c r="G7" s="1302"/>
      <c r="H7" s="1303"/>
      <c r="I7" s="1304">
        <f t="shared" si="0"/>
        <v>0</v>
      </c>
    </row>
    <row r="8" spans="1:9">
      <c r="A8" s="3168"/>
      <c r="B8" s="3169" t="s">
        <v>1087</v>
      </c>
      <c r="C8" s="3169"/>
      <c r="D8" s="1301"/>
      <c r="E8" s="1299"/>
      <c r="F8" s="1302"/>
      <c r="G8" s="1302"/>
      <c r="H8" s="1303"/>
      <c r="I8" s="1304">
        <f t="shared" si="0"/>
        <v>0</v>
      </c>
    </row>
    <row r="9" spans="1:9">
      <c r="A9" s="3168"/>
      <c r="B9" s="3169" t="s">
        <v>1088</v>
      </c>
      <c r="C9" s="3169"/>
      <c r="D9" s="1301"/>
      <c r="E9" s="1299"/>
      <c r="F9" s="1302"/>
      <c r="G9" s="1302"/>
      <c r="H9" s="1303"/>
      <c r="I9" s="1304">
        <f t="shared" si="0"/>
        <v>0</v>
      </c>
    </row>
    <row r="10" spans="1:9">
      <c r="A10" s="3168"/>
      <c r="B10" s="3170" t="s">
        <v>1089</v>
      </c>
      <c r="C10" s="3170"/>
      <c r="D10" s="1305"/>
      <c r="E10" s="1305" t="e">
        <f>ROUND(D1*10000/D10/H9,0)</f>
        <v>#DIV/0!</v>
      </c>
      <c r="F10" s="1306"/>
      <c r="G10" s="1306"/>
      <c r="H10" s="1307"/>
      <c r="I10" s="1308">
        <f>SUM(I3:I9)</f>
        <v>0</v>
      </c>
    </row>
    <row r="11" spans="1:9" ht="14.25">
      <c r="A11" s="3168" t="s">
        <v>1090</v>
      </c>
      <c r="B11" s="3169" t="s">
        <v>1091</v>
      </c>
      <c r="C11" s="3169"/>
      <c r="D11" s="1301" t="s">
        <v>1092</v>
      </c>
      <c r="E11" s="1301" t="s">
        <v>1093</v>
      </c>
      <c r="F11" s="1302" t="s">
        <v>1094</v>
      </c>
      <c r="G11" s="1302" t="s">
        <v>1080</v>
      </c>
      <c r="H11" s="1309" t="s">
        <v>1095</v>
      </c>
      <c r="I11" s="1300" t="s">
        <v>1081</v>
      </c>
    </row>
    <row r="12" spans="1:9">
      <c r="A12" s="3168"/>
      <c r="B12" s="3169" t="s">
        <v>1096</v>
      </c>
      <c r="C12" s="3169"/>
      <c r="D12" s="1301"/>
      <c r="E12" s="1301"/>
      <c r="F12" s="1302"/>
      <c r="G12" s="1303"/>
      <c r="H12" s="1310"/>
      <c r="I12" s="1300">
        <f>ROUND(D12*E12*F12*G12/10000,0)</f>
        <v>0</v>
      </c>
    </row>
    <row r="13" spans="1:9">
      <c r="A13" s="3168"/>
      <c r="B13" s="3169" t="s">
        <v>1097</v>
      </c>
      <c r="C13" s="3169"/>
      <c r="D13" s="1301"/>
      <c r="E13" s="1301"/>
      <c r="F13" s="1302"/>
      <c r="G13" s="1303"/>
      <c r="H13" s="1310"/>
      <c r="I13" s="1300">
        <f>ROUND(D13*E13*F13*G13/10000,0)</f>
        <v>0</v>
      </c>
    </row>
    <row r="14" spans="1:9">
      <c r="A14" s="3168"/>
      <c r="B14" s="3169" t="s">
        <v>1098</v>
      </c>
      <c r="C14" s="3169"/>
      <c r="D14" s="1301"/>
      <c r="E14" s="1301"/>
      <c r="F14" s="1302"/>
      <c r="G14" s="1303"/>
      <c r="H14" s="1310"/>
      <c r="I14" s="1300">
        <f>ROUND(D14*E14*F14*G14/10000,0)</f>
        <v>0</v>
      </c>
    </row>
    <row r="15" spans="1:9">
      <c r="A15" s="3168"/>
      <c r="B15" s="3170" t="s">
        <v>1089</v>
      </c>
      <c r="C15" s="3170"/>
      <c r="D15" s="1305"/>
      <c r="E15" s="1305">
        <f>SUM(E12:E14)</f>
        <v>0</v>
      </c>
      <c r="F15" s="1306"/>
      <c r="G15" s="1303"/>
      <c r="H15" s="1310"/>
      <c r="I15" s="1311">
        <f>SUM(I12:I14)</f>
        <v>0</v>
      </c>
    </row>
    <row r="16" spans="1:9" ht="24">
      <c r="A16" s="3168" t="s">
        <v>1099</v>
      </c>
      <c r="B16" s="3169" t="s">
        <v>1100</v>
      </c>
      <c r="C16" s="3169"/>
      <c r="D16" s="1301" t="s">
        <v>1076</v>
      </c>
      <c r="E16" s="1312" t="s">
        <v>1101</v>
      </c>
      <c r="F16" s="1302" t="s">
        <v>1102</v>
      </c>
      <c r="G16" s="1303" t="s">
        <v>1080</v>
      </c>
      <c r="H16" s="1309" t="s">
        <v>1095</v>
      </c>
      <c r="I16" s="1300" t="s">
        <v>1081</v>
      </c>
    </row>
    <row r="17" spans="1:9" ht="14.25">
      <c r="A17" s="3168"/>
      <c r="B17" s="3169" t="s">
        <v>1103</v>
      </c>
      <c r="C17" s="3169"/>
      <c r="D17" s="1301"/>
      <c r="E17" s="1301"/>
      <c r="F17" s="1302"/>
      <c r="G17" s="1303"/>
      <c r="H17" s="1313"/>
      <c r="I17" s="1314">
        <f>ROUND(D17*E17*F17*G17/10000,0)</f>
        <v>0</v>
      </c>
    </row>
    <row r="18" spans="1:9" ht="14.25">
      <c r="A18" s="3168"/>
      <c r="B18" s="3169" t="s">
        <v>1104</v>
      </c>
      <c r="C18" s="3169"/>
      <c r="D18" s="1301"/>
      <c r="E18" s="1301"/>
      <c r="F18" s="1302"/>
      <c r="G18" s="1303"/>
      <c r="H18" s="1313"/>
      <c r="I18" s="1314">
        <f>ROUND(D18*E18*F18*G18/10000,0)</f>
        <v>0</v>
      </c>
    </row>
    <row r="19" spans="1:9" ht="14.25">
      <c r="A19" s="3168"/>
      <c r="B19" s="3169" t="s">
        <v>1105</v>
      </c>
      <c r="C19" s="3169"/>
      <c r="D19" s="1301"/>
      <c r="E19" s="1301"/>
      <c r="F19" s="1302"/>
      <c r="G19" s="1303"/>
      <c r="H19" s="1313"/>
      <c r="I19" s="1314">
        <f>ROUND(D19*E19*F19*G19/10000,0)</f>
        <v>0</v>
      </c>
    </row>
    <row r="20" spans="1:9">
      <c r="A20" s="3168"/>
      <c r="B20" s="3170" t="s">
        <v>1089</v>
      </c>
      <c r="C20" s="3170"/>
      <c r="D20" s="1305">
        <f>SUM(D17:D19)</f>
        <v>0</v>
      </c>
      <c r="E20" s="1305"/>
      <c r="F20" s="1306"/>
      <c r="G20" s="1303"/>
      <c r="H20" s="1310"/>
      <c r="I20" s="1311">
        <f>SUM(I17:I19)</f>
        <v>0</v>
      </c>
    </row>
    <row r="21" spans="1:9">
      <c r="A21" s="3168" t="s">
        <v>1106</v>
      </c>
      <c r="B21" s="3172"/>
      <c r="C21" s="3172"/>
      <c r="D21" s="3172"/>
      <c r="E21" s="3172"/>
      <c r="F21" s="3172"/>
      <c r="G21" s="3172"/>
      <c r="H21" s="1763">
        <v>0.1</v>
      </c>
      <c r="I21" s="1308">
        <f>ROUND(I10*H21,0)</f>
        <v>0</v>
      </c>
    </row>
    <row r="22" spans="1:9" ht="14.25">
      <c r="A22" s="3173" t="s">
        <v>1107</v>
      </c>
      <c r="B22" s="3174"/>
      <c r="C22" s="3175"/>
      <c r="D22" s="1315" t="s">
        <v>1108</v>
      </c>
      <c r="E22" s="1315" t="s">
        <v>1109</v>
      </c>
      <c r="F22" s="1316" t="s">
        <v>1110</v>
      </c>
      <c r="G22" s="1316" t="s">
        <v>1111</v>
      </c>
      <c r="H22" s="1309" t="s">
        <v>1112</v>
      </c>
      <c r="I22" s="1300" t="s">
        <v>1113</v>
      </c>
    </row>
    <row r="23" spans="1:9" ht="14.25" thickBot="1">
      <c r="A23" s="3176"/>
      <c r="B23" s="3177"/>
      <c r="C23" s="3178"/>
      <c r="D23" s="1317"/>
      <c r="E23" s="1317"/>
      <c r="F23" s="1317"/>
      <c r="G23" s="1318"/>
      <c r="H23" s="1319"/>
      <c r="I23" s="1320">
        <f>ROUND(E23*D23*F23*(1-G23)/10000,0)</f>
        <v>0</v>
      </c>
    </row>
    <row r="26" spans="1:9">
      <c r="A26" s="1321" t="s">
        <v>1114</v>
      </c>
      <c r="B26" s="1321"/>
      <c r="C26" s="1321"/>
      <c r="D26" s="1321"/>
      <c r="E26" s="3179">
        <f>C27-C30-C31-C32</f>
        <v>0</v>
      </c>
      <c r="F26" s="3179"/>
      <c r="G26" s="3179"/>
      <c r="H26" s="1735" t="s">
        <v>1336</v>
      </c>
    </row>
    <row r="27" spans="1:9">
      <c r="A27" s="1322">
        <v>1</v>
      </c>
      <c r="B27" s="1323" t="s">
        <v>1115</v>
      </c>
      <c r="C27" s="1323">
        <f>C28+C29</f>
        <v>0</v>
      </c>
      <c r="D27" s="1323"/>
      <c r="E27" s="3180"/>
      <c r="F27" s="3180"/>
      <c r="G27" s="3180"/>
    </row>
    <row r="28" spans="1:9">
      <c r="A28" s="1324" t="s">
        <v>1116</v>
      </c>
      <c r="B28" s="1323" t="s">
        <v>1117</v>
      </c>
      <c r="C28" s="1323"/>
      <c r="D28" s="1323"/>
      <c r="E28" s="3180"/>
      <c r="F28" s="3180"/>
      <c r="G28" s="3180"/>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71"/>
      <c r="F32" s="3171"/>
      <c r="G32" s="3171"/>
    </row>
    <row r="33" spans="1:7" hidden="1">
      <c r="A33" s="3181" t="s">
        <v>1126</v>
      </c>
      <c r="B33" s="3182"/>
      <c r="C33" s="3182"/>
      <c r="D33" s="3183"/>
      <c r="E33" s="3179"/>
      <c r="F33" s="3179"/>
      <c r="G33" s="3179"/>
    </row>
    <row r="34" spans="1:7" hidden="1">
      <c r="A34" s="1326">
        <v>1</v>
      </c>
      <c r="B34" s="1323" t="s">
        <v>1127</v>
      </c>
      <c r="C34" s="1323"/>
      <c r="D34" s="1323"/>
      <c r="E34" s="3180"/>
      <c r="F34" s="3180"/>
      <c r="G34" s="3180"/>
    </row>
    <row r="35" spans="1:7" hidden="1">
      <c r="A35" s="1326">
        <v>2</v>
      </c>
      <c r="B35" s="1323" t="s">
        <v>1128</v>
      </c>
      <c r="C35" s="1323"/>
      <c r="D35" s="1323"/>
      <c r="E35" s="3180"/>
      <c r="F35" s="3180"/>
      <c r="G35" s="3180"/>
    </row>
    <row r="36" spans="1:7" hidden="1">
      <c r="A36" s="1326">
        <v>3</v>
      </c>
      <c r="B36" s="1323" t="s">
        <v>1129</v>
      </c>
      <c r="C36" s="1323"/>
      <c r="D36" s="1323"/>
      <c r="E36" s="3180"/>
      <c r="F36" s="3180"/>
      <c r="G36" s="3180"/>
    </row>
    <row r="37" spans="1:7" hidden="1">
      <c r="A37" s="1326">
        <v>4</v>
      </c>
      <c r="B37" s="1323" t="s">
        <v>1130</v>
      </c>
      <c r="C37" s="1323"/>
      <c r="D37" s="1323"/>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8" t="s">
        <v>2524</v>
      </c>
      <c r="C1" s="1632" t="s">
        <v>2525</v>
      </c>
      <c r="D1" s="1619"/>
      <c r="E1" s="2579"/>
      <c r="F1" s="2580" t="s">
        <v>2526</v>
      </c>
      <c r="G1" s="1629" t="s">
        <v>2527</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2528</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2529</v>
      </c>
      <c r="D3" s="398">
        <f>IF(D1="",'数据-汇总表'!E3,SUMIF('数据-汇总表'!$C19:$C33,D1,'数据-汇总表'!$E19:$E33))</f>
        <v>2406.44</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2530</v>
      </c>
      <c r="B4" s="401"/>
      <c r="C4" s="3202" t="s">
        <v>2531</v>
      </c>
      <c r="D4" s="3203"/>
      <c r="E4" s="3204" t="s">
        <v>2532</v>
      </c>
      <c r="F4" s="3205"/>
      <c r="G4" s="3202" t="s">
        <v>2533</v>
      </c>
      <c r="H4" s="3203"/>
      <c r="I4" s="3202" t="s">
        <v>2534</v>
      </c>
      <c r="J4" s="3203"/>
      <c r="K4" s="2592" t="s">
        <v>2535</v>
      </c>
      <c r="L4" s="1128"/>
      <c r="M4" s="1129"/>
      <c r="N4" s="1129"/>
      <c r="O4" s="1129"/>
      <c r="P4" s="3206" t="s">
        <v>2536</v>
      </c>
      <c r="Q4" s="3207"/>
      <c r="R4" s="3189" t="s">
        <v>2532</v>
      </c>
      <c r="S4" s="3190"/>
      <c r="T4" s="3189" t="s">
        <v>2533</v>
      </c>
      <c r="U4" s="3190"/>
      <c r="V4" s="3214" t="s">
        <v>2534</v>
      </c>
      <c r="W4" s="3214"/>
      <c r="X4" s="1811"/>
      <c r="Y4" s="3189" t="s">
        <v>2536</v>
      </c>
      <c r="Z4" s="3190"/>
      <c r="AA4" s="3184" t="s">
        <v>2532</v>
      </c>
      <c r="AB4" s="3184" t="s">
        <v>2533</v>
      </c>
      <c r="AC4" s="3184" t="s">
        <v>2534</v>
      </c>
    </row>
    <row r="5" spans="1:29" ht="15">
      <c r="A5" s="403"/>
      <c r="B5" s="404"/>
      <c r="C5" s="3195" t="s">
        <v>2537</v>
      </c>
      <c r="D5" s="3196"/>
      <c r="E5" s="3193" t="s">
        <v>2538</v>
      </c>
      <c r="F5" s="3194"/>
      <c r="G5" s="3195" t="s">
        <v>2539</v>
      </c>
      <c r="H5" s="3196"/>
      <c r="I5" s="3195" t="s">
        <v>2540</v>
      </c>
      <c r="J5" s="3196"/>
      <c r="K5" s="2593"/>
      <c r="L5" s="1128"/>
      <c r="M5" s="1129"/>
      <c r="N5" s="1129"/>
      <c r="O5" s="1129"/>
      <c r="P5" s="3208"/>
      <c r="Q5" s="3209"/>
      <c r="R5" s="3191"/>
      <c r="S5" s="3192"/>
      <c r="T5" s="3191"/>
      <c r="U5" s="3192"/>
      <c r="V5" s="3214"/>
      <c r="W5" s="3214"/>
      <c r="X5" s="1811"/>
      <c r="Y5" s="3191"/>
      <c r="Z5" s="3192"/>
      <c r="AA5" s="3185"/>
      <c r="AB5" s="3185"/>
      <c r="AC5" s="3185"/>
    </row>
    <row r="6" spans="1:29" ht="15.75" thickBot="1">
      <c r="A6" s="405"/>
      <c r="B6" s="406"/>
      <c r="C6" s="3197" t="s">
        <v>2541</v>
      </c>
      <c r="D6" s="3198"/>
      <c r="E6" s="3199" t="s">
        <v>2541</v>
      </c>
      <c r="F6" s="3200"/>
      <c r="G6" s="3197" t="s">
        <v>2541</v>
      </c>
      <c r="H6" s="3198"/>
      <c r="I6" s="3197" t="s">
        <v>2541</v>
      </c>
      <c r="J6" s="3198"/>
      <c r="K6" s="2593" t="s">
        <v>2542</v>
      </c>
      <c r="L6" s="1128"/>
      <c r="M6" s="1129"/>
      <c r="N6" s="1129"/>
      <c r="O6" s="1129"/>
      <c r="P6" s="3210"/>
      <c r="Q6" s="3211"/>
      <c r="R6" s="3191"/>
      <c r="S6" s="3192"/>
      <c r="T6" s="3212"/>
      <c r="U6" s="3213"/>
      <c r="V6" s="3214"/>
      <c r="W6" s="3214"/>
      <c r="X6" s="1811"/>
      <c r="Y6" s="3212"/>
      <c r="Z6" s="3213"/>
      <c r="AA6" s="3186"/>
      <c r="AB6" s="3186"/>
      <c r="AC6" s="3186"/>
    </row>
    <row r="7" spans="1:29" s="117" customFormat="1" ht="15.7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187" t="s">
        <v>2544</v>
      </c>
      <c r="Q7" s="3215"/>
      <c r="R7" s="768" t="s">
        <v>23</v>
      </c>
      <c r="S7" s="769">
        <f t="shared" ref="S7:S15" si="0">F7</f>
        <v>0</v>
      </c>
      <c r="T7" s="768" t="s">
        <v>23</v>
      </c>
      <c r="U7" s="769">
        <f t="shared" ref="U7:U15" si="1">H7</f>
        <v>0</v>
      </c>
      <c r="V7" s="768" t="s">
        <v>23</v>
      </c>
      <c r="W7" s="769">
        <f t="shared" ref="W7:W15" si="2">J7</f>
        <v>0</v>
      </c>
      <c r="X7" s="770"/>
      <c r="Y7" s="3187" t="s">
        <v>2544</v>
      </c>
      <c r="Z7" s="3188"/>
      <c r="AA7" s="771" t="e">
        <f>D7/F7</f>
        <v>#DIV/0!</v>
      </c>
      <c r="AB7" s="771" t="e">
        <f>D7/H7</f>
        <v>#DIV/0!</v>
      </c>
      <c r="AC7" s="771" t="e">
        <f>D7/J7</f>
        <v>#DIV/0!</v>
      </c>
    </row>
    <row r="8" spans="1:29" s="117" customFormat="1" ht="15.75" thickBot="1">
      <c r="A8" s="407" t="s">
        <v>2545</v>
      </c>
      <c r="B8" s="408"/>
      <c r="C8" s="413" t="s">
        <v>2546</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187" t="s">
        <v>2547</v>
      </c>
      <c r="Q8" s="3188"/>
      <c r="R8" s="768" t="s">
        <v>23</v>
      </c>
      <c r="S8" s="769">
        <f t="shared" si="0"/>
        <v>0</v>
      </c>
      <c r="T8" s="768" t="s">
        <v>23</v>
      </c>
      <c r="U8" s="769">
        <f t="shared" si="1"/>
        <v>0</v>
      </c>
      <c r="V8" s="768" t="s">
        <v>23</v>
      </c>
      <c r="W8" s="769">
        <f t="shared" si="2"/>
        <v>0</v>
      </c>
      <c r="X8" s="770"/>
      <c r="Y8" s="3187" t="s">
        <v>2547</v>
      </c>
      <c r="Z8" s="3188"/>
      <c r="AA8" s="771" t="e">
        <f t="shared" ref="AA8:AA19" si="3">D8/F8</f>
        <v>#DIV/0!</v>
      </c>
      <c r="AB8" s="771" t="e">
        <f t="shared" ref="AB8:AB19" si="4">D8/H8</f>
        <v>#DIV/0!</v>
      </c>
      <c r="AC8" s="771" t="e">
        <f t="shared" ref="AC8:AC19" si="5">D8/J8</f>
        <v>#DIV/0!</v>
      </c>
    </row>
    <row r="9" spans="1:29" s="117"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01" t="s">
        <v>2550</v>
      </c>
      <c r="Q9" s="1793" t="str">
        <f t="shared" ref="Q9:Q15" si="6">B9</f>
        <v>用途</v>
      </c>
      <c r="R9" s="768" t="s">
        <v>17</v>
      </c>
      <c r="S9" s="769">
        <f t="shared" si="0"/>
        <v>100</v>
      </c>
      <c r="T9" s="768" t="s">
        <v>17</v>
      </c>
      <c r="U9" s="769">
        <f t="shared" si="1"/>
        <v>100</v>
      </c>
      <c r="V9" s="768" t="s">
        <v>17</v>
      </c>
      <c r="W9" s="769">
        <f t="shared" si="2"/>
        <v>100</v>
      </c>
      <c r="X9" s="770"/>
      <c r="Y9" s="3034"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1"/>
      <c r="Q10" s="1793"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1"/>
      <c r="Q11" s="1793" t="str">
        <f t="shared" si="6"/>
        <v>容积率</v>
      </c>
      <c r="R11" s="768" t="s">
        <v>21</v>
      </c>
      <c r="S11" s="769" t="e">
        <f t="shared" si="0"/>
        <v>#N/A</v>
      </c>
      <c r="T11" s="768" t="s">
        <v>21</v>
      </c>
      <c r="U11" s="769" t="e">
        <f t="shared" si="1"/>
        <v>#N/A</v>
      </c>
      <c r="V11" s="768" t="s">
        <v>21</v>
      </c>
      <c r="W11" s="769" t="e">
        <f t="shared" si="2"/>
        <v>#N/A</v>
      </c>
      <c r="X11" s="770"/>
      <c r="Y11" s="3034"/>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01"/>
      <c r="Q12" s="1793">
        <f t="shared" si="6"/>
        <v>111</v>
      </c>
      <c r="R12" s="768" t="s">
        <v>21</v>
      </c>
      <c r="S12" s="769">
        <f t="shared" si="0"/>
        <v>100</v>
      </c>
      <c r="T12" s="768" t="s">
        <v>21</v>
      </c>
      <c r="U12" s="769">
        <f t="shared" si="1"/>
        <v>100</v>
      </c>
      <c r="V12" s="768" t="s">
        <v>21</v>
      </c>
      <c r="W12" s="769">
        <f t="shared" si="2"/>
        <v>100</v>
      </c>
      <c r="X12" s="770"/>
      <c r="Y12" s="3034"/>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01"/>
      <c r="Q13" s="1793">
        <f t="shared" si="6"/>
        <v>111</v>
      </c>
      <c r="R13" s="768" t="s">
        <v>21</v>
      </c>
      <c r="S13" s="769">
        <f t="shared" si="0"/>
        <v>100</v>
      </c>
      <c r="T13" s="768" t="s">
        <v>21</v>
      </c>
      <c r="U13" s="769">
        <f t="shared" si="1"/>
        <v>100</v>
      </c>
      <c r="V13" s="768" t="s">
        <v>21</v>
      </c>
      <c r="W13" s="769">
        <f t="shared" si="2"/>
        <v>100</v>
      </c>
      <c r="X13" s="770"/>
      <c r="Y13" s="3034"/>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01"/>
      <c r="Q14" s="1793">
        <f t="shared" si="6"/>
        <v>111</v>
      </c>
      <c r="R14" s="768" t="s">
        <v>21</v>
      </c>
      <c r="S14" s="769">
        <f t="shared" si="0"/>
        <v>100</v>
      </c>
      <c r="T14" s="768" t="s">
        <v>21</v>
      </c>
      <c r="U14" s="769">
        <f t="shared" si="1"/>
        <v>100</v>
      </c>
      <c r="V14" s="768" t="s">
        <v>21</v>
      </c>
      <c r="W14" s="769">
        <f t="shared" si="2"/>
        <v>100</v>
      </c>
      <c r="X14" s="770"/>
      <c r="Y14" s="3034"/>
      <c r="Z14" s="55">
        <f t="shared" si="7"/>
        <v>111</v>
      </c>
      <c r="AA14" s="771">
        <f t="shared" si="3"/>
        <v>1</v>
      </c>
      <c r="AB14" s="771">
        <f t="shared" si="4"/>
        <v>1</v>
      </c>
      <c r="AC14" s="771">
        <f t="shared" si="5"/>
        <v>1</v>
      </c>
    </row>
    <row r="15" spans="1:29" ht="15">
      <c r="A15" s="439" t="s">
        <v>2554</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28" t="s">
        <v>2555</v>
      </c>
      <c r="Q15" s="1808" t="str">
        <f t="shared" si="6"/>
        <v>居住社区成熟度</v>
      </c>
      <c r="R15" s="772" t="s">
        <v>21</v>
      </c>
      <c r="S15" s="773">
        <f t="shared" si="0"/>
        <v>100</v>
      </c>
      <c r="T15" s="772" t="s">
        <v>21</v>
      </c>
      <c r="U15" s="773">
        <f t="shared" si="1"/>
        <v>100</v>
      </c>
      <c r="V15" s="772" t="s">
        <v>21</v>
      </c>
      <c r="W15" s="773">
        <f t="shared" si="2"/>
        <v>100</v>
      </c>
      <c r="X15" s="1811"/>
      <c r="Y15" s="3221" t="s">
        <v>2555</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29"/>
      <c r="Q16" s="1808"/>
      <c r="R16" s="772"/>
      <c r="S16" s="773"/>
      <c r="T16" s="772"/>
      <c r="U16" s="773"/>
      <c r="V16" s="772"/>
      <c r="W16" s="773"/>
      <c r="X16" s="1811"/>
      <c r="Y16" s="3222"/>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29"/>
      <c r="Q17" s="1808" t="str">
        <f>B17</f>
        <v>交通便捷度</v>
      </c>
      <c r="R17" s="772" t="s">
        <v>21</v>
      </c>
      <c r="S17" s="773">
        <f>F17</f>
        <v>100</v>
      </c>
      <c r="T17" s="772" t="s">
        <v>21</v>
      </c>
      <c r="U17" s="773">
        <f>H17</f>
        <v>100</v>
      </c>
      <c r="V17" s="772" t="s">
        <v>21</v>
      </c>
      <c r="W17" s="773">
        <f>J17</f>
        <v>100</v>
      </c>
      <c r="X17" s="1811"/>
      <c r="Y17" s="3222"/>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29"/>
      <c r="Q18" s="1808"/>
      <c r="R18" s="772"/>
      <c r="S18" s="773"/>
      <c r="T18" s="772"/>
      <c r="U18" s="773"/>
      <c r="V18" s="772"/>
      <c r="W18" s="773"/>
      <c r="X18" s="1811"/>
      <c r="Y18" s="3222"/>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29"/>
      <c r="Q19" s="1808" t="str">
        <f>B19</f>
        <v>公共配套设施</v>
      </c>
      <c r="R19" s="772" t="s">
        <v>21</v>
      </c>
      <c r="S19" s="773">
        <f>F19</f>
        <v>100</v>
      </c>
      <c r="T19" s="772" t="s">
        <v>21</v>
      </c>
      <c r="U19" s="773">
        <f>H19</f>
        <v>100</v>
      </c>
      <c r="V19" s="772" t="s">
        <v>21</v>
      </c>
      <c r="W19" s="773">
        <f>J19</f>
        <v>100</v>
      </c>
      <c r="X19" s="1811"/>
      <c r="Y19" s="3222"/>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29"/>
      <c r="Q20" s="1808"/>
      <c r="R20" s="772"/>
      <c r="S20" s="773"/>
      <c r="T20" s="772"/>
      <c r="U20" s="773"/>
      <c r="V20" s="772"/>
      <c r="W20" s="773"/>
      <c r="X20" s="1811"/>
      <c r="Y20" s="3222"/>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29"/>
      <c r="Q21" s="1808" t="str">
        <f>B21</f>
        <v>基础设施水平</v>
      </c>
      <c r="R21" s="772" t="s">
        <v>17</v>
      </c>
      <c r="S21" s="773">
        <f>F21</f>
        <v>100</v>
      </c>
      <c r="T21" s="772" t="s">
        <v>17</v>
      </c>
      <c r="U21" s="773">
        <f>H21</f>
        <v>100</v>
      </c>
      <c r="V21" s="772" t="s">
        <v>17</v>
      </c>
      <c r="W21" s="773">
        <f>J21</f>
        <v>100</v>
      </c>
      <c r="X21" s="1811"/>
      <c r="Y21" s="3222"/>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29"/>
      <c r="Q22" s="1808"/>
      <c r="R22" s="772"/>
      <c r="S22" s="773"/>
      <c r="T22" s="772"/>
      <c r="U22" s="773"/>
      <c r="V22" s="772"/>
      <c r="W22" s="773"/>
      <c r="X22" s="1811"/>
      <c r="Y22" s="3222"/>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29"/>
      <c r="Q23" s="1808" t="str">
        <f>B23</f>
        <v>自然及人文环境</v>
      </c>
      <c r="R23" s="772" t="s">
        <v>21</v>
      </c>
      <c r="S23" s="773">
        <f>F23</f>
        <v>100</v>
      </c>
      <c r="T23" s="772" t="s">
        <v>21</v>
      </c>
      <c r="U23" s="773">
        <f>H23</f>
        <v>100</v>
      </c>
      <c r="V23" s="772" t="s">
        <v>21</v>
      </c>
      <c r="W23" s="773">
        <f>J23</f>
        <v>100</v>
      </c>
      <c r="X23" s="1811"/>
      <c r="Y23" s="3222"/>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29"/>
      <c r="Q24" s="1808"/>
      <c r="R24" s="772"/>
      <c r="S24" s="773"/>
      <c r="T24" s="772"/>
      <c r="U24" s="773"/>
      <c r="V24" s="772"/>
      <c r="W24" s="773"/>
      <c r="X24" s="1811"/>
      <c r="Y24" s="3222"/>
      <c r="Z24" s="1812"/>
      <c r="AA24" s="1809">
        <v>1</v>
      </c>
      <c r="AB24" s="1809">
        <v>1</v>
      </c>
      <c r="AC24" s="1809">
        <v>1</v>
      </c>
    </row>
    <row r="25" spans="1:29" ht="15">
      <c r="A25" s="427"/>
      <c r="B25" s="421" t="s">
        <v>2556</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29"/>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22"/>
      <c r="Z25" s="1812" t="str">
        <f>Q25</f>
        <v>楼层-1</v>
      </c>
      <c r="AA25" s="1809">
        <f t="shared" ref="AA25:AA46" si="15">D25/F25</f>
        <v>1</v>
      </c>
      <c r="AB25" s="1809">
        <f t="shared" ref="AB25:AB46" si="16">D25/H25</f>
        <v>1</v>
      </c>
      <c r="AC25" s="1809">
        <f t="shared" ref="AC25:AC46" si="17">D25/J25</f>
        <v>1</v>
      </c>
    </row>
    <row r="26" spans="1:29" ht="15">
      <c r="A26" s="427"/>
      <c r="B26" s="421" t="s">
        <v>2557</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29"/>
      <c r="Q26" s="1808" t="str">
        <f t="shared" si="11"/>
        <v>朝向</v>
      </c>
      <c r="R26" s="772" t="s">
        <v>21</v>
      </c>
      <c r="S26" s="773">
        <f t="shared" si="12"/>
        <v>100</v>
      </c>
      <c r="T26" s="772" t="s">
        <v>21</v>
      </c>
      <c r="U26" s="773">
        <f t="shared" si="13"/>
        <v>100</v>
      </c>
      <c r="V26" s="772" t="s">
        <v>21</v>
      </c>
      <c r="W26" s="773">
        <f t="shared" si="14"/>
        <v>100</v>
      </c>
      <c r="X26" s="1811"/>
      <c r="Y26" s="3222"/>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29"/>
      <c r="Q27" s="1793">
        <f t="shared" si="11"/>
        <v>111</v>
      </c>
      <c r="R27" s="768" t="s">
        <v>21</v>
      </c>
      <c r="S27" s="769">
        <f t="shared" si="12"/>
        <v>100</v>
      </c>
      <c r="T27" s="768" t="s">
        <v>21</v>
      </c>
      <c r="U27" s="769">
        <f t="shared" si="13"/>
        <v>100</v>
      </c>
      <c r="V27" s="768" t="s">
        <v>21</v>
      </c>
      <c r="W27" s="769">
        <f t="shared" si="14"/>
        <v>100</v>
      </c>
      <c r="X27" s="770"/>
      <c r="Y27" s="3222"/>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29"/>
      <c r="Q28" s="1808">
        <f t="shared" si="11"/>
        <v>111</v>
      </c>
      <c r="R28" s="772" t="s">
        <v>21</v>
      </c>
      <c r="S28" s="773">
        <f t="shared" si="12"/>
        <v>100</v>
      </c>
      <c r="T28" s="772" t="s">
        <v>21</v>
      </c>
      <c r="U28" s="773">
        <f t="shared" si="13"/>
        <v>100</v>
      </c>
      <c r="V28" s="772" t="s">
        <v>21</v>
      </c>
      <c r="W28" s="773">
        <f t="shared" si="14"/>
        <v>100</v>
      </c>
      <c r="X28" s="1811"/>
      <c r="Y28" s="322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29"/>
      <c r="Q29" s="1808">
        <f t="shared" si="11"/>
        <v>111</v>
      </c>
      <c r="R29" s="772" t="s">
        <v>21</v>
      </c>
      <c r="S29" s="773">
        <f t="shared" si="12"/>
        <v>100</v>
      </c>
      <c r="T29" s="772" t="s">
        <v>21</v>
      </c>
      <c r="U29" s="773">
        <f t="shared" si="13"/>
        <v>100</v>
      </c>
      <c r="V29" s="772" t="s">
        <v>21</v>
      </c>
      <c r="W29" s="773">
        <f t="shared" si="14"/>
        <v>100</v>
      </c>
      <c r="X29" s="1811"/>
      <c r="Y29" s="322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29"/>
      <c r="Q30" s="1808">
        <f t="shared" si="11"/>
        <v>111</v>
      </c>
      <c r="R30" s="772" t="s">
        <v>21</v>
      </c>
      <c r="S30" s="773">
        <f t="shared" si="12"/>
        <v>100</v>
      </c>
      <c r="T30" s="772" t="s">
        <v>21</v>
      </c>
      <c r="U30" s="773">
        <f t="shared" si="13"/>
        <v>100</v>
      </c>
      <c r="V30" s="772" t="s">
        <v>21</v>
      </c>
      <c r="W30" s="773">
        <f t="shared" si="14"/>
        <v>100</v>
      </c>
      <c r="X30" s="1811"/>
      <c r="Y30" s="322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29"/>
      <c r="Q31" s="1808">
        <f t="shared" si="11"/>
        <v>111</v>
      </c>
      <c r="R31" s="772" t="s">
        <v>21</v>
      </c>
      <c r="S31" s="773">
        <f t="shared" si="12"/>
        <v>100</v>
      </c>
      <c r="T31" s="772" t="s">
        <v>21</v>
      </c>
      <c r="U31" s="773">
        <f t="shared" si="13"/>
        <v>100</v>
      </c>
      <c r="V31" s="772" t="s">
        <v>21</v>
      </c>
      <c r="W31" s="773">
        <f t="shared" si="14"/>
        <v>100</v>
      </c>
      <c r="X31" s="1811"/>
      <c r="Y31" s="3222"/>
      <c r="Z31" s="1812">
        <f t="shared" si="18"/>
        <v>111</v>
      </c>
      <c r="AA31" s="1809">
        <f t="shared" si="15"/>
        <v>1</v>
      </c>
      <c r="AB31" s="1809">
        <f t="shared" si="16"/>
        <v>1</v>
      </c>
      <c r="AC31" s="1809">
        <f t="shared" si="17"/>
        <v>1</v>
      </c>
    </row>
    <row r="32" spans="1:29" ht="15">
      <c r="A32" s="439" t="s">
        <v>2558</v>
      </c>
      <c r="B32" s="71" t="s">
        <v>2559</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23" t="s">
        <v>2560</v>
      </c>
      <c r="Q32" s="1808" t="str">
        <f t="shared" si="11"/>
        <v>建筑类型</v>
      </c>
      <c r="R32" s="772" t="s">
        <v>21</v>
      </c>
      <c r="S32" s="773">
        <f t="shared" si="12"/>
        <v>100</v>
      </c>
      <c r="T32" s="772" t="s">
        <v>21</v>
      </c>
      <c r="U32" s="773">
        <f t="shared" si="13"/>
        <v>100</v>
      </c>
      <c r="V32" s="772" t="s">
        <v>21</v>
      </c>
      <c r="W32" s="773">
        <f t="shared" si="14"/>
        <v>100</v>
      </c>
      <c r="X32" s="1811"/>
      <c r="Y32" s="3226" t="s">
        <v>2560</v>
      </c>
      <c r="Z32" s="1812" t="str">
        <f t="shared" si="18"/>
        <v>建筑类型</v>
      </c>
      <c r="AA32" s="1809">
        <f t="shared" si="15"/>
        <v>1</v>
      </c>
      <c r="AB32" s="1809">
        <f t="shared" si="16"/>
        <v>1</v>
      </c>
      <c r="AC32" s="1809">
        <f t="shared" si="17"/>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24"/>
      <c r="Q33" s="774" t="str">
        <f t="shared" si="11"/>
        <v>项目建筑规模</v>
      </c>
      <c r="R33" s="775" t="s">
        <v>21</v>
      </c>
      <c r="S33" s="776" t="e">
        <f t="shared" si="12"/>
        <v>#N/A</v>
      </c>
      <c r="T33" s="775" t="s">
        <v>21</v>
      </c>
      <c r="U33" s="776" t="e">
        <f t="shared" si="13"/>
        <v>#N/A</v>
      </c>
      <c r="V33" s="775" t="s">
        <v>21</v>
      </c>
      <c r="W33" s="776" t="e">
        <f t="shared" si="14"/>
        <v>#N/A</v>
      </c>
      <c r="X33" s="777"/>
      <c r="Y33" s="3226"/>
      <c r="Z33" s="778" t="str">
        <f t="shared" si="18"/>
        <v>项目建筑规模</v>
      </c>
      <c r="AA33" s="1809" t="e">
        <f t="shared" si="15"/>
        <v>#N/A</v>
      </c>
      <c r="AB33" s="1809" t="e">
        <f t="shared" si="16"/>
        <v>#N/A</v>
      </c>
      <c r="AC33" s="1809" t="e">
        <f t="shared" si="17"/>
        <v>#N/A</v>
      </c>
    </row>
    <row r="34" spans="1:29" ht="15">
      <c r="A34" s="471"/>
      <c r="B34" s="421" t="s">
        <v>2562</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24"/>
      <c r="Q34" s="1808" t="str">
        <f t="shared" si="11"/>
        <v>建筑结构</v>
      </c>
      <c r="R34" s="772" t="s">
        <v>21</v>
      </c>
      <c r="S34" s="773">
        <f t="shared" si="12"/>
        <v>100</v>
      </c>
      <c r="T34" s="772" t="s">
        <v>21</v>
      </c>
      <c r="U34" s="773">
        <f t="shared" si="13"/>
        <v>100</v>
      </c>
      <c r="V34" s="772" t="s">
        <v>21</v>
      </c>
      <c r="W34" s="773">
        <f t="shared" si="14"/>
        <v>100</v>
      </c>
      <c r="X34" s="1811"/>
      <c r="Y34" s="3226"/>
      <c r="Z34" s="1812" t="str">
        <f t="shared" si="18"/>
        <v>建筑结构</v>
      </c>
      <c r="AA34" s="1809">
        <f t="shared" si="15"/>
        <v>1</v>
      </c>
      <c r="AB34" s="1809">
        <f t="shared" si="16"/>
        <v>1</v>
      </c>
      <c r="AC34" s="1809">
        <f t="shared" si="17"/>
        <v>1</v>
      </c>
    </row>
    <row r="35" spans="1:29" ht="15">
      <c r="A35" s="471"/>
      <c r="B35" s="421" t="s">
        <v>2563</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24"/>
      <c r="Q35" s="1808" t="str">
        <f t="shared" si="11"/>
        <v>建筑品质</v>
      </c>
      <c r="R35" s="772" t="s">
        <v>21</v>
      </c>
      <c r="S35" s="773">
        <f t="shared" si="12"/>
        <v>100</v>
      </c>
      <c r="T35" s="772" t="s">
        <v>21</v>
      </c>
      <c r="U35" s="773">
        <f t="shared" si="13"/>
        <v>100</v>
      </c>
      <c r="V35" s="772" t="s">
        <v>21</v>
      </c>
      <c r="W35" s="773">
        <f t="shared" si="14"/>
        <v>100</v>
      </c>
      <c r="X35" s="1811"/>
      <c r="Y35" s="3226"/>
      <c r="Z35" s="1812" t="str">
        <f t="shared" si="18"/>
        <v>建筑品质</v>
      </c>
      <c r="AA35" s="1809">
        <f t="shared" si="15"/>
        <v>1</v>
      </c>
      <c r="AB35" s="1809">
        <f t="shared" si="16"/>
        <v>1</v>
      </c>
      <c r="AC35" s="1809">
        <f t="shared" si="17"/>
        <v>1</v>
      </c>
    </row>
    <row r="36" spans="1:29" ht="15">
      <c r="A36" s="471"/>
      <c r="B36" s="421" t="s">
        <v>2564</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24"/>
      <c r="Q36" s="1808" t="str">
        <f t="shared" si="11"/>
        <v>公共部分装修</v>
      </c>
      <c r="R36" s="772" t="s">
        <v>21</v>
      </c>
      <c r="S36" s="773">
        <f t="shared" si="12"/>
        <v>100</v>
      </c>
      <c r="T36" s="772" t="s">
        <v>21</v>
      </c>
      <c r="U36" s="773">
        <f t="shared" si="13"/>
        <v>100</v>
      </c>
      <c r="V36" s="772" t="s">
        <v>21</v>
      </c>
      <c r="W36" s="773">
        <f t="shared" si="14"/>
        <v>100</v>
      </c>
      <c r="X36" s="1811"/>
      <c r="Y36" s="3226"/>
      <c r="Z36" s="1812" t="str">
        <f t="shared" si="18"/>
        <v>公共部分装修</v>
      </c>
      <c r="AA36" s="1809">
        <f t="shared" si="15"/>
        <v>1</v>
      </c>
      <c r="AB36" s="1809">
        <f t="shared" si="16"/>
        <v>1</v>
      </c>
      <c r="AC36" s="1809">
        <f t="shared" si="17"/>
        <v>1</v>
      </c>
    </row>
    <row r="37" spans="1:29" s="117" customFormat="1" ht="15">
      <c r="A37" s="472"/>
      <c r="B37" s="421"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24"/>
      <c r="Q37" s="1793" t="str">
        <f t="shared" si="11"/>
        <v>成新度</v>
      </c>
      <c r="R37" s="768" t="s">
        <v>21</v>
      </c>
      <c r="S37" s="769" t="e">
        <f t="shared" si="12"/>
        <v>#N/A</v>
      </c>
      <c r="T37" s="768" t="s">
        <v>21</v>
      </c>
      <c r="U37" s="769" t="e">
        <f t="shared" si="13"/>
        <v>#N/A</v>
      </c>
      <c r="V37" s="768" t="s">
        <v>21</v>
      </c>
      <c r="W37" s="769" t="e">
        <f t="shared" si="14"/>
        <v>#N/A</v>
      </c>
      <c r="X37" s="770"/>
      <c r="Y37" s="3226"/>
      <c r="Z37" s="55" t="str">
        <f t="shared" si="18"/>
        <v>成新度</v>
      </c>
      <c r="AA37" s="771" t="e">
        <f t="shared" si="15"/>
        <v>#N/A</v>
      </c>
      <c r="AB37" s="771" t="e">
        <f t="shared" si="16"/>
        <v>#N/A</v>
      </c>
      <c r="AC37" s="771" t="e">
        <f t="shared" si="17"/>
        <v>#N/A</v>
      </c>
    </row>
    <row r="38" spans="1:29" ht="15">
      <c r="A38" s="471"/>
      <c r="B38" s="421" t="s">
        <v>2566</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24" t="s">
        <v>2560</v>
      </c>
      <c r="Q38" s="1808" t="str">
        <f t="shared" si="11"/>
        <v>物业管理</v>
      </c>
      <c r="R38" s="772" t="s">
        <v>21</v>
      </c>
      <c r="S38" s="773">
        <f t="shared" si="12"/>
        <v>100</v>
      </c>
      <c r="T38" s="772" t="s">
        <v>21</v>
      </c>
      <c r="U38" s="773">
        <f t="shared" si="13"/>
        <v>100</v>
      </c>
      <c r="V38" s="772" t="s">
        <v>21</v>
      </c>
      <c r="W38" s="773">
        <f t="shared" si="14"/>
        <v>100</v>
      </c>
      <c r="X38" s="1811"/>
      <c r="Y38" s="3226" t="s">
        <v>2560</v>
      </c>
      <c r="Z38" s="1812" t="str">
        <f t="shared" si="18"/>
        <v>物业管理</v>
      </c>
      <c r="AA38" s="1809">
        <f t="shared" si="15"/>
        <v>1</v>
      </c>
      <c r="AB38" s="1809">
        <f t="shared" si="16"/>
        <v>1</v>
      </c>
      <c r="AC38" s="1809">
        <f t="shared" si="17"/>
        <v>1</v>
      </c>
    </row>
    <row r="39" spans="1:29" ht="15">
      <c r="A39" s="471"/>
      <c r="B39" s="421" t="s">
        <v>2567</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24"/>
      <c r="Q39" s="1808" t="str">
        <f t="shared" si="11"/>
        <v>市政基础设施</v>
      </c>
      <c r="R39" s="772" t="s">
        <v>21</v>
      </c>
      <c r="S39" s="773">
        <f t="shared" si="12"/>
        <v>100</v>
      </c>
      <c r="T39" s="772" t="s">
        <v>21</v>
      </c>
      <c r="U39" s="773">
        <f t="shared" si="13"/>
        <v>100</v>
      </c>
      <c r="V39" s="772" t="s">
        <v>21</v>
      </c>
      <c r="W39" s="773">
        <f t="shared" si="14"/>
        <v>100</v>
      </c>
      <c r="X39" s="1811"/>
      <c r="Y39" s="3226"/>
      <c r="Z39" s="1812" t="str">
        <f t="shared" si="18"/>
        <v>市政基础设施</v>
      </c>
      <c r="AA39" s="1809">
        <f t="shared" si="15"/>
        <v>1</v>
      </c>
      <c r="AB39" s="1809">
        <f t="shared" si="16"/>
        <v>1</v>
      </c>
      <c r="AC39" s="1809">
        <f t="shared" si="17"/>
        <v>1</v>
      </c>
    </row>
    <row r="40" spans="1:29" ht="15">
      <c r="A40" s="471"/>
      <c r="B40" s="421" t="s">
        <v>2568</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24"/>
      <c r="Q40" s="1808" t="str">
        <f t="shared" si="11"/>
        <v>房型</v>
      </c>
      <c r="R40" s="772" t="s">
        <v>21</v>
      </c>
      <c r="S40" s="773">
        <f t="shared" si="12"/>
        <v>100</v>
      </c>
      <c r="T40" s="772" t="s">
        <v>21</v>
      </c>
      <c r="U40" s="773">
        <f t="shared" si="13"/>
        <v>100</v>
      </c>
      <c r="V40" s="772" t="s">
        <v>21</v>
      </c>
      <c r="W40" s="773">
        <f t="shared" si="14"/>
        <v>100</v>
      </c>
      <c r="X40" s="1811"/>
      <c r="Y40" s="3226"/>
      <c r="Z40" s="1812" t="str">
        <f t="shared" si="18"/>
        <v>房型</v>
      </c>
      <c r="AA40" s="1809">
        <f t="shared" si="15"/>
        <v>1</v>
      </c>
      <c r="AB40" s="1809">
        <f t="shared" si="16"/>
        <v>1</v>
      </c>
      <c r="AC40" s="1809">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24"/>
      <c r="Q41" s="774" t="str">
        <f t="shared" si="11"/>
        <v>单套/主力户型建筑面积</v>
      </c>
      <c r="R41" s="775" t="s">
        <v>21</v>
      </c>
      <c r="S41" s="776">
        <f t="shared" si="12"/>
        <v>100</v>
      </c>
      <c r="T41" s="775" t="s">
        <v>21</v>
      </c>
      <c r="U41" s="776">
        <f t="shared" si="13"/>
        <v>100</v>
      </c>
      <c r="V41" s="775" t="s">
        <v>21</v>
      </c>
      <c r="W41" s="776">
        <f t="shared" si="14"/>
        <v>100</v>
      </c>
      <c r="X41" s="777"/>
      <c r="Y41" s="3226"/>
      <c r="Z41" s="778" t="str">
        <f t="shared" si="18"/>
        <v>单套/主力户型建筑面积</v>
      </c>
      <c r="AA41" s="1809">
        <f t="shared" si="15"/>
        <v>1</v>
      </c>
      <c r="AB41" s="1809">
        <f t="shared" si="16"/>
        <v>1</v>
      </c>
      <c r="AC41" s="1809">
        <f t="shared" si="17"/>
        <v>1</v>
      </c>
    </row>
    <row r="42" spans="1:29" ht="15">
      <c r="A42" s="471"/>
      <c r="B42" s="421" t="s">
        <v>2570</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24"/>
      <c r="Q42" s="1808" t="str">
        <f t="shared" si="11"/>
        <v>内部装修</v>
      </c>
      <c r="R42" s="772" t="s">
        <v>21</v>
      </c>
      <c r="S42" s="773">
        <f t="shared" si="12"/>
        <v>100</v>
      </c>
      <c r="T42" s="772" t="s">
        <v>21</v>
      </c>
      <c r="U42" s="773">
        <f t="shared" si="13"/>
        <v>100</v>
      </c>
      <c r="V42" s="772" t="s">
        <v>21</v>
      </c>
      <c r="W42" s="773">
        <f t="shared" si="14"/>
        <v>100</v>
      </c>
      <c r="X42" s="1811"/>
      <c r="Y42" s="3226"/>
      <c r="Z42" s="1812" t="str">
        <f t="shared" si="18"/>
        <v>内部装修</v>
      </c>
      <c r="AA42" s="1809">
        <f t="shared" si="15"/>
        <v>1</v>
      </c>
      <c r="AB42" s="1809">
        <f t="shared" si="16"/>
        <v>1</v>
      </c>
      <c r="AC42" s="1809">
        <f t="shared" si="17"/>
        <v>1</v>
      </c>
    </row>
    <row r="43" spans="1:29" ht="15">
      <c r="A43" s="471"/>
      <c r="B43" s="421" t="s">
        <v>2571</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24"/>
      <c r="Q43" s="1808" t="str">
        <f t="shared" si="11"/>
        <v>内部装修维护情况</v>
      </c>
      <c r="R43" s="772" t="s">
        <v>21</v>
      </c>
      <c r="S43" s="773">
        <f t="shared" si="12"/>
        <v>100</v>
      </c>
      <c r="T43" s="772" t="s">
        <v>21</v>
      </c>
      <c r="U43" s="773">
        <f t="shared" si="13"/>
        <v>100</v>
      </c>
      <c r="V43" s="772" t="s">
        <v>21</v>
      </c>
      <c r="W43" s="773">
        <f t="shared" si="14"/>
        <v>100</v>
      </c>
      <c r="X43" s="1811"/>
      <c r="Y43" s="3226"/>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24"/>
      <c r="Q44" s="1793">
        <f t="shared" si="11"/>
        <v>111</v>
      </c>
      <c r="R44" s="768" t="s">
        <v>21</v>
      </c>
      <c r="S44" s="769">
        <f t="shared" si="12"/>
        <v>100</v>
      </c>
      <c r="T44" s="768" t="s">
        <v>21</v>
      </c>
      <c r="U44" s="769">
        <f t="shared" si="13"/>
        <v>100</v>
      </c>
      <c r="V44" s="768" t="s">
        <v>21</v>
      </c>
      <c r="W44" s="769">
        <f t="shared" si="14"/>
        <v>100</v>
      </c>
      <c r="X44" s="770"/>
      <c r="Y44" s="3226"/>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24"/>
      <c r="Q45" s="1808">
        <f t="shared" si="11"/>
        <v>111</v>
      </c>
      <c r="R45" s="772" t="s">
        <v>21</v>
      </c>
      <c r="S45" s="773">
        <f t="shared" si="12"/>
        <v>100</v>
      </c>
      <c r="T45" s="772" t="s">
        <v>21</v>
      </c>
      <c r="U45" s="773">
        <f t="shared" si="13"/>
        <v>100</v>
      </c>
      <c r="V45" s="772" t="s">
        <v>21</v>
      </c>
      <c r="W45" s="773">
        <f t="shared" si="14"/>
        <v>100</v>
      </c>
      <c r="X45" s="1811"/>
      <c r="Y45" s="3226"/>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25"/>
      <c r="Q46" s="1808">
        <f t="shared" si="11"/>
        <v>111</v>
      </c>
      <c r="R46" s="772" t="s">
        <v>20</v>
      </c>
      <c r="S46" s="773">
        <f t="shared" si="12"/>
        <v>100</v>
      </c>
      <c r="T46" s="772" t="s">
        <v>20</v>
      </c>
      <c r="U46" s="773">
        <f t="shared" si="13"/>
        <v>100</v>
      </c>
      <c r="V46" s="772" t="s">
        <v>20</v>
      </c>
      <c r="W46" s="773">
        <f t="shared" si="14"/>
        <v>100</v>
      </c>
      <c r="X46" s="1811"/>
      <c r="Y46" s="3227"/>
      <c r="Z46" s="1812">
        <f t="shared" si="18"/>
        <v>111</v>
      </c>
      <c r="AA46" s="1809">
        <f t="shared" si="15"/>
        <v>1</v>
      </c>
      <c r="AB46" s="1809">
        <f t="shared" si="16"/>
        <v>1</v>
      </c>
      <c r="AC46" s="1809">
        <f t="shared" si="17"/>
        <v>1</v>
      </c>
    </row>
    <row r="47" spans="1:29" ht="15">
      <c r="A47" s="478" t="s">
        <v>2572</v>
      </c>
      <c r="B47" s="479"/>
      <c r="C47" s="1405" t="s">
        <v>19</v>
      </c>
      <c r="D47" s="1406"/>
      <c r="E47" s="1407"/>
      <c r="F47" s="1408"/>
      <c r="G47" s="1409"/>
      <c r="H47" s="1410"/>
      <c r="I47" s="1407"/>
      <c r="J47" s="1410"/>
      <c r="K47" s="2617"/>
      <c r="L47" s="1141"/>
      <c r="M47" s="1142"/>
      <c r="N47" s="1129"/>
      <c r="O47" s="1142"/>
      <c r="P47" s="3219" t="str">
        <f>A47</f>
        <v>成交单价（元/平方米）</v>
      </c>
      <c r="Q47" s="3219"/>
      <c r="R47" s="3220">
        <f>E47</f>
        <v>0</v>
      </c>
      <c r="S47" s="3220"/>
      <c r="T47" s="3220">
        <f>G47</f>
        <v>0</v>
      </c>
      <c r="U47" s="3220"/>
      <c r="V47" s="3220">
        <f>I47</f>
        <v>0</v>
      </c>
      <c r="W47" s="3220"/>
      <c r="X47" s="757"/>
      <c r="Y47" s="779"/>
      <c r="Z47" s="757"/>
      <c r="AA47" s="757"/>
      <c r="AB47" s="757"/>
      <c r="AC47" s="757"/>
    </row>
    <row r="48" spans="1:29" ht="15.75" thickBot="1">
      <c r="A48" s="485" t="s">
        <v>2573</v>
      </c>
      <c r="B48" s="486"/>
      <c r="C48" s="1411" t="e">
        <f>R49</f>
        <v>#DIV/0!</v>
      </c>
      <c r="D48" s="1412"/>
      <c r="E48" s="1413" t="e">
        <f>R48</f>
        <v>#DIV/0!</v>
      </c>
      <c r="F48" s="1413"/>
      <c r="G48" s="1411" t="e">
        <f>T48</f>
        <v>#DIV/0!</v>
      </c>
      <c r="H48" s="1412"/>
      <c r="I48" s="1413" t="e">
        <f>V48</f>
        <v>#DIV/0!</v>
      </c>
      <c r="J48" s="1412"/>
      <c r="K48" s="2618"/>
      <c r="L48" s="1141"/>
      <c r="M48" s="1142"/>
      <c r="N48" s="1142"/>
      <c r="O48" s="1142"/>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7"/>
      <c r="Y48" s="757"/>
      <c r="Z48" s="757"/>
      <c r="AA48" s="757"/>
      <c r="AB48" s="757"/>
      <c r="AC48" s="757"/>
    </row>
    <row r="49" spans="1:29" ht="15.75" thickBot="1">
      <c r="A49" s="491" t="s">
        <v>2574</v>
      </c>
      <c r="B49" s="492"/>
      <c r="C49" s="1414" t="e">
        <f>R49</f>
        <v>#DIV/0!</v>
      </c>
      <c r="D49" s="1415"/>
      <c r="E49" s="1415"/>
      <c r="F49" s="1415"/>
      <c r="G49" s="1415"/>
      <c r="H49" s="1415"/>
      <c r="I49" s="1415"/>
      <c r="J49" s="1415"/>
      <c r="K49" s="2619"/>
      <c r="L49" s="1141"/>
      <c r="M49" s="1142"/>
      <c r="N49" s="1142"/>
      <c r="O49" s="1142"/>
      <c r="P49" s="3216" t="str">
        <f>A49</f>
        <v>估价对象XX用房的比较价值（楼面单价，元/平方米）</v>
      </c>
      <c r="Q49" s="3217"/>
      <c r="R49" s="3218" t="e">
        <f>IF(F1="售价",ROUND(AVERAGE(R48:V48),0),ROUND(AVERAGE(R48:V48),1))</f>
        <v>#DIV/0!</v>
      </c>
      <c r="S49" s="3218"/>
      <c r="T49" s="3218"/>
      <c r="U49" s="3218"/>
      <c r="V49" s="3218"/>
      <c r="W49" s="321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2578</v>
      </c>
      <c r="B57" s="757"/>
      <c r="C57" s="762"/>
      <c r="D57" s="762"/>
      <c r="E57" s="762"/>
      <c r="F57" s="763"/>
      <c r="G57" s="763"/>
      <c r="H57" s="762"/>
      <c r="I57" s="762"/>
      <c r="J57" s="762"/>
      <c r="K57" s="1158"/>
      <c r="L57" s="1159"/>
      <c r="M57" s="1157"/>
      <c r="N57" s="1157"/>
      <c r="O57" s="1157"/>
      <c r="P57" s="2622"/>
      <c r="Q57" s="503"/>
    </row>
    <row r="58" spans="1:29" s="507" customFormat="1" ht="15">
      <c r="A58" s="504" t="s">
        <v>2579</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2580</v>
      </c>
      <c r="B60" s="515"/>
      <c r="C60" s="516"/>
      <c r="D60" s="517"/>
      <c r="E60" s="517"/>
      <c r="F60" s="517"/>
      <c r="G60" s="517"/>
      <c r="H60" s="517"/>
      <c r="I60" s="517"/>
      <c r="J60" s="517"/>
      <c r="K60" s="517"/>
      <c r="L60" s="517"/>
      <c r="M60" s="518"/>
      <c r="N60" s="517"/>
      <c r="O60" s="518"/>
      <c r="P60" s="2624"/>
      <c r="Q60" s="503"/>
    </row>
    <row r="61" spans="1:29" s="117" customFormat="1" ht="15">
      <c r="A61" s="520" t="s">
        <v>2581</v>
      </c>
      <c r="B61" s="509"/>
      <c r="C61" s="521" t="s">
        <v>2582</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2583</v>
      </c>
      <c r="B63" s="527" t="s">
        <v>2549</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2599</v>
      </c>
      <c r="D82" s="538" t="s">
        <v>2600</v>
      </c>
      <c r="E82" s="538" t="s">
        <v>2601</v>
      </c>
      <c r="F82" s="538" t="s">
        <v>2602</v>
      </c>
      <c r="G82" s="538" t="s">
        <v>2603</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2605</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2606</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2558</v>
      </c>
      <c r="B100" s="527" t="s">
        <v>2607</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2609</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2610</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2611</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2612</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2613</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2614</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2569</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2615</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5" t="s">
        <v>2620</v>
      </c>
      <c r="D138" s="145" t="s">
        <v>2621</v>
      </c>
      <c r="E138" s="2641" t="s">
        <v>2622</v>
      </c>
      <c r="F138" s="2642" t="s">
        <v>2623</v>
      </c>
      <c r="G138" s="145" t="s">
        <v>2621</v>
      </c>
      <c r="H138" s="146" t="s">
        <v>2622</v>
      </c>
      <c r="I138" s="2643"/>
      <c r="J138" s="145" t="s">
        <v>2624</v>
      </c>
      <c r="K138" s="146" t="s">
        <v>2625</v>
      </c>
    </row>
    <row r="139" spans="1:17" ht="15">
      <c r="B139" s="1082">
        <v>6</v>
      </c>
      <c r="C139" s="1083">
        <v>96</v>
      </c>
      <c r="D139" s="2644" t="s">
        <v>2626</v>
      </c>
      <c r="E139" s="1084">
        <v>100</v>
      </c>
      <c r="F139" s="1085">
        <v>102.5</v>
      </c>
      <c r="G139" s="2644" t="s">
        <v>2626</v>
      </c>
      <c r="H139" s="1086">
        <v>105</v>
      </c>
      <c r="I139" s="2645" t="s">
        <v>2627</v>
      </c>
      <c r="J139" s="1083">
        <v>20</v>
      </c>
      <c r="K139" s="1087">
        <f>C145/(J139-2)</f>
        <v>4.0555555555555553E-3</v>
      </c>
    </row>
    <row r="140" spans="1:17" ht="15">
      <c r="B140" s="1088">
        <v>5</v>
      </c>
      <c r="C140" s="1089">
        <v>100</v>
      </c>
      <c r="D140" s="1089"/>
      <c r="E140" s="1090"/>
      <c r="F140" s="1091">
        <v>102</v>
      </c>
      <c r="G140" s="1089"/>
      <c r="H140" s="1092"/>
      <c r="I140" s="2646" t="s">
        <v>2628</v>
      </c>
      <c r="J140" s="314">
        <f>ROUNDUP((J139-1)/2,0)</f>
        <v>10</v>
      </c>
      <c r="K140" s="1093">
        <v>100</v>
      </c>
    </row>
    <row r="141" spans="1:17" ht="15">
      <c r="B141" s="1088">
        <v>4</v>
      </c>
      <c r="C141" s="1089">
        <v>102</v>
      </c>
      <c r="D141" s="1089"/>
      <c r="E141" s="1090"/>
      <c r="F141" s="1091">
        <v>101.5</v>
      </c>
      <c r="G141" s="1089"/>
      <c r="H141" s="1092"/>
      <c r="I141" s="2646" t="s">
        <v>2629</v>
      </c>
      <c r="J141" s="314">
        <v>1</v>
      </c>
      <c r="K141" s="1094">
        <f>ROUND(100+(J141-J140)*K139*100,1)</f>
        <v>96.4</v>
      </c>
    </row>
    <row r="142" spans="1:17" ht="15">
      <c r="B142" s="1088">
        <v>3</v>
      </c>
      <c r="C142" s="1089">
        <v>103</v>
      </c>
      <c r="D142" s="1089"/>
      <c r="E142" s="1090"/>
      <c r="F142" s="1091">
        <v>101</v>
      </c>
      <c r="G142" s="1089"/>
      <c r="H142" s="1092"/>
      <c r="I142" s="2646" t="s">
        <v>2630</v>
      </c>
      <c r="J142" s="314">
        <f>J139</f>
        <v>20</v>
      </c>
      <c r="K142" s="1095">
        <v>95</v>
      </c>
    </row>
    <row r="143" spans="1:17" ht="15">
      <c r="B143" s="1088">
        <v>2</v>
      </c>
      <c r="C143" s="1089">
        <v>100</v>
      </c>
      <c r="D143" s="1089"/>
      <c r="E143" s="1090"/>
      <c r="F143" s="1091">
        <v>100.5</v>
      </c>
      <c r="G143" s="1089"/>
      <c r="H143" s="1092"/>
      <c r="I143" s="2646" t="s">
        <v>2631</v>
      </c>
      <c r="J143" s="1089">
        <v>15</v>
      </c>
      <c r="K143" s="1094">
        <f>ROUND(100+(J143-J140)*K139*100,1)</f>
        <v>102</v>
      </c>
    </row>
    <row r="144" spans="1:17" ht="15">
      <c r="B144" s="1088">
        <v>1</v>
      </c>
      <c r="C144" s="1089">
        <v>98</v>
      </c>
      <c r="D144" s="2647" t="s">
        <v>2632</v>
      </c>
      <c r="E144" s="1090">
        <v>102</v>
      </c>
      <c r="F144" s="1096">
        <v>100</v>
      </c>
      <c r="G144" s="2647" t="s">
        <v>2632</v>
      </c>
      <c r="H144" s="1092">
        <v>105</v>
      </c>
      <c r="I144" s="2646" t="s">
        <v>2631</v>
      </c>
      <c r="J144" s="1089">
        <v>18</v>
      </c>
      <c r="K144" s="1094">
        <f>ROUND(100+(J144-J140)*K139*100,1)</f>
        <v>103.2</v>
      </c>
    </row>
    <row r="145" spans="2:11" ht="15.75" thickBot="1">
      <c r="B145" s="2648" t="s">
        <v>2633</v>
      </c>
      <c r="C145" s="1097">
        <f>ROUND(MAX(C139:C144)/MIN(C139:C144)-1,3)</f>
        <v>7.2999999999999995E-2</v>
      </c>
      <c r="D145" s="1098"/>
      <c r="E145" s="1098"/>
      <c r="F145" s="2649" t="s">
        <v>2634</v>
      </c>
      <c r="G145" s="2650"/>
      <c r="H145" s="2651"/>
      <c r="I145" s="2652" t="s">
        <v>2631</v>
      </c>
      <c r="J145" s="1099">
        <v>8</v>
      </c>
      <c r="K145" s="1100">
        <f>ROUND(100+(J145-J140)*K139*100,1)</f>
        <v>99.2</v>
      </c>
    </row>
    <row r="147" spans="2:11">
      <c r="B147" s="2633" t="s">
        <v>2635</v>
      </c>
    </row>
    <row r="148" spans="2:11">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8" t="s">
        <v>2637</v>
      </c>
      <c r="C1" s="1632" t="s">
        <v>2525</v>
      </c>
      <c r="D1" s="1619"/>
      <c r="E1" s="2653"/>
      <c r="F1" s="2580"/>
      <c r="G1" s="1629" t="s">
        <v>2638</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2322</v>
      </c>
      <c r="B2" s="1416" t="e">
        <f ca="1">IF(C2="——",ROUND(C49*D3/10000,0),ROUND(C49*D3/10000,0)-D2)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2324</v>
      </c>
      <c r="B3" s="608" t="e">
        <f ca="1">IF(C2="——",C49,ROUND(B2*10000/D3,0))</f>
        <v>#DIV/0!</v>
      </c>
      <c r="C3" s="399" t="s">
        <v>2639</v>
      </c>
      <c r="D3" s="398">
        <f>IF(D1="",'数据-汇总表'!E3,SUMIF('数据-汇总表'!$C19:$C33,D1,'数据-汇总表'!$E19:$E33))</f>
        <v>2406.44</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2640</v>
      </c>
      <c r="B4" s="401"/>
      <c r="C4" s="3202" t="s">
        <v>2641</v>
      </c>
      <c r="D4" s="3203"/>
      <c r="E4" s="3204" t="s">
        <v>2642</v>
      </c>
      <c r="F4" s="3205"/>
      <c r="G4" s="3202" t="s">
        <v>2643</v>
      </c>
      <c r="H4" s="3203"/>
      <c r="I4" s="3202" t="s">
        <v>2644</v>
      </c>
      <c r="J4" s="3203"/>
      <c r="K4" s="609" t="s">
        <v>2645</v>
      </c>
      <c r="L4" s="1128"/>
      <c r="M4" s="1129"/>
      <c r="N4" s="1129"/>
      <c r="O4" s="1129"/>
      <c r="P4" s="3206" t="s">
        <v>2646</v>
      </c>
      <c r="Q4" s="3207"/>
      <c r="R4" s="3189" t="s">
        <v>2642</v>
      </c>
      <c r="S4" s="3190"/>
      <c r="T4" s="3189" t="s">
        <v>2643</v>
      </c>
      <c r="U4" s="3190"/>
      <c r="V4" s="3214" t="s">
        <v>2644</v>
      </c>
      <c r="W4" s="3214"/>
      <c r="X4" s="1811"/>
      <c r="Y4" s="3189" t="s">
        <v>2646</v>
      </c>
      <c r="Z4" s="3190"/>
      <c r="AA4" s="3184" t="s">
        <v>2642</v>
      </c>
      <c r="AB4" s="3214" t="s">
        <v>2643</v>
      </c>
      <c r="AC4" s="3184" t="s">
        <v>2644</v>
      </c>
    </row>
    <row r="5" spans="1:29" ht="15">
      <c r="A5" s="403"/>
      <c r="B5" s="404"/>
      <c r="C5" s="3195" t="s">
        <v>2537</v>
      </c>
      <c r="D5" s="3196"/>
      <c r="E5" s="3193" t="s">
        <v>2538</v>
      </c>
      <c r="F5" s="3194"/>
      <c r="G5" s="3195" t="s">
        <v>2539</v>
      </c>
      <c r="H5" s="3196"/>
      <c r="I5" s="3195" t="s">
        <v>2540</v>
      </c>
      <c r="J5" s="3196"/>
      <c r="K5" s="609"/>
      <c r="L5" s="1128"/>
      <c r="M5" s="1129"/>
      <c r="N5" s="1129"/>
      <c r="O5" s="1129"/>
      <c r="P5" s="3208"/>
      <c r="Q5" s="3209"/>
      <c r="R5" s="3191"/>
      <c r="S5" s="3192"/>
      <c r="T5" s="3191"/>
      <c r="U5" s="3192"/>
      <c r="V5" s="3214"/>
      <c r="W5" s="3214"/>
      <c r="X5" s="1811"/>
      <c r="Y5" s="3191"/>
      <c r="Z5" s="3192"/>
      <c r="AA5" s="3185"/>
      <c r="AB5" s="3214"/>
      <c r="AC5" s="3185"/>
    </row>
    <row r="6" spans="1:29" ht="15.75" thickBot="1">
      <c r="A6" s="405"/>
      <c r="B6" s="406"/>
      <c r="C6" s="3197" t="s">
        <v>2541</v>
      </c>
      <c r="D6" s="3198"/>
      <c r="E6" s="3199" t="s">
        <v>2541</v>
      </c>
      <c r="F6" s="3200"/>
      <c r="G6" s="3197" t="s">
        <v>2541</v>
      </c>
      <c r="H6" s="3198"/>
      <c r="I6" s="3197" t="s">
        <v>2541</v>
      </c>
      <c r="J6" s="3198"/>
      <c r="K6" s="609" t="s">
        <v>2542</v>
      </c>
      <c r="L6" s="1128"/>
      <c r="M6" s="1129"/>
      <c r="N6" s="1129"/>
      <c r="O6" s="1129"/>
      <c r="P6" s="3210"/>
      <c r="Q6" s="3211"/>
      <c r="R6" s="3191"/>
      <c r="S6" s="3192"/>
      <c r="T6" s="3212"/>
      <c r="U6" s="3213"/>
      <c r="V6" s="3214"/>
      <c r="W6" s="3214"/>
      <c r="X6" s="1811"/>
      <c r="Y6" s="3212"/>
      <c r="Z6" s="3213"/>
      <c r="AA6" s="3186"/>
      <c r="AB6" s="3214"/>
      <c r="AC6" s="3186"/>
    </row>
    <row r="7" spans="1:29" s="117" customFormat="1" ht="15.7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87" t="s">
        <v>2544</v>
      </c>
      <c r="Q7" s="3215"/>
      <c r="R7" s="768" t="s">
        <v>17</v>
      </c>
      <c r="S7" s="769">
        <f t="shared" ref="S7:S15" si="0">F7</f>
        <v>0</v>
      </c>
      <c r="T7" s="768" t="s">
        <v>17</v>
      </c>
      <c r="U7" s="769">
        <f t="shared" ref="U7:U15" si="1">H7</f>
        <v>0</v>
      </c>
      <c r="V7" s="768" t="s">
        <v>17</v>
      </c>
      <c r="W7" s="769">
        <f t="shared" ref="W7:W15" si="2">J7</f>
        <v>0</v>
      </c>
      <c r="X7" s="770"/>
      <c r="Y7" s="3187" t="s">
        <v>2544</v>
      </c>
      <c r="Z7" s="3188"/>
      <c r="AA7" s="771" t="e">
        <f>D7/F7</f>
        <v>#DIV/0!</v>
      </c>
      <c r="AB7" s="771" t="e">
        <f>D7/H7</f>
        <v>#DIV/0!</v>
      </c>
      <c r="AC7" s="771"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87" t="s">
        <v>2547</v>
      </c>
      <c r="Q8" s="3188"/>
      <c r="R8" s="768" t="s">
        <v>17</v>
      </c>
      <c r="S8" s="769">
        <f t="shared" si="0"/>
        <v>0</v>
      </c>
      <c r="T8" s="768" t="s">
        <v>17</v>
      </c>
      <c r="U8" s="769">
        <f t="shared" si="1"/>
        <v>0</v>
      </c>
      <c r="V8" s="768" t="s">
        <v>17</v>
      </c>
      <c r="W8" s="769">
        <f t="shared" si="2"/>
        <v>0</v>
      </c>
      <c r="X8" s="770"/>
      <c r="Y8" s="3187" t="s">
        <v>2547</v>
      </c>
      <c r="Z8" s="3188"/>
      <c r="AA8" s="771" t="e">
        <f t="shared" ref="AA8:AA46" si="3">D8/F8</f>
        <v>#DIV/0!</v>
      </c>
      <c r="AB8" s="771" t="e">
        <f t="shared" ref="AB8:AB46" si="4">D8/H8</f>
        <v>#DIV/0!</v>
      </c>
      <c r="AC8" s="771" t="e">
        <f t="shared" ref="AC8:AC46" si="5">D8/J8</f>
        <v>#DIV/0!</v>
      </c>
    </row>
    <row r="9" spans="1:29" s="117"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1" t="s">
        <v>2550</v>
      </c>
      <c r="Q9" s="1793" t="str">
        <f t="shared" ref="Q9:Q15" si="6">B9</f>
        <v>用途</v>
      </c>
      <c r="R9" s="768" t="s">
        <v>17</v>
      </c>
      <c r="S9" s="769">
        <f t="shared" si="0"/>
        <v>100</v>
      </c>
      <c r="T9" s="768" t="s">
        <v>17</v>
      </c>
      <c r="U9" s="769">
        <f t="shared" si="1"/>
        <v>100</v>
      </c>
      <c r="V9" s="768" t="s">
        <v>17</v>
      </c>
      <c r="W9" s="769">
        <f t="shared" si="2"/>
        <v>100</v>
      </c>
      <c r="X9" s="770"/>
      <c r="Y9" s="3034"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1"/>
      <c r="Q10" s="1793"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1"/>
      <c r="Q11" s="1793"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1"/>
      <c r="Q12" s="1793">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1"/>
      <c r="Q13" s="1793">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1"/>
      <c r="Q14" s="1793">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771">
        <f t="shared" si="5"/>
        <v>1</v>
      </c>
    </row>
    <row r="15" spans="1:29" ht="128.25">
      <c r="A15" s="439" t="s">
        <v>2554</v>
      </c>
      <c r="B15" s="69" t="s">
        <v>2648</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28" t="s">
        <v>2555</v>
      </c>
      <c r="Q15" s="1808" t="str">
        <f t="shared" si="6"/>
        <v>商业繁华度</v>
      </c>
      <c r="R15" s="772" t="s">
        <v>17</v>
      </c>
      <c r="S15" s="773">
        <f t="shared" si="0"/>
        <v>100</v>
      </c>
      <c r="T15" s="772" t="s">
        <v>17</v>
      </c>
      <c r="U15" s="773">
        <f t="shared" si="1"/>
        <v>100</v>
      </c>
      <c r="V15" s="772" t="s">
        <v>17</v>
      </c>
      <c r="W15" s="773">
        <f t="shared" si="2"/>
        <v>100</v>
      </c>
      <c r="X15" s="1811"/>
      <c r="Y15" s="3221" t="s">
        <v>2555</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29"/>
      <c r="Q16" s="1808"/>
      <c r="R16" s="772"/>
      <c r="S16" s="773"/>
      <c r="T16" s="772"/>
      <c r="U16" s="773"/>
      <c r="V16" s="772"/>
      <c r="W16" s="773"/>
      <c r="X16" s="1811"/>
      <c r="Y16" s="3222"/>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29"/>
      <c r="Q17" s="1808" t="str">
        <f>B17</f>
        <v>交通便捷度</v>
      </c>
      <c r="R17" s="772" t="s">
        <v>17</v>
      </c>
      <c r="S17" s="773">
        <f>F17</f>
        <v>100</v>
      </c>
      <c r="T17" s="772" t="s">
        <v>17</v>
      </c>
      <c r="U17" s="773">
        <f>H17</f>
        <v>100</v>
      </c>
      <c r="V17" s="772" t="s">
        <v>17</v>
      </c>
      <c r="W17" s="773">
        <f>J17</f>
        <v>100</v>
      </c>
      <c r="X17" s="1811"/>
      <c r="Y17" s="3222"/>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229"/>
      <c r="Q18" s="1808"/>
      <c r="R18" s="772"/>
      <c r="S18" s="773"/>
      <c r="T18" s="772"/>
      <c r="U18" s="773"/>
      <c r="V18" s="772"/>
      <c r="W18" s="773"/>
      <c r="X18" s="1811"/>
      <c r="Y18" s="3222"/>
      <c r="Z18" s="1812"/>
      <c r="AA18" s="1809">
        <v>1</v>
      </c>
      <c r="AB18" s="1809">
        <v>1</v>
      </c>
      <c r="AC18" s="1809">
        <v>1</v>
      </c>
    </row>
    <row r="19" spans="1:29" ht="199.5">
      <c r="A19" s="427"/>
      <c r="B19" s="450" t="s">
        <v>2649</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29"/>
      <c r="Q19" s="1808" t="str">
        <f>B19</f>
        <v>公共配套设施</v>
      </c>
      <c r="R19" s="772" t="s">
        <v>17</v>
      </c>
      <c r="S19" s="773">
        <f>F19</f>
        <v>100</v>
      </c>
      <c r="T19" s="772" t="s">
        <v>17</v>
      </c>
      <c r="U19" s="773">
        <f>H19</f>
        <v>100</v>
      </c>
      <c r="V19" s="772" t="s">
        <v>17</v>
      </c>
      <c r="W19" s="773">
        <f>J19</f>
        <v>100</v>
      </c>
      <c r="X19" s="1811"/>
      <c r="Y19" s="3222"/>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229"/>
      <c r="Q20" s="1808"/>
      <c r="R20" s="772"/>
      <c r="S20" s="773"/>
      <c r="T20" s="772"/>
      <c r="U20" s="773"/>
      <c r="V20" s="772"/>
      <c r="W20" s="773"/>
      <c r="X20" s="1811"/>
      <c r="Y20" s="3222"/>
      <c r="Z20" s="1812"/>
      <c r="AA20" s="1809">
        <v>1</v>
      </c>
      <c r="AB20" s="1809">
        <v>1</v>
      </c>
      <c r="AC20" s="1809">
        <v>1</v>
      </c>
    </row>
    <row r="21" spans="1:29" ht="42.75">
      <c r="A21" s="427"/>
      <c r="B21" s="1382" t="s">
        <v>2650</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29"/>
      <c r="Q21" s="1808" t="str">
        <f>B21</f>
        <v>基础设施水平</v>
      </c>
      <c r="R21" s="772" t="s">
        <v>17</v>
      </c>
      <c r="S21" s="773">
        <f>F21</f>
        <v>100</v>
      </c>
      <c r="T21" s="772" t="s">
        <v>17</v>
      </c>
      <c r="U21" s="773">
        <f>H21</f>
        <v>100</v>
      </c>
      <c r="V21" s="772" t="s">
        <v>17</v>
      </c>
      <c r="W21" s="773">
        <f>J21</f>
        <v>100</v>
      </c>
      <c r="X21" s="1811"/>
      <c r="Y21" s="3222"/>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229"/>
      <c r="Q22" s="1808"/>
      <c r="R22" s="772"/>
      <c r="S22" s="773"/>
      <c r="T22" s="772"/>
      <c r="U22" s="773"/>
      <c r="V22" s="772"/>
      <c r="W22" s="773"/>
      <c r="X22" s="1811"/>
      <c r="Y22" s="3222"/>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29"/>
      <c r="Q23" s="1808" t="str">
        <f>B23</f>
        <v>自然及人文环境</v>
      </c>
      <c r="R23" s="772" t="s">
        <v>17</v>
      </c>
      <c r="S23" s="773">
        <f>F23</f>
        <v>100</v>
      </c>
      <c r="T23" s="772" t="s">
        <v>17</v>
      </c>
      <c r="U23" s="773">
        <f>H23</f>
        <v>100</v>
      </c>
      <c r="V23" s="772" t="s">
        <v>17</v>
      </c>
      <c r="W23" s="773">
        <f>J23</f>
        <v>100</v>
      </c>
      <c r="X23" s="1811"/>
      <c r="Y23" s="3222"/>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229"/>
      <c r="Q24" s="1808"/>
      <c r="R24" s="772"/>
      <c r="S24" s="773"/>
      <c r="T24" s="772"/>
      <c r="U24" s="773"/>
      <c r="V24" s="772"/>
      <c r="W24" s="773"/>
      <c r="X24" s="1811"/>
      <c r="Y24" s="3222"/>
      <c r="Z24" s="1812"/>
      <c r="AA24" s="1809">
        <v>1</v>
      </c>
      <c r="AB24" s="1809">
        <v>1</v>
      </c>
      <c r="AC24" s="1809">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29"/>
      <c r="Q25" s="1808" t="str">
        <f t="shared" ref="Q25:Q46" si="11">B25</f>
        <v>临街状况</v>
      </c>
      <c r="R25" s="772" t="s">
        <v>17</v>
      </c>
      <c r="S25" s="773">
        <f>F25</f>
        <v>100</v>
      </c>
      <c r="T25" s="772" t="s">
        <v>17</v>
      </c>
      <c r="U25" s="773">
        <f>H25</f>
        <v>100</v>
      </c>
      <c r="V25" s="772" t="s">
        <v>17</v>
      </c>
      <c r="W25" s="773">
        <f>J25</f>
        <v>100</v>
      </c>
      <c r="X25" s="1811"/>
      <c r="Y25" s="3222"/>
      <c r="Z25" s="1812" t="str">
        <f>Q25</f>
        <v>临街状况</v>
      </c>
      <c r="AA25" s="1809">
        <f t="shared" si="3"/>
        <v>1</v>
      </c>
      <c r="AB25" s="1809">
        <f t="shared" si="4"/>
        <v>1</v>
      </c>
      <c r="AC25" s="1809">
        <f t="shared" si="5"/>
        <v>1</v>
      </c>
    </row>
    <row r="26" spans="1:29" ht="15">
      <c r="A26" s="427"/>
      <c r="B26" s="1384" t="s">
        <v>2652</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29"/>
      <c r="Q26" s="1808" t="str">
        <f t="shared" si="11"/>
        <v>平面位置/可视性</v>
      </c>
      <c r="R26" s="772" t="s">
        <v>17</v>
      </c>
      <c r="S26" s="773">
        <f>F26</f>
        <v>100</v>
      </c>
      <c r="T26" s="772" t="s">
        <v>17</v>
      </c>
      <c r="U26" s="773">
        <f>H26</f>
        <v>100</v>
      </c>
      <c r="V26" s="772" t="s">
        <v>17</v>
      </c>
      <c r="W26" s="773">
        <f>J26</f>
        <v>100</v>
      </c>
      <c r="X26" s="1811"/>
      <c r="Y26" s="3222"/>
      <c r="Z26" s="1812" t="str">
        <f>Q26</f>
        <v>平面位置/可视性</v>
      </c>
      <c r="AA26" s="1809">
        <f t="shared" si="3"/>
        <v>1</v>
      </c>
      <c r="AB26" s="1809">
        <f t="shared" si="4"/>
        <v>1</v>
      </c>
      <c r="AC26" s="1809">
        <f t="shared" si="5"/>
        <v>1</v>
      </c>
    </row>
    <row r="27" spans="1:29" s="117" customFormat="1" ht="15">
      <c r="A27" s="430"/>
      <c r="B27" s="450" t="s">
        <v>2653</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29"/>
      <c r="Q27" s="1793" t="str">
        <f t="shared" si="11"/>
        <v>人流量</v>
      </c>
      <c r="R27" s="768" t="s">
        <v>17</v>
      </c>
      <c r="S27" s="769">
        <f>F27</f>
        <v>100</v>
      </c>
      <c r="T27" s="768" t="s">
        <v>17</v>
      </c>
      <c r="U27" s="769">
        <f>H27</f>
        <v>100</v>
      </c>
      <c r="V27" s="768" t="s">
        <v>17</v>
      </c>
      <c r="W27" s="769">
        <f>J27</f>
        <v>100</v>
      </c>
      <c r="X27" s="770"/>
      <c r="Y27" s="3222"/>
      <c r="Z27" s="55" t="str">
        <f>Q27</f>
        <v>人流量</v>
      </c>
      <c r="AA27" s="1809">
        <f>D27/F27</f>
        <v>1</v>
      </c>
      <c r="AB27" s="1809">
        <f>D27/H27</f>
        <v>1</v>
      </c>
      <c r="AC27" s="1809">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29"/>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22"/>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29"/>
      <c r="Q29" s="1808">
        <f t="shared" si="11"/>
        <v>111</v>
      </c>
      <c r="R29" s="772" t="s">
        <v>17</v>
      </c>
      <c r="S29" s="773">
        <f t="shared" si="12"/>
        <v>100</v>
      </c>
      <c r="T29" s="772" t="s">
        <v>17</v>
      </c>
      <c r="U29" s="773">
        <f t="shared" si="13"/>
        <v>100</v>
      </c>
      <c r="V29" s="772" t="s">
        <v>17</v>
      </c>
      <c r="W29" s="773">
        <f t="shared" si="14"/>
        <v>100</v>
      </c>
      <c r="X29" s="1811"/>
      <c r="Y29" s="3222"/>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29"/>
      <c r="Q30" s="1808">
        <f t="shared" si="11"/>
        <v>111</v>
      </c>
      <c r="R30" s="772" t="s">
        <v>17</v>
      </c>
      <c r="S30" s="773">
        <f t="shared" si="12"/>
        <v>100</v>
      </c>
      <c r="T30" s="772" t="s">
        <v>17</v>
      </c>
      <c r="U30" s="773">
        <f t="shared" si="13"/>
        <v>100</v>
      </c>
      <c r="V30" s="772" t="s">
        <v>17</v>
      </c>
      <c r="W30" s="773">
        <f t="shared" si="14"/>
        <v>100</v>
      </c>
      <c r="X30" s="1811"/>
      <c r="Y30" s="3222"/>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29"/>
      <c r="Q31" s="1808">
        <f t="shared" si="11"/>
        <v>111</v>
      </c>
      <c r="R31" s="772" t="s">
        <v>17</v>
      </c>
      <c r="S31" s="773">
        <f t="shared" si="12"/>
        <v>100</v>
      </c>
      <c r="T31" s="772" t="s">
        <v>17</v>
      </c>
      <c r="U31" s="773">
        <f t="shared" si="13"/>
        <v>100</v>
      </c>
      <c r="V31" s="772" t="s">
        <v>17</v>
      </c>
      <c r="W31" s="773">
        <f t="shared" si="14"/>
        <v>100</v>
      </c>
      <c r="X31" s="1811"/>
      <c r="Y31" s="3222"/>
      <c r="Z31" s="1812">
        <f t="shared" si="15"/>
        <v>111</v>
      </c>
      <c r="AA31" s="1809">
        <f t="shared" si="3"/>
        <v>1</v>
      </c>
      <c r="AB31" s="1809">
        <f t="shared" si="4"/>
        <v>1</v>
      </c>
      <c r="AC31" s="1809">
        <f t="shared" si="5"/>
        <v>1</v>
      </c>
    </row>
    <row r="32" spans="1:29" ht="15">
      <c r="A32" s="439" t="s">
        <v>2558</v>
      </c>
      <c r="B32" s="71" t="s">
        <v>2655</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23" t="s">
        <v>2560</v>
      </c>
      <c r="Q32" s="1808" t="str">
        <f t="shared" si="11"/>
        <v>商业类型</v>
      </c>
      <c r="R32" s="772" t="s">
        <v>17</v>
      </c>
      <c r="S32" s="773">
        <f t="shared" si="12"/>
        <v>100</v>
      </c>
      <c r="T32" s="772" t="s">
        <v>17</v>
      </c>
      <c r="U32" s="773">
        <f t="shared" si="13"/>
        <v>100</v>
      </c>
      <c r="V32" s="772" t="s">
        <v>17</v>
      </c>
      <c r="W32" s="773">
        <f t="shared" si="14"/>
        <v>100</v>
      </c>
      <c r="X32" s="1811"/>
      <c r="Y32" s="3226" t="s">
        <v>2560</v>
      </c>
      <c r="Z32" s="1812" t="str">
        <f t="shared" si="15"/>
        <v>商业类型</v>
      </c>
      <c r="AA32" s="1809">
        <f t="shared" si="3"/>
        <v>1</v>
      </c>
      <c r="AB32" s="1809">
        <f t="shared" si="4"/>
        <v>1</v>
      </c>
      <c r="AC32" s="1809">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24"/>
      <c r="Q33" s="774" t="str">
        <f t="shared" si="11"/>
        <v>项目建筑规模</v>
      </c>
      <c r="R33" s="775" t="s">
        <v>17</v>
      </c>
      <c r="S33" s="776" t="e">
        <f t="shared" si="12"/>
        <v>#N/A</v>
      </c>
      <c r="T33" s="775" t="s">
        <v>17</v>
      </c>
      <c r="U33" s="776" t="e">
        <f t="shared" si="13"/>
        <v>#N/A</v>
      </c>
      <c r="V33" s="775" t="s">
        <v>17</v>
      </c>
      <c r="W33" s="776" t="e">
        <f t="shared" si="14"/>
        <v>#N/A</v>
      </c>
      <c r="X33" s="777"/>
      <c r="Y33" s="3226"/>
      <c r="Z33" s="778" t="str">
        <f t="shared" si="15"/>
        <v>项目建筑规模</v>
      </c>
      <c r="AA33" s="1809" t="e">
        <f t="shared" si="3"/>
        <v>#N/A</v>
      </c>
      <c r="AB33" s="1809" t="e">
        <f t="shared" si="4"/>
        <v>#N/A</v>
      </c>
      <c r="AC33" s="1809" t="e">
        <f t="shared" si="5"/>
        <v>#N/A</v>
      </c>
    </row>
    <row r="34" spans="1:29" ht="15">
      <c r="A34" s="471"/>
      <c r="B34" s="421" t="s">
        <v>2562</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24"/>
      <c r="Q34" s="1808" t="str">
        <f t="shared" si="11"/>
        <v>建筑结构</v>
      </c>
      <c r="R34" s="772" t="s">
        <v>17</v>
      </c>
      <c r="S34" s="773">
        <f t="shared" si="12"/>
        <v>100</v>
      </c>
      <c r="T34" s="772" t="s">
        <v>17</v>
      </c>
      <c r="U34" s="773">
        <f t="shared" si="13"/>
        <v>100</v>
      </c>
      <c r="V34" s="772" t="s">
        <v>17</v>
      </c>
      <c r="W34" s="773">
        <f t="shared" si="14"/>
        <v>100</v>
      </c>
      <c r="X34" s="1811"/>
      <c r="Y34" s="3226"/>
      <c r="Z34" s="1812" t="str">
        <f t="shared" si="15"/>
        <v>建筑结构</v>
      </c>
      <c r="AA34" s="1809">
        <f t="shared" si="3"/>
        <v>1</v>
      </c>
      <c r="AB34" s="1809">
        <f t="shared" si="4"/>
        <v>1</v>
      </c>
      <c r="AC34" s="1809">
        <f t="shared" si="5"/>
        <v>1</v>
      </c>
    </row>
    <row r="35" spans="1:29" ht="15">
      <c r="A35" s="471"/>
      <c r="B35" s="421" t="s">
        <v>2656</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24"/>
      <c r="Q35" s="1808" t="str">
        <f t="shared" si="11"/>
        <v>公共部分装修</v>
      </c>
      <c r="R35" s="772" t="s">
        <v>17</v>
      </c>
      <c r="S35" s="773">
        <f t="shared" si="12"/>
        <v>100</v>
      </c>
      <c r="T35" s="772" t="s">
        <v>17</v>
      </c>
      <c r="U35" s="773">
        <f t="shared" si="13"/>
        <v>100</v>
      </c>
      <c r="V35" s="772" t="s">
        <v>17</v>
      </c>
      <c r="W35" s="773">
        <f t="shared" si="14"/>
        <v>100</v>
      </c>
      <c r="X35" s="1811"/>
      <c r="Y35" s="3226"/>
      <c r="Z35" s="1812" t="str">
        <f t="shared" si="15"/>
        <v>公共部分装修</v>
      </c>
      <c r="AA35" s="1809">
        <f t="shared" si="3"/>
        <v>1</v>
      </c>
      <c r="AB35" s="1809">
        <f t="shared" si="4"/>
        <v>1</v>
      </c>
      <c r="AC35" s="1809">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24"/>
      <c r="Q36" s="1808" t="str">
        <f t="shared" si="11"/>
        <v>成新度</v>
      </c>
      <c r="R36" s="772" t="s">
        <v>17</v>
      </c>
      <c r="S36" s="773" t="e">
        <f t="shared" si="12"/>
        <v>#N/A</v>
      </c>
      <c r="T36" s="772" t="s">
        <v>17</v>
      </c>
      <c r="U36" s="773" t="e">
        <f t="shared" si="13"/>
        <v>#N/A</v>
      </c>
      <c r="V36" s="772" t="s">
        <v>17</v>
      </c>
      <c r="W36" s="773" t="e">
        <f t="shared" si="14"/>
        <v>#N/A</v>
      </c>
      <c r="X36" s="1811"/>
      <c r="Y36" s="3226"/>
      <c r="Z36" s="1812" t="str">
        <f t="shared" si="15"/>
        <v>成新度</v>
      </c>
      <c r="AA36" s="1809" t="e">
        <f t="shared" si="3"/>
        <v>#N/A</v>
      </c>
      <c r="AB36" s="1809" t="e">
        <f t="shared" si="4"/>
        <v>#N/A</v>
      </c>
      <c r="AC36" s="1809" t="e">
        <f t="shared" si="5"/>
        <v>#N/A</v>
      </c>
    </row>
    <row r="37" spans="1:29" s="117" customFormat="1" ht="15">
      <c r="A37" s="472"/>
      <c r="B37" s="421" t="s">
        <v>2658</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24"/>
      <c r="Q37" s="1793" t="str">
        <f t="shared" si="11"/>
        <v>市政基础设施</v>
      </c>
      <c r="R37" s="768" t="s">
        <v>17</v>
      </c>
      <c r="S37" s="769">
        <f t="shared" si="12"/>
        <v>100</v>
      </c>
      <c r="T37" s="768" t="s">
        <v>17</v>
      </c>
      <c r="U37" s="769">
        <f t="shared" si="13"/>
        <v>100</v>
      </c>
      <c r="V37" s="768" t="s">
        <v>17</v>
      </c>
      <c r="W37" s="769">
        <f t="shared" si="14"/>
        <v>100</v>
      </c>
      <c r="X37" s="770"/>
      <c r="Y37" s="3226"/>
      <c r="Z37" s="55" t="str">
        <f t="shared" si="15"/>
        <v>市政基础设施</v>
      </c>
      <c r="AA37" s="771">
        <f t="shared" si="3"/>
        <v>1</v>
      </c>
      <c r="AB37" s="771">
        <f t="shared" si="4"/>
        <v>1</v>
      </c>
      <c r="AC37" s="771">
        <f t="shared" si="5"/>
        <v>1</v>
      </c>
    </row>
    <row r="38" spans="1:29" ht="15">
      <c r="A38" s="471"/>
      <c r="B38" s="421" t="s">
        <v>2659</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24" t="s">
        <v>2560</v>
      </c>
      <c r="Q38" s="1808" t="str">
        <f t="shared" si="11"/>
        <v>业态</v>
      </c>
      <c r="R38" s="772" t="s">
        <v>17</v>
      </c>
      <c r="S38" s="773">
        <f t="shared" si="12"/>
        <v>100</v>
      </c>
      <c r="T38" s="772" t="s">
        <v>17</v>
      </c>
      <c r="U38" s="773">
        <f t="shared" si="13"/>
        <v>100</v>
      </c>
      <c r="V38" s="772" t="s">
        <v>17</v>
      </c>
      <c r="W38" s="773">
        <f t="shared" si="14"/>
        <v>100</v>
      </c>
      <c r="X38" s="1811"/>
      <c r="Y38" s="3226" t="s">
        <v>2560</v>
      </c>
      <c r="Z38" s="1812" t="str">
        <f t="shared" si="15"/>
        <v>业态</v>
      </c>
      <c r="AA38" s="1809">
        <f t="shared" si="3"/>
        <v>1</v>
      </c>
      <c r="AB38" s="1809">
        <f t="shared" si="4"/>
        <v>1</v>
      </c>
      <c r="AC38" s="1809">
        <f t="shared" si="5"/>
        <v>1</v>
      </c>
    </row>
    <row r="39" spans="1:29" ht="15">
      <c r="A39" s="471"/>
      <c r="B39" s="421" t="s">
        <v>2660</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24"/>
      <c r="Q39" s="1808" t="str">
        <f t="shared" si="11"/>
        <v>层高</v>
      </c>
      <c r="R39" s="772" t="s">
        <v>17</v>
      </c>
      <c r="S39" s="773">
        <f t="shared" si="12"/>
        <v>100</v>
      </c>
      <c r="T39" s="772" t="s">
        <v>17</v>
      </c>
      <c r="U39" s="773">
        <f t="shared" si="13"/>
        <v>100</v>
      </c>
      <c r="V39" s="772" t="s">
        <v>17</v>
      </c>
      <c r="W39" s="773">
        <f t="shared" si="14"/>
        <v>100</v>
      </c>
      <c r="X39" s="1811"/>
      <c r="Y39" s="3226"/>
      <c r="Z39" s="1812" t="str">
        <f t="shared" si="15"/>
        <v>层高</v>
      </c>
      <c r="AA39" s="1809">
        <f t="shared" si="3"/>
        <v>1</v>
      </c>
      <c r="AB39" s="1809">
        <f t="shared" si="4"/>
        <v>1</v>
      </c>
      <c r="AC39" s="1809">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4"/>
      <c r="Q40" s="1808" t="str">
        <f t="shared" si="11"/>
        <v>单套建筑面积</v>
      </c>
      <c r="R40" s="772" t="s">
        <v>17</v>
      </c>
      <c r="S40" s="773">
        <f t="shared" si="12"/>
        <v>100</v>
      </c>
      <c r="T40" s="772" t="s">
        <v>17</v>
      </c>
      <c r="U40" s="773">
        <f t="shared" si="13"/>
        <v>100</v>
      </c>
      <c r="V40" s="772" t="s">
        <v>17</v>
      </c>
      <c r="W40" s="773">
        <f t="shared" si="14"/>
        <v>100</v>
      </c>
      <c r="X40" s="1811"/>
      <c r="Y40" s="3226"/>
      <c r="Z40" s="1812" t="str">
        <f t="shared" si="15"/>
        <v>单套建筑面积</v>
      </c>
      <c r="AA40" s="1809">
        <f t="shared" si="3"/>
        <v>1</v>
      </c>
      <c r="AB40" s="1809">
        <f t="shared" si="4"/>
        <v>1</v>
      </c>
      <c r="AC40" s="1809">
        <f t="shared" si="5"/>
        <v>1</v>
      </c>
    </row>
    <row r="41" spans="1:29" s="470" customFormat="1" ht="15">
      <c r="A41" s="467"/>
      <c r="B41" s="1810"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4"/>
      <c r="Q41" s="774" t="str">
        <f t="shared" si="11"/>
        <v>进深比</v>
      </c>
      <c r="R41" s="775" t="s">
        <v>17</v>
      </c>
      <c r="S41" s="776">
        <f t="shared" si="12"/>
        <v>100</v>
      </c>
      <c r="T41" s="775" t="s">
        <v>17</v>
      </c>
      <c r="U41" s="776">
        <f t="shared" si="13"/>
        <v>100</v>
      </c>
      <c r="V41" s="775" t="s">
        <v>17</v>
      </c>
      <c r="W41" s="776">
        <f t="shared" si="14"/>
        <v>100</v>
      </c>
      <c r="X41" s="777"/>
      <c r="Y41" s="3226"/>
      <c r="Z41" s="778" t="str">
        <f t="shared" si="15"/>
        <v>进深比</v>
      </c>
      <c r="AA41" s="1809">
        <f t="shared" si="3"/>
        <v>1</v>
      </c>
      <c r="AB41" s="1809">
        <f t="shared" si="4"/>
        <v>1</v>
      </c>
      <c r="AC41" s="1809">
        <f t="shared" si="5"/>
        <v>1</v>
      </c>
    </row>
    <row r="42" spans="1:29" ht="15">
      <c r="A42" s="471"/>
      <c r="B42" s="421" t="s">
        <v>2663</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24"/>
      <c r="Q42" s="1808" t="str">
        <f t="shared" si="11"/>
        <v>内部装修</v>
      </c>
      <c r="R42" s="772" t="s">
        <v>17</v>
      </c>
      <c r="S42" s="773">
        <f t="shared" si="12"/>
        <v>100</v>
      </c>
      <c r="T42" s="772" t="s">
        <v>17</v>
      </c>
      <c r="U42" s="773">
        <f t="shared" si="13"/>
        <v>100</v>
      </c>
      <c r="V42" s="772" t="s">
        <v>17</v>
      </c>
      <c r="W42" s="773">
        <f t="shared" si="14"/>
        <v>100</v>
      </c>
      <c r="X42" s="1811"/>
      <c r="Y42" s="3226"/>
      <c r="Z42" s="1812" t="str">
        <f t="shared" si="15"/>
        <v>内部装修</v>
      </c>
      <c r="AA42" s="1809">
        <f t="shared" si="3"/>
        <v>1</v>
      </c>
      <c r="AB42" s="1809">
        <f t="shared" si="4"/>
        <v>1</v>
      </c>
      <c r="AC42" s="1809">
        <f t="shared" si="5"/>
        <v>1</v>
      </c>
    </row>
    <row r="43" spans="1:29" ht="15">
      <c r="A43" s="471"/>
      <c r="B43" s="421" t="s">
        <v>2571</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24"/>
      <c r="Q43" s="1808" t="str">
        <f t="shared" si="11"/>
        <v>内部装修维护情况</v>
      </c>
      <c r="R43" s="772" t="s">
        <v>17</v>
      </c>
      <c r="S43" s="773">
        <f t="shared" si="12"/>
        <v>100</v>
      </c>
      <c r="T43" s="772" t="s">
        <v>17</v>
      </c>
      <c r="U43" s="773">
        <f t="shared" si="13"/>
        <v>100</v>
      </c>
      <c r="V43" s="772" t="s">
        <v>17</v>
      </c>
      <c r="W43" s="773">
        <f t="shared" si="14"/>
        <v>100</v>
      </c>
      <c r="X43" s="1811"/>
      <c r="Y43" s="3226"/>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4"/>
      <c r="Q44" s="1793">
        <f t="shared" si="11"/>
        <v>111</v>
      </c>
      <c r="R44" s="768" t="s">
        <v>17</v>
      </c>
      <c r="S44" s="769">
        <f t="shared" si="12"/>
        <v>100</v>
      </c>
      <c r="T44" s="768" t="s">
        <v>17</v>
      </c>
      <c r="U44" s="769">
        <f t="shared" si="13"/>
        <v>100</v>
      </c>
      <c r="V44" s="768" t="s">
        <v>17</v>
      </c>
      <c r="W44" s="769">
        <f t="shared" si="14"/>
        <v>100</v>
      </c>
      <c r="X44" s="770"/>
      <c r="Y44" s="3226"/>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4"/>
      <c r="Q45" s="1808">
        <f t="shared" si="11"/>
        <v>111</v>
      </c>
      <c r="R45" s="772" t="s">
        <v>17</v>
      </c>
      <c r="S45" s="773">
        <f t="shared" si="12"/>
        <v>100</v>
      </c>
      <c r="T45" s="772" t="s">
        <v>17</v>
      </c>
      <c r="U45" s="773">
        <f t="shared" si="13"/>
        <v>100</v>
      </c>
      <c r="V45" s="772" t="s">
        <v>17</v>
      </c>
      <c r="W45" s="773">
        <f t="shared" si="14"/>
        <v>100</v>
      </c>
      <c r="X45" s="1811"/>
      <c r="Y45" s="3226"/>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25"/>
      <c r="Q46" s="1808">
        <f t="shared" si="11"/>
        <v>111</v>
      </c>
      <c r="R46" s="772" t="s">
        <v>17</v>
      </c>
      <c r="S46" s="773">
        <f t="shared" si="12"/>
        <v>100</v>
      </c>
      <c r="T46" s="772" t="s">
        <v>17</v>
      </c>
      <c r="U46" s="773">
        <f t="shared" si="13"/>
        <v>100</v>
      </c>
      <c r="V46" s="772" t="s">
        <v>17</v>
      </c>
      <c r="W46" s="773">
        <f t="shared" si="14"/>
        <v>100</v>
      </c>
      <c r="X46" s="1811"/>
      <c r="Y46" s="3227"/>
      <c r="Z46" s="1812">
        <f t="shared" si="15"/>
        <v>111</v>
      </c>
      <c r="AA46" s="1809">
        <f t="shared" si="3"/>
        <v>1</v>
      </c>
      <c r="AB46" s="1809">
        <f t="shared" si="4"/>
        <v>1</v>
      </c>
      <c r="AC46" s="1809">
        <f t="shared" si="5"/>
        <v>1</v>
      </c>
    </row>
    <row r="47" spans="1:29" ht="15">
      <c r="A47" s="478" t="s">
        <v>2572</v>
      </c>
      <c r="B47" s="479"/>
      <c r="C47" s="1405" t="s">
        <v>1</v>
      </c>
      <c r="D47" s="1406"/>
      <c r="E47" s="1407"/>
      <c r="F47" s="1408"/>
      <c r="G47" s="1409"/>
      <c r="H47" s="1410"/>
      <c r="I47" s="1407"/>
      <c r="J47" s="1410"/>
      <c r="K47" s="781"/>
      <c r="L47" s="1141"/>
      <c r="M47" s="1142"/>
      <c r="N47" s="1129"/>
      <c r="O47" s="1142"/>
      <c r="P47" s="3219" t="str">
        <f>A47</f>
        <v>成交单价（元/平方米）</v>
      </c>
      <c r="Q47" s="3219"/>
      <c r="R47" s="3214">
        <f>E47</f>
        <v>0</v>
      </c>
      <c r="S47" s="3214"/>
      <c r="T47" s="3214">
        <f>G47</f>
        <v>0</v>
      </c>
      <c r="U47" s="3214"/>
      <c r="V47" s="3214">
        <f>I47</f>
        <v>0</v>
      </c>
      <c r="W47" s="3214"/>
      <c r="X47" s="757"/>
      <c r="Y47" s="779"/>
      <c r="Z47" s="757"/>
      <c r="AA47" s="757"/>
      <c r="AB47" s="757"/>
      <c r="AC47" s="757"/>
    </row>
    <row r="48" spans="1:29" ht="15.75" thickBot="1">
      <c r="A48" s="485" t="s">
        <v>2664</v>
      </c>
      <c r="B48" s="486"/>
      <c r="C48" s="1411" t="e">
        <f>R49</f>
        <v>#DIV/0!</v>
      </c>
      <c r="D48" s="1412"/>
      <c r="E48" s="1413" t="e">
        <f>R48</f>
        <v>#DIV/0!</v>
      </c>
      <c r="F48" s="1413"/>
      <c r="G48" s="1411" t="e">
        <f>T48</f>
        <v>#DIV/0!</v>
      </c>
      <c r="H48" s="1412"/>
      <c r="I48" s="1413" t="e">
        <f>V48</f>
        <v>#DIV/0!</v>
      </c>
      <c r="J48" s="1412"/>
      <c r="K48" s="782"/>
      <c r="L48" s="1141"/>
      <c r="M48" s="1142"/>
      <c r="N48" s="1129"/>
      <c r="O48" s="1142"/>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7"/>
      <c r="Y48" s="757"/>
      <c r="Z48" s="757"/>
      <c r="AA48" s="757"/>
      <c r="AB48" s="757"/>
      <c r="AC48" s="757"/>
    </row>
    <row r="49" spans="1:29" ht="15.75" thickBot="1">
      <c r="A49" s="491" t="s">
        <v>2665</v>
      </c>
      <c r="B49" s="492"/>
      <c r="C49" s="1415" t="e">
        <f>R49</f>
        <v>#DIV/0!</v>
      </c>
      <c r="D49" s="1415"/>
      <c r="E49" s="1415"/>
      <c r="F49" s="1415"/>
      <c r="G49" s="1415"/>
      <c r="H49" s="1415"/>
      <c r="I49" s="1415"/>
      <c r="J49" s="1415"/>
      <c r="K49" s="783"/>
      <c r="L49" s="1141"/>
      <c r="M49" s="1142"/>
      <c r="N49" s="1129"/>
      <c r="O49" s="1142"/>
      <c r="P49" s="3216" t="str">
        <f>A49</f>
        <v>估价对象XX用房的比较价值（楼面单价，元/平方米）</v>
      </c>
      <c r="Q49" s="3217"/>
      <c r="R49" s="3218" t="e">
        <f>IF(F1="售价",ROUND(AVERAGE(R48:V48),0),ROUND(AVERAGE(R48:V48),1))</f>
        <v>#DIV/0!</v>
      </c>
      <c r="S49" s="3218"/>
      <c r="T49" s="3218"/>
      <c r="U49" s="3218"/>
      <c r="V49" s="3218"/>
      <c r="W49" s="321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2543</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2580</v>
      </c>
      <c r="B60" s="515"/>
      <c r="C60" s="516"/>
      <c r="D60" s="517"/>
      <c r="E60" s="517"/>
      <c r="F60" s="517"/>
      <c r="G60" s="517"/>
      <c r="H60" s="517"/>
      <c r="I60" s="517"/>
      <c r="J60" s="517"/>
      <c r="K60" s="517"/>
      <c r="L60" s="517"/>
      <c r="M60" s="518"/>
      <c r="N60" s="517"/>
      <c r="O60" s="518"/>
      <c r="P60" s="2624"/>
      <c r="Q60" s="503"/>
    </row>
    <row r="61" spans="1:29" s="117" customFormat="1" ht="15">
      <c r="A61" s="520" t="s">
        <v>2545</v>
      </c>
      <c r="B61" s="509"/>
      <c r="C61" s="521" t="s">
        <v>2647</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2583</v>
      </c>
      <c r="B63" s="527" t="s">
        <v>2549</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2650</v>
      </c>
      <c r="C82" s="659" t="s">
        <v>2670</v>
      </c>
      <c r="D82" s="659" t="s">
        <v>2671</v>
      </c>
      <c r="E82" s="659" t="s">
        <v>2672</v>
      </c>
      <c r="F82" s="659" t="s">
        <v>2673</v>
      </c>
      <c r="G82" s="659" t="s">
        <v>2674</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2675</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2558</v>
      </c>
      <c r="B100" s="527" t="s">
        <v>2676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2609</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2611</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2613</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2677</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2678</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2679</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2680</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2615</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5" t="s">
        <v>2681</v>
      </c>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IF(C2="——",ROUND(C50*D3/10000,0),ROUND(C50*D3/10000,0)-D2)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IF(C2="——",C50,ROUND(B2*10000/D3,0))</f>
        <v>#DIV/0!</v>
      </c>
      <c r="C3" s="399" t="s">
        <v>2639</v>
      </c>
      <c r="D3" s="398">
        <f>IF(D1="",'数据-汇总表'!E3,SUMIF('数据-汇总表'!$C19:$C33,D1,'数据-汇总表'!$E19:$E33))</f>
        <v>2406.44</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2640</v>
      </c>
      <c r="B4" s="401"/>
      <c r="C4" s="3202" t="s">
        <v>2641</v>
      </c>
      <c r="D4" s="3203"/>
      <c r="E4" s="3204" t="s">
        <v>2642</v>
      </c>
      <c r="F4" s="3205"/>
      <c r="G4" s="3202" t="s">
        <v>2643</v>
      </c>
      <c r="H4" s="3203"/>
      <c r="I4" s="3202" t="s">
        <v>2644</v>
      </c>
      <c r="J4" s="3203"/>
      <c r="K4" s="609" t="s">
        <v>2645</v>
      </c>
      <c r="L4" s="1128"/>
      <c r="M4" s="1129"/>
      <c r="N4" s="1129"/>
      <c r="O4" s="1129"/>
      <c r="P4" s="3236" t="s">
        <v>2646</v>
      </c>
      <c r="Q4" s="3237"/>
      <c r="R4" s="3231" t="s">
        <v>2642</v>
      </c>
      <c r="S4" s="3232"/>
      <c r="T4" s="3231" t="s">
        <v>2643</v>
      </c>
      <c r="U4" s="3232"/>
      <c r="V4" s="3240" t="s">
        <v>2644</v>
      </c>
      <c r="W4" s="3240"/>
      <c r="X4" s="2666"/>
      <c r="Y4" s="3231" t="s">
        <v>2646</v>
      </c>
      <c r="Z4" s="3232"/>
      <c r="AA4" s="3230" t="s">
        <v>2642</v>
      </c>
      <c r="AB4" s="3230" t="s">
        <v>2643</v>
      </c>
      <c r="AC4" s="3233" t="s">
        <v>2644</v>
      </c>
    </row>
    <row r="5" spans="1:29" ht="15">
      <c r="A5" s="403"/>
      <c r="B5" s="404"/>
      <c r="C5" s="3195" t="s">
        <v>2537</v>
      </c>
      <c r="D5" s="3196"/>
      <c r="E5" s="3193" t="s">
        <v>2538</v>
      </c>
      <c r="F5" s="3194"/>
      <c r="G5" s="3195" t="s">
        <v>2539</v>
      </c>
      <c r="H5" s="3196"/>
      <c r="I5" s="3195" t="s">
        <v>2540</v>
      </c>
      <c r="J5" s="3196"/>
      <c r="K5" s="609"/>
      <c r="L5" s="1128"/>
      <c r="M5" s="1129"/>
      <c r="N5" s="1129"/>
      <c r="O5" s="1129"/>
      <c r="P5" s="3238"/>
      <c r="Q5" s="3209"/>
      <c r="R5" s="3191"/>
      <c r="S5" s="3192"/>
      <c r="T5" s="3191"/>
      <c r="U5" s="3192"/>
      <c r="V5" s="3214"/>
      <c r="W5" s="3214"/>
      <c r="X5" s="1811"/>
      <c r="Y5" s="3191"/>
      <c r="Z5" s="3192"/>
      <c r="AA5" s="3185"/>
      <c r="AB5" s="3185"/>
      <c r="AC5" s="3234"/>
    </row>
    <row r="6" spans="1:29" ht="15.75" thickBot="1">
      <c r="A6" s="405"/>
      <c r="B6" s="406"/>
      <c r="C6" s="3197" t="s">
        <v>2541</v>
      </c>
      <c r="D6" s="3198"/>
      <c r="E6" s="3199" t="s">
        <v>2541</v>
      </c>
      <c r="F6" s="3200"/>
      <c r="G6" s="3197" t="s">
        <v>2541</v>
      </c>
      <c r="H6" s="3198"/>
      <c r="I6" s="3197" t="s">
        <v>2541</v>
      </c>
      <c r="J6" s="3198"/>
      <c r="K6" s="609" t="s">
        <v>2542</v>
      </c>
      <c r="L6" s="1128"/>
      <c r="M6" s="1129"/>
      <c r="N6" s="1129"/>
      <c r="O6" s="1129"/>
      <c r="P6" s="3239"/>
      <c r="Q6" s="3211"/>
      <c r="R6" s="3191"/>
      <c r="S6" s="3192"/>
      <c r="T6" s="3212"/>
      <c r="U6" s="3213"/>
      <c r="V6" s="3214"/>
      <c r="W6" s="3214"/>
      <c r="X6" s="1811"/>
      <c r="Y6" s="3212"/>
      <c r="Z6" s="3213"/>
      <c r="AA6" s="3186"/>
      <c r="AB6" s="3186"/>
      <c r="AC6" s="3235"/>
    </row>
    <row r="7" spans="1:29" s="117" customFormat="1" ht="15.75" thickBot="1">
      <c r="A7" s="407" t="s">
        <v>2543</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41" t="s">
        <v>2544</v>
      </c>
      <c r="Q7" s="3215"/>
      <c r="R7" s="768" t="s">
        <v>17</v>
      </c>
      <c r="S7" s="769">
        <f t="shared" ref="S7:S15" si="0">F7</f>
        <v>0</v>
      </c>
      <c r="T7" s="768" t="s">
        <v>17</v>
      </c>
      <c r="U7" s="769">
        <f t="shared" ref="U7:U15" si="1">H7</f>
        <v>0</v>
      </c>
      <c r="V7" s="768" t="s">
        <v>17</v>
      </c>
      <c r="W7" s="769">
        <f t="shared" ref="W7:W15" si="2">J7</f>
        <v>0</v>
      </c>
      <c r="X7" s="770"/>
      <c r="Y7" s="3187" t="s">
        <v>2544</v>
      </c>
      <c r="Z7" s="3188"/>
      <c r="AA7" s="771" t="e">
        <f>D7/F7</f>
        <v>#DIV/0!</v>
      </c>
      <c r="AB7" s="771" t="e">
        <f>D7/H7</f>
        <v>#DIV/0!</v>
      </c>
      <c r="AC7" s="2667"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41" t="s">
        <v>2547</v>
      </c>
      <c r="Q8" s="3188"/>
      <c r="R8" s="768" t="s">
        <v>17</v>
      </c>
      <c r="S8" s="769">
        <f t="shared" si="0"/>
        <v>0</v>
      </c>
      <c r="T8" s="768" t="s">
        <v>17</v>
      </c>
      <c r="U8" s="769">
        <f t="shared" si="1"/>
        <v>0</v>
      </c>
      <c r="V8" s="768" t="s">
        <v>17</v>
      </c>
      <c r="W8" s="769">
        <f t="shared" si="2"/>
        <v>0</v>
      </c>
      <c r="X8" s="770"/>
      <c r="Y8" s="3187" t="s">
        <v>2547</v>
      </c>
      <c r="Z8" s="3188"/>
      <c r="AA8" s="771" t="e">
        <f t="shared" ref="AA8:AA47" si="3">D8/F8</f>
        <v>#DIV/0!</v>
      </c>
      <c r="AB8" s="771" t="e">
        <f t="shared" ref="AB8:AB47" si="4">D8/H8</f>
        <v>#DIV/0!</v>
      </c>
      <c r="AC8" s="2667" t="e">
        <f t="shared" ref="AC8:AC47" si="5">D8/J8</f>
        <v>#DIV/0!</v>
      </c>
    </row>
    <row r="9" spans="1:29" s="117"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01" t="s">
        <v>2550</v>
      </c>
      <c r="Q9" s="1793" t="str">
        <f t="shared" ref="Q9:Q15" si="6">B9</f>
        <v>用途</v>
      </c>
      <c r="R9" s="768" t="s">
        <v>17</v>
      </c>
      <c r="S9" s="769">
        <f t="shared" si="0"/>
        <v>100</v>
      </c>
      <c r="T9" s="768" t="s">
        <v>17</v>
      </c>
      <c r="U9" s="769">
        <f t="shared" si="1"/>
        <v>100</v>
      </c>
      <c r="V9" s="768" t="s">
        <v>17</v>
      </c>
      <c r="W9" s="769">
        <f t="shared" si="2"/>
        <v>100</v>
      </c>
      <c r="X9" s="770"/>
      <c r="Y9" s="3034" t="s">
        <v>2551</v>
      </c>
      <c r="Z9" s="55" t="str">
        <f t="shared" ref="Z9:Z15" si="7">Q9</f>
        <v>用途</v>
      </c>
      <c r="AA9" s="771">
        <f t="shared" si="3"/>
        <v>1</v>
      </c>
      <c r="AB9" s="771">
        <f t="shared" si="4"/>
        <v>1</v>
      </c>
      <c r="AC9" s="2667">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01"/>
      <c r="Q10" s="1793"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2667">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01"/>
      <c r="Q11" s="1793"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01"/>
      <c r="Q12" s="1793">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01"/>
      <c r="Q13" s="1793">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01"/>
      <c r="Q14" s="1793">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2667">
        <f t="shared" si="5"/>
        <v>1</v>
      </c>
    </row>
    <row r="15" spans="1:29" ht="15">
      <c r="A15" s="439" t="s">
        <v>2554</v>
      </c>
      <c r="B15" s="628" t="s">
        <v>2682</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28" t="s">
        <v>2555</v>
      </c>
      <c r="Q15" s="1808" t="str">
        <f t="shared" si="6"/>
        <v>办公集聚程度</v>
      </c>
      <c r="R15" s="772" t="s">
        <v>17</v>
      </c>
      <c r="S15" s="773">
        <f t="shared" si="0"/>
        <v>100</v>
      </c>
      <c r="T15" s="772" t="s">
        <v>17</v>
      </c>
      <c r="U15" s="773">
        <f t="shared" si="1"/>
        <v>100</v>
      </c>
      <c r="V15" s="772" t="s">
        <v>17</v>
      </c>
      <c r="W15" s="773">
        <f t="shared" si="2"/>
        <v>100</v>
      </c>
      <c r="X15" s="1811"/>
      <c r="Y15" s="3221" t="s">
        <v>2555</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29"/>
      <c r="Q16" s="1808"/>
      <c r="R16" s="772"/>
      <c r="S16" s="773"/>
      <c r="T16" s="772"/>
      <c r="U16" s="773"/>
      <c r="V16" s="772"/>
      <c r="W16" s="773"/>
      <c r="X16" s="1811"/>
      <c r="Y16" s="3222"/>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29"/>
      <c r="Q17" s="1808" t="str">
        <f>B17</f>
        <v>交通便捷度</v>
      </c>
      <c r="R17" s="772" t="s">
        <v>17</v>
      </c>
      <c r="S17" s="773">
        <f>F17</f>
        <v>100</v>
      </c>
      <c r="T17" s="772" t="s">
        <v>17</v>
      </c>
      <c r="U17" s="773">
        <f>H17</f>
        <v>100</v>
      </c>
      <c r="V17" s="772" t="s">
        <v>17</v>
      </c>
      <c r="W17" s="773">
        <f>J17</f>
        <v>100</v>
      </c>
      <c r="X17" s="1811"/>
      <c r="Y17" s="3222"/>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29"/>
      <c r="Q18" s="1808"/>
      <c r="R18" s="772"/>
      <c r="S18" s="773"/>
      <c r="T18" s="772"/>
      <c r="U18" s="773"/>
      <c r="V18" s="772"/>
      <c r="W18" s="773"/>
      <c r="X18" s="1811"/>
      <c r="Y18" s="3222"/>
      <c r="Z18" s="1812"/>
      <c r="AA18" s="1809">
        <v>1</v>
      </c>
      <c r="AB18" s="1809">
        <v>1</v>
      </c>
      <c r="AC18" s="2670">
        <v>1</v>
      </c>
    </row>
    <row r="19" spans="1:29" ht="171">
      <c r="A19" s="427"/>
      <c r="B19" s="630" t="s">
        <v>2683</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29"/>
      <c r="Q19" s="1808" t="str">
        <f>B19</f>
        <v>公共配套设施</v>
      </c>
      <c r="R19" s="772" t="s">
        <v>17</v>
      </c>
      <c r="S19" s="773">
        <f>F19</f>
        <v>100</v>
      </c>
      <c r="T19" s="772" t="s">
        <v>17</v>
      </c>
      <c r="U19" s="773">
        <f>H19</f>
        <v>100</v>
      </c>
      <c r="V19" s="772" t="s">
        <v>17</v>
      </c>
      <c r="W19" s="773">
        <f>J19</f>
        <v>100</v>
      </c>
      <c r="X19" s="1811"/>
      <c r="Y19" s="3222"/>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29"/>
      <c r="Q20" s="1808"/>
      <c r="R20" s="772"/>
      <c r="S20" s="773"/>
      <c r="T20" s="772"/>
      <c r="U20" s="773"/>
      <c r="V20" s="772"/>
      <c r="W20" s="773"/>
      <c r="X20" s="1811"/>
      <c r="Y20" s="3222"/>
      <c r="Z20" s="1812"/>
      <c r="AA20" s="1809">
        <v>1</v>
      </c>
      <c r="AB20" s="1809">
        <v>1</v>
      </c>
      <c r="AC20" s="2670">
        <v>1</v>
      </c>
    </row>
    <row r="21" spans="1:29" ht="42.75">
      <c r="A21" s="427"/>
      <c r="B21" s="632" t="s">
        <v>2684</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29"/>
      <c r="Q21" s="1808" t="str">
        <f>B21</f>
        <v>基础设施水平</v>
      </c>
      <c r="R21" s="772" t="s">
        <v>17</v>
      </c>
      <c r="S21" s="773">
        <f>F21</f>
        <v>100</v>
      </c>
      <c r="T21" s="772" t="s">
        <v>17</v>
      </c>
      <c r="U21" s="773">
        <f>H21</f>
        <v>100</v>
      </c>
      <c r="V21" s="772" t="s">
        <v>17</v>
      </c>
      <c r="W21" s="773">
        <f>J21</f>
        <v>100</v>
      </c>
      <c r="X21" s="1811"/>
      <c r="Y21" s="3222"/>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29"/>
      <c r="Q22" s="1808"/>
      <c r="R22" s="772"/>
      <c r="S22" s="773"/>
      <c r="T22" s="772"/>
      <c r="U22" s="773"/>
      <c r="V22" s="772"/>
      <c r="W22" s="773"/>
      <c r="X22" s="1811"/>
      <c r="Y22" s="3222"/>
      <c r="Z22" s="1812"/>
      <c r="AA22" s="1809">
        <v>1</v>
      </c>
      <c r="AB22" s="1809">
        <v>1</v>
      </c>
      <c r="AC22" s="2670">
        <v>1</v>
      </c>
    </row>
    <row r="23" spans="1:29" ht="85.5">
      <c r="A23" s="427"/>
      <c r="B23" s="630" t="s">
        <v>2685</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29"/>
      <c r="Q23" s="1808" t="str">
        <f>B23</f>
        <v>环境质量</v>
      </c>
      <c r="R23" s="772" t="s">
        <v>17</v>
      </c>
      <c r="S23" s="773">
        <f>F23</f>
        <v>100</v>
      </c>
      <c r="T23" s="772" t="s">
        <v>17</v>
      </c>
      <c r="U23" s="773">
        <f>H23</f>
        <v>100</v>
      </c>
      <c r="V23" s="772" t="s">
        <v>17</v>
      </c>
      <c r="W23" s="773">
        <f>J23</f>
        <v>100</v>
      </c>
      <c r="X23" s="1811"/>
      <c r="Y23" s="3222"/>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29"/>
      <c r="Q24" s="1808"/>
      <c r="R24" s="772"/>
      <c r="S24" s="773"/>
      <c r="T24" s="772"/>
      <c r="U24" s="773"/>
      <c r="V24" s="772"/>
      <c r="W24" s="773"/>
      <c r="X24" s="1811"/>
      <c r="Y24" s="3222"/>
      <c r="Z24" s="1812"/>
      <c r="AA24" s="1809">
        <v>1</v>
      </c>
      <c r="AB24" s="1809">
        <v>1</v>
      </c>
      <c r="AC24" s="2670">
        <v>1</v>
      </c>
    </row>
    <row r="25" spans="1:29" ht="27">
      <c r="A25" s="403"/>
      <c r="B25" s="630" t="s">
        <v>2686</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29"/>
      <c r="Q25" s="1808" t="str">
        <f>B25</f>
        <v>毗邻道路的类型与等级</v>
      </c>
      <c r="R25" s="772" t="s">
        <v>17</v>
      </c>
      <c r="S25" s="773">
        <f>F25</f>
        <v>100</v>
      </c>
      <c r="T25" s="772" t="s">
        <v>17</v>
      </c>
      <c r="U25" s="773">
        <f>H25</f>
        <v>100</v>
      </c>
      <c r="V25" s="772" t="s">
        <v>17</v>
      </c>
      <c r="W25" s="773">
        <f>J25</f>
        <v>100</v>
      </c>
      <c r="X25" s="1811"/>
      <c r="Y25" s="3222"/>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29"/>
      <c r="Q26" s="1808"/>
      <c r="R26" s="772"/>
      <c r="S26" s="773"/>
      <c r="T26" s="772"/>
      <c r="U26" s="773"/>
      <c r="V26" s="772"/>
      <c r="W26" s="773"/>
      <c r="X26" s="1811"/>
      <c r="Y26" s="3222"/>
      <c r="Z26" s="1812"/>
      <c r="AA26" s="1809">
        <v>1</v>
      </c>
      <c r="AB26" s="1809">
        <v>1</v>
      </c>
      <c r="AC26" s="2670">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29"/>
      <c r="Q27" s="1808" t="str">
        <f t="shared" ref="Q27:Q47" si="11">B27</f>
        <v>楼层</v>
      </c>
      <c r="R27" s="772" t="s">
        <v>17</v>
      </c>
      <c r="S27" s="773">
        <f>F27</f>
        <v>100</v>
      </c>
      <c r="T27" s="772" t="s">
        <v>17</v>
      </c>
      <c r="U27" s="773">
        <f>H27</f>
        <v>100</v>
      </c>
      <c r="V27" s="772" t="s">
        <v>17</v>
      </c>
      <c r="W27" s="773">
        <f>J27</f>
        <v>100</v>
      </c>
      <c r="X27" s="1811"/>
      <c r="Y27" s="3222"/>
      <c r="Z27" s="1812" t="str">
        <f>Q27</f>
        <v>楼层</v>
      </c>
      <c r="AA27" s="1809">
        <f t="shared" si="3"/>
        <v>1</v>
      </c>
      <c r="AB27" s="1809">
        <f t="shared" si="4"/>
        <v>1</v>
      </c>
      <c r="AC27" s="2670">
        <f t="shared" si="5"/>
        <v>1</v>
      </c>
    </row>
    <row r="28" spans="1:29" s="117" customFormat="1" ht="15">
      <c r="A28" s="430"/>
      <c r="B28" s="630" t="s">
        <v>2687</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29"/>
      <c r="Q28" s="1793" t="str">
        <f t="shared" si="11"/>
        <v>朝向</v>
      </c>
      <c r="R28" s="768" t="s">
        <v>17</v>
      </c>
      <c r="S28" s="769">
        <f>F28</f>
        <v>100</v>
      </c>
      <c r="T28" s="768" t="s">
        <v>17</v>
      </c>
      <c r="U28" s="769">
        <f>H28</f>
        <v>100</v>
      </c>
      <c r="V28" s="768" t="s">
        <v>17</v>
      </c>
      <c r="W28" s="769">
        <f>J28</f>
        <v>100</v>
      </c>
      <c r="X28" s="770"/>
      <c r="Y28" s="3222"/>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29"/>
      <c r="Q29" s="1808">
        <f t="shared" si="11"/>
        <v>111</v>
      </c>
      <c r="R29" s="772" t="s">
        <v>17</v>
      </c>
      <c r="S29" s="773">
        <f t="shared" ref="S29:S47" si="12">F29</f>
        <v>100</v>
      </c>
      <c r="T29" s="772" t="s">
        <v>17</v>
      </c>
      <c r="U29" s="773">
        <f t="shared" ref="U29:U47" si="13">H29</f>
        <v>100</v>
      </c>
      <c r="V29" s="772" t="s">
        <v>17</v>
      </c>
      <c r="W29" s="773">
        <f t="shared" ref="W29:W47" si="14">J29</f>
        <v>100</v>
      </c>
      <c r="X29" s="1811"/>
      <c r="Y29" s="3222"/>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29"/>
      <c r="Q30" s="1808">
        <f t="shared" si="11"/>
        <v>111</v>
      </c>
      <c r="R30" s="772" t="s">
        <v>17</v>
      </c>
      <c r="S30" s="773">
        <f t="shared" si="12"/>
        <v>100</v>
      </c>
      <c r="T30" s="772" t="s">
        <v>17</v>
      </c>
      <c r="U30" s="773">
        <f t="shared" si="13"/>
        <v>100</v>
      </c>
      <c r="V30" s="772" t="s">
        <v>17</v>
      </c>
      <c r="W30" s="773">
        <f t="shared" si="14"/>
        <v>100</v>
      </c>
      <c r="X30" s="1811"/>
      <c r="Y30" s="3222"/>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29"/>
      <c r="Q31" s="1808">
        <f t="shared" si="11"/>
        <v>111</v>
      </c>
      <c r="R31" s="772" t="s">
        <v>17</v>
      </c>
      <c r="S31" s="773">
        <f t="shared" si="12"/>
        <v>100</v>
      </c>
      <c r="T31" s="772" t="s">
        <v>17</v>
      </c>
      <c r="U31" s="773">
        <f t="shared" si="13"/>
        <v>100</v>
      </c>
      <c r="V31" s="772" t="s">
        <v>17</v>
      </c>
      <c r="W31" s="773">
        <f t="shared" si="14"/>
        <v>100</v>
      </c>
      <c r="X31" s="1811"/>
      <c r="Y31" s="3222"/>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29"/>
      <c r="Q32" s="1808">
        <f t="shared" si="11"/>
        <v>111</v>
      </c>
      <c r="R32" s="772" t="s">
        <v>17</v>
      </c>
      <c r="S32" s="773">
        <f t="shared" si="12"/>
        <v>100</v>
      </c>
      <c r="T32" s="772" t="s">
        <v>17</v>
      </c>
      <c r="U32" s="773">
        <f t="shared" si="13"/>
        <v>100</v>
      </c>
      <c r="V32" s="772" t="s">
        <v>17</v>
      </c>
      <c r="W32" s="773">
        <f t="shared" si="14"/>
        <v>100</v>
      </c>
      <c r="X32" s="1811"/>
      <c r="Y32" s="3222"/>
      <c r="Z32" s="1812">
        <f t="shared" si="15"/>
        <v>111</v>
      </c>
      <c r="AA32" s="1809">
        <f t="shared" si="3"/>
        <v>1</v>
      </c>
      <c r="AB32" s="1809">
        <f t="shared" si="4"/>
        <v>1</v>
      </c>
      <c r="AC32" s="2670">
        <f t="shared" si="5"/>
        <v>1</v>
      </c>
    </row>
    <row r="33" spans="1:29" ht="15">
      <c r="A33" s="439" t="s">
        <v>2558</v>
      </c>
      <c r="B33" s="71" t="s">
        <v>2688</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23" t="s">
        <v>2560</v>
      </c>
      <c r="Q33" s="1808" t="str">
        <f t="shared" si="11"/>
        <v>建筑类型</v>
      </c>
      <c r="R33" s="772" t="s">
        <v>17</v>
      </c>
      <c r="S33" s="773">
        <f t="shared" si="12"/>
        <v>100</v>
      </c>
      <c r="T33" s="772" t="s">
        <v>17</v>
      </c>
      <c r="U33" s="773">
        <f t="shared" si="13"/>
        <v>100</v>
      </c>
      <c r="V33" s="772" t="s">
        <v>17</v>
      </c>
      <c r="W33" s="773">
        <f t="shared" si="14"/>
        <v>100</v>
      </c>
      <c r="X33" s="1811"/>
      <c r="Y33" s="3226" t="s">
        <v>2560</v>
      </c>
      <c r="Z33" s="1812" t="str">
        <f t="shared" si="15"/>
        <v>建筑类型</v>
      </c>
      <c r="AA33" s="1809">
        <f t="shared" si="3"/>
        <v>1</v>
      </c>
      <c r="AB33" s="1809">
        <f t="shared" si="4"/>
        <v>1</v>
      </c>
      <c r="AC33" s="2670">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4"/>
      <c r="Q34" s="774" t="str">
        <f t="shared" si="11"/>
        <v>项目建筑规模</v>
      </c>
      <c r="R34" s="775" t="s">
        <v>17</v>
      </c>
      <c r="S34" s="776" t="e">
        <f t="shared" si="12"/>
        <v>#N/A</v>
      </c>
      <c r="T34" s="775" t="s">
        <v>17</v>
      </c>
      <c r="U34" s="776" t="e">
        <f t="shared" si="13"/>
        <v>#N/A</v>
      </c>
      <c r="V34" s="775" t="s">
        <v>17</v>
      </c>
      <c r="W34" s="776" t="e">
        <f t="shared" si="14"/>
        <v>#N/A</v>
      </c>
      <c r="X34" s="777"/>
      <c r="Y34" s="3226"/>
      <c r="Z34" s="778" t="str">
        <f t="shared" si="15"/>
        <v>项目建筑规模</v>
      </c>
      <c r="AA34" s="1809" t="e">
        <f t="shared" si="3"/>
        <v>#N/A</v>
      </c>
      <c r="AB34" s="1809" t="e">
        <f t="shared" si="4"/>
        <v>#N/A</v>
      </c>
      <c r="AC34" s="2670"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4"/>
      <c r="Q35" s="1808" t="str">
        <f t="shared" si="11"/>
        <v>建筑结构</v>
      </c>
      <c r="R35" s="772" t="s">
        <v>17</v>
      </c>
      <c r="S35" s="773">
        <f t="shared" si="12"/>
        <v>100</v>
      </c>
      <c r="T35" s="772" t="s">
        <v>17</v>
      </c>
      <c r="U35" s="773">
        <f t="shared" si="13"/>
        <v>100</v>
      </c>
      <c r="V35" s="772" t="s">
        <v>17</v>
      </c>
      <c r="W35" s="773">
        <f t="shared" si="14"/>
        <v>100</v>
      </c>
      <c r="X35" s="1811"/>
      <c r="Y35" s="3226"/>
      <c r="Z35" s="1812" t="str">
        <f t="shared" si="15"/>
        <v>建筑结构</v>
      </c>
      <c r="AA35" s="1809">
        <f t="shared" si="3"/>
        <v>1</v>
      </c>
      <c r="AB35" s="1809">
        <f t="shared" si="4"/>
        <v>1</v>
      </c>
      <c r="AC35" s="2670">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4"/>
      <c r="Q36" s="1808" t="str">
        <f t="shared" si="11"/>
        <v>公共部分装修</v>
      </c>
      <c r="R36" s="772" t="s">
        <v>17</v>
      </c>
      <c r="S36" s="773">
        <f t="shared" si="12"/>
        <v>100</v>
      </c>
      <c r="T36" s="772" t="s">
        <v>17</v>
      </c>
      <c r="U36" s="773">
        <f t="shared" si="13"/>
        <v>100</v>
      </c>
      <c r="V36" s="772" t="s">
        <v>17</v>
      </c>
      <c r="W36" s="773">
        <f t="shared" si="14"/>
        <v>100</v>
      </c>
      <c r="X36" s="1811"/>
      <c r="Y36" s="3226"/>
      <c r="Z36" s="1812" t="str">
        <f t="shared" si="15"/>
        <v>公共部分装修</v>
      </c>
      <c r="AA36" s="1809">
        <f t="shared" si="3"/>
        <v>1</v>
      </c>
      <c r="AB36" s="1809">
        <f t="shared" si="4"/>
        <v>1</v>
      </c>
      <c r="AC36" s="2670">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4"/>
      <c r="Q37" s="1808" t="str">
        <f t="shared" si="11"/>
        <v>成新度</v>
      </c>
      <c r="R37" s="772" t="s">
        <v>17</v>
      </c>
      <c r="S37" s="773" t="e">
        <f t="shared" si="12"/>
        <v>#N/A</v>
      </c>
      <c r="T37" s="772" t="s">
        <v>17</v>
      </c>
      <c r="U37" s="773" t="e">
        <f t="shared" si="13"/>
        <v>#N/A</v>
      </c>
      <c r="V37" s="772" t="s">
        <v>17</v>
      </c>
      <c r="W37" s="773" t="e">
        <f t="shared" si="14"/>
        <v>#N/A</v>
      </c>
      <c r="X37" s="1811"/>
      <c r="Y37" s="3226"/>
      <c r="Z37" s="1812" t="str">
        <f t="shared" si="15"/>
        <v>成新度</v>
      </c>
      <c r="AA37" s="1809" t="e">
        <f t="shared" si="3"/>
        <v>#N/A</v>
      </c>
      <c r="AB37" s="1809" t="e">
        <f t="shared" si="4"/>
        <v>#N/A</v>
      </c>
      <c r="AC37" s="2670" t="e">
        <f t="shared" si="5"/>
        <v>#N/A</v>
      </c>
    </row>
    <row r="38" spans="1:29" s="117"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4"/>
      <c r="Q38" s="1793" t="str">
        <f t="shared" si="11"/>
        <v>写字楼等级</v>
      </c>
      <c r="R38" s="768" t="s">
        <v>17</v>
      </c>
      <c r="S38" s="769">
        <f t="shared" si="12"/>
        <v>100</v>
      </c>
      <c r="T38" s="768" t="s">
        <v>17</v>
      </c>
      <c r="U38" s="769">
        <f t="shared" si="13"/>
        <v>100</v>
      </c>
      <c r="V38" s="768" t="s">
        <v>17</v>
      </c>
      <c r="W38" s="769">
        <f t="shared" si="14"/>
        <v>100</v>
      </c>
      <c r="X38" s="770"/>
      <c r="Y38" s="3226"/>
      <c r="Z38" s="55" t="str">
        <f t="shared" si="15"/>
        <v>写字楼等级</v>
      </c>
      <c r="AA38" s="771">
        <f t="shared" si="3"/>
        <v>1</v>
      </c>
      <c r="AB38" s="771">
        <f t="shared" si="4"/>
        <v>1</v>
      </c>
      <c r="AC38" s="2667">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4" t="s">
        <v>2560</v>
      </c>
      <c r="Q39" s="1808" t="str">
        <f t="shared" si="11"/>
        <v>物业管理</v>
      </c>
      <c r="R39" s="772" t="s">
        <v>17</v>
      </c>
      <c r="S39" s="773">
        <f t="shared" si="12"/>
        <v>100</v>
      </c>
      <c r="T39" s="772" t="s">
        <v>17</v>
      </c>
      <c r="U39" s="773">
        <f t="shared" si="13"/>
        <v>100</v>
      </c>
      <c r="V39" s="772" t="s">
        <v>17</v>
      </c>
      <c r="W39" s="773">
        <f t="shared" si="14"/>
        <v>100</v>
      </c>
      <c r="X39" s="1811"/>
      <c r="Y39" s="3226" t="s">
        <v>2560</v>
      </c>
      <c r="Z39" s="1812" t="str">
        <f t="shared" si="15"/>
        <v>物业管理</v>
      </c>
      <c r="AA39" s="1809">
        <f t="shared" si="3"/>
        <v>1</v>
      </c>
      <c r="AB39" s="1809">
        <f t="shared" si="4"/>
        <v>1</v>
      </c>
      <c r="AC39" s="2670">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4"/>
      <c r="Q40" s="1808" t="str">
        <f t="shared" si="11"/>
        <v>市政基础设施</v>
      </c>
      <c r="R40" s="772" t="s">
        <v>17</v>
      </c>
      <c r="S40" s="773">
        <f t="shared" si="12"/>
        <v>100</v>
      </c>
      <c r="T40" s="772" t="s">
        <v>17</v>
      </c>
      <c r="U40" s="773">
        <f t="shared" si="13"/>
        <v>100</v>
      </c>
      <c r="V40" s="772" t="s">
        <v>17</v>
      </c>
      <c r="W40" s="773">
        <f t="shared" si="14"/>
        <v>100</v>
      </c>
      <c r="X40" s="1811"/>
      <c r="Y40" s="3226"/>
      <c r="Z40" s="1812" t="str">
        <f t="shared" si="15"/>
        <v>市政基础设施</v>
      </c>
      <c r="AA40" s="1809">
        <f t="shared" si="3"/>
        <v>1</v>
      </c>
      <c r="AB40" s="1809">
        <f t="shared" si="4"/>
        <v>1</v>
      </c>
      <c r="AC40" s="2670">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4"/>
      <c r="Q41" s="1808" t="str">
        <f t="shared" si="11"/>
        <v>层高</v>
      </c>
      <c r="R41" s="772" t="s">
        <v>17</v>
      </c>
      <c r="S41" s="773">
        <f t="shared" si="12"/>
        <v>100</v>
      </c>
      <c r="T41" s="772" t="s">
        <v>17</v>
      </c>
      <c r="U41" s="773">
        <f t="shared" si="13"/>
        <v>100</v>
      </c>
      <c r="V41" s="772" t="s">
        <v>17</v>
      </c>
      <c r="W41" s="773">
        <f t="shared" si="14"/>
        <v>100</v>
      </c>
      <c r="X41" s="1811"/>
      <c r="Y41" s="3226"/>
      <c r="Z41" s="1812" t="str">
        <f t="shared" si="15"/>
        <v>层高</v>
      </c>
      <c r="AA41" s="1809">
        <f t="shared" si="3"/>
        <v>1</v>
      </c>
      <c r="AB41" s="1809">
        <f t="shared" si="4"/>
        <v>1</v>
      </c>
      <c r="AC41" s="2670">
        <f t="shared" si="5"/>
        <v>1</v>
      </c>
    </row>
    <row r="42" spans="1:29" s="470" customFormat="1" ht="15">
      <c r="A42" s="467"/>
      <c r="B42" s="1810"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4"/>
      <c r="Q42" s="774" t="str">
        <f t="shared" si="11"/>
        <v>单套建筑面积</v>
      </c>
      <c r="R42" s="775" t="s">
        <v>17</v>
      </c>
      <c r="S42" s="776">
        <f t="shared" si="12"/>
        <v>100</v>
      </c>
      <c r="T42" s="775" t="s">
        <v>17</v>
      </c>
      <c r="U42" s="776">
        <f t="shared" si="13"/>
        <v>100</v>
      </c>
      <c r="V42" s="775" t="s">
        <v>17</v>
      </c>
      <c r="W42" s="776">
        <f t="shared" si="14"/>
        <v>100</v>
      </c>
      <c r="X42" s="777"/>
      <c r="Y42" s="3226"/>
      <c r="Z42" s="778" t="str">
        <f t="shared" si="15"/>
        <v>单套建筑面积</v>
      </c>
      <c r="AA42" s="1809">
        <f t="shared" si="3"/>
        <v>1</v>
      </c>
      <c r="AB42" s="1809">
        <f t="shared" si="4"/>
        <v>1</v>
      </c>
      <c r="AC42" s="2670">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4"/>
      <c r="Q43" s="1808" t="str">
        <f t="shared" si="11"/>
        <v>内部装修</v>
      </c>
      <c r="R43" s="772" t="s">
        <v>17</v>
      </c>
      <c r="S43" s="773">
        <f t="shared" si="12"/>
        <v>100</v>
      </c>
      <c r="T43" s="772" t="s">
        <v>17</v>
      </c>
      <c r="U43" s="773">
        <f t="shared" si="13"/>
        <v>100</v>
      </c>
      <c r="V43" s="772" t="s">
        <v>17</v>
      </c>
      <c r="W43" s="773">
        <f t="shared" si="14"/>
        <v>100</v>
      </c>
      <c r="X43" s="1811"/>
      <c r="Y43" s="3226"/>
      <c r="Z43" s="1812" t="str">
        <f t="shared" si="15"/>
        <v>内部装修</v>
      </c>
      <c r="AA43" s="1809">
        <f t="shared" si="3"/>
        <v>1</v>
      </c>
      <c r="AB43" s="1809">
        <f t="shared" si="4"/>
        <v>1</v>
      </c>
      <c r="AC43" s="2670">
        <f t="shared" si="5"/>
        <v>1</v>
      </c>
    </row>
    <row r="44" spans="1:29" ht="15">
      <c r="A44" s="471"/>
      <c r="B44" s="421" t="s">
        <v>2571</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24"/>
      <c r="Q44" s="1808" t="str">
        <f t="shared" si="11"/>
        <v>内部装修维护情况</v>
      </c>
      <c r="R44" s="772" t="s">
        <v>17</v>
      </c>
      <c r="S44" s="773">
        <f t="shared" si="12"/>
        <v>100</v>
      </c>
      <c r="T44" s="772" t="s">
        <v>17</v>
      </c>
      <c r="U44" s="773">
        <f t="shared" si="13"/>
        <v>100</v>
      </c>
      <c r="V44" s="772" t="s">
        <v>17</v>
      </c>
      <c r="W44" s="773">
        <f t="shared" si="14"/>
        <v>100</v>
      </c>
      <c r="X44" s="1811"/>
      <c r="Y44" s="3226"/>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4"/>
      <c r="Q45" s="1793">
        <f t="shared" si="11"/>
        <v>111</v>
      </c>
      <c r="R45" s="768" t="s">
        <v>17</v>
      </c>
      <c r="S45" s="769">
        <f t="shared" si="12"/>
        <v>100</v>
      </c>
      <c r="T45" s="768" t="s">
        <v>17</v>
      </c>
      <c r="U45" s="769">
        <f t="shared" si="13"/>
        <v>100</v>
      </c>
      <c r="V45" s="768" t="s">
        <v>17</v>
      </c>
      <c r="W45" s="769">
        <f t="shared" si="14"/>
        <v>100</v>
      </c>
      <c r="X45" s="770"/>
      <c r="Y45" s="3226"/>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4"/>
      <c r="Q46" s="1808">
        <f t="shared" si="11"/>
        <v>111</v>
      </c>
      <c r="R46" s="772" t="s">
        <v>17</v>
      </c>
      <c r="S46" s="773">
        <f t="shared" si="12"/>
        <v>100</v>
      </c>
      <c r="T46" s="772" t="s">
        <v>17</v>
      </c>
      <c r="U46" s="773">
        <f t="shared" si="13"/>
        <v>100</v>
      </c>
      <c r="V46" s="772" t="s">
        <v>17</v>
      </c>
      <c r="W46" s="773">
        <f t="shared" si="14"/>
        <v>100</v>
      </c>
      <c r="X46" s="1811"/>
      <c r="Y46" s="3226"/>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25"/>
      <c r="Q47" s="1808">
        <f t="shared" si="11"/>
        <v>111</v>
      </c>
      <c r="R47" s="772" t="s">
        <v>17</v>
      </c>
      <c r="S47" s="773">
        <f t="shared" si="12"/>
        <v>100</v>
      </c>
      <c r="T47" s="772" t="s">
        <v>17</v>
      </c>
      <c r="U47" s="773">
        <f t="shared" si="13"/>
        <v>100</v>
      </c>
      <c r="V47" s="772" t="s">
        <v>17</v>
      </c>
      <c r="W47" s="773">
        <f t="shared" si="14"/>
        <v>100</v>
      </c>
      <c r="X47" s="1811"/>
      <c r="Y47" s="3227"/>
      <c r="Z47" s="1812">
        <f t="shared" si="15"/>
        <v>111</v>
      </c>
      <c r="AA47" s="1809">
        <f t="shared" si="3"/>
        <v>1</v>
      </c>
      <c r="AB47" s="1809">
        <f t="shared" si="4"/>
        <v>1</v>
      </c>
      <c r="AC47" s="2670">
        <f t="shared" si="5"/>
        <v>1</v>
      </c>
    </row>
    <row r="48" spans="1:29" ht="15">
      <c r="A48" s="478" t="s">
        <v>2572</v>
      </c>
      <c r="B48" s="479"/>
      <c r="C48" s="1405" t="s">
        <v>1</v>
      </c>
      <c r="D48" s="1406"/>
      <c r="E48" s="1407"/>
      <c r="F48" s="1408"/>
      <c r="G48" s="1409"/>
      <c r="H48" s="1410"/>
      <c r="I48" s="1407"/>
      <c r="J48" s="484"/>
      <c r="K48" s="781"/>
      <c r="L48" s="1141"/>
      <c r="M48" s="1129"/>
      <c r="N48" s="1129"/>
      <c r="O48" s="1129"/>
      <c r="P48" s="3201" t="str">
        <f>A48</f>
        <v>成交单价（元/平方米）</v>
      </c>
      <c r="Q48" s="3219"/>
      <c r="R48" s="3220">
        <f>E48</f>
        <v>0</v>
      </c>
      <c r="S48" s="3220"/>
      <c r="T48" s="3220">
        <f>G48</f>
        <v>0</v>
      </c>
      <c r="U48" s="3220"/>
      <c r="V48" s="3220">
        <f>I48</f>
        <v>0</v>
      </c>
      <c r="W48" s="3220"/>
      <c r="X48" s="445"/>
      <c r="Y48" s="779"/>
      <c r="Z48" s="445"/>
      <c r="AA48" s="445"/>
      <c r="AB48" s="445"/>
      <c r="AC48" s="629"/>
    </row>
    <row r="49" spans="1:29" ht="15.75" thickBot="1">
      <c r="A49" s="485" t="s">
        <v>2664</v>
      </c>
      <c r="B49" s="486"/>
      <c r="C49" s="1411" t="e">
        <f>R50</f>
        <v>#DIV/0!</v>
      </c>
      <c r="D49" s="1412"/>
      <c r="E49" s="1413" t="e">
        <f>R49</f>
        <v>#DIV/0!</v>
      </c>
      <c r="F49" s="1413"/>
      <c r="G49" s="1411" t="e">
        <f>T49</f>
        <v>#DIV/0!</v>
      </c>
      <c r="H49" s="1412"/>
      <c r="I49" s="1413" t="e">
        <f>V49</f>
        <v>#DIV/0!</v>
      </c>
      <c r="J49" s="488"/>
      <c r="K49" s="782"/>
      <c r="L49" s="1141"/>
      <c r="M49" s="1129"/>
      <c r="N49" s="1129"/>
      <c r="O49" s="1129"/>
      <c r="P49" s="3201"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75" thickBot="1">
      <c r="A50" s="491" t="s">
        <v>2665</v>
      </c>
      <c r="B50" s="492"/>
      <c r="C50" s="1415" t="e">
        <f>R50</f>
        <v>#DIV/0!</v>
      </c>
      <c r="D50" s="1415"/>
      <c r="E50" s="1415"/>
      <c r="F50" s="1415"/>
      <c r="G50" s="1415"/>
      <c r="H50" s="1415"/>
      <c r="I50" s="1415"/>
      <c r="J50" s="493"/>
      <c r="K50" s="783"/>
      <c r="L50" s="1141"/>
      <c r="M50" s="1129"/>
      <c r="N50" s="1129"/>
      <c r="O50" s="1129"/>
      <c r="P50" s="3242" t="str">
        <f>A50</f>
        <v>估价对象XX用房的比较价值（楼面单价，元/平方米）</v>
      </c>
      <c r="Q50" s="3243"/>
      <c r="R50" s="3244" t="e">
        <f>IF(F1="售价",ROUND(AVERAGE(R49:V49),0),ROUND(AVERAGE(R49:V49),1))</f>
        <v>#DIV/0!</v>
      </c>
      <c r="S50" s="3244"/>
      <c r="T50" s="3244"/>
      <c r="U50" s="3244"/>
      <c r="V50" s="3244"/>
      <c r="W50" s="3244"/>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2669</v>
      </c>
      <c r="B58" s="757"/>
      <c r="C58" s="762"/>
      <c r="D58" s="762"/>
      <c r="E58" s="762"/>
      <c r="F58" s="763"/>
      <c r="G58" s="763"/>
      <c r="H58" s="762"/>
      <c r="I58" s="762"/>
      <c r="J58" s="762"/>
      <c r="K58" s="764"/>
      <c r="L58" s="1159"/>
      <c r="M58" s="1157"/>
      <c r="N58" s="1157"/>
      <c r="O58" s="1157"/>
      <c r="P58" s="2677"/>
      <c r="Q58" s="503"/>
    </row>
    <row r="59" spans="1:29" s="507" customFormat="1" ht="15">
      <c r="A59" s="504" t="s">
        <v>2543</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2580</v>
      </c>
      <c r="B61" s="515"/>
      <c r="C61" s="516"/>
      <c r="D61" s="517"/>
      <c r="E61" s="517"/>
      <c r="F61" s="517"/>
      <c r="G61" s="517"/>
      <c r="H61" s="517"/>
      <c r="I61" s="517"/>
      <c r="J61" s="517"/>
      <c r="K61" s="517"/>
      <c r="L61" s="517"/>
      <c r="M61" s="518"/>
      <c r="N61" s="517"/>
      <c r="O61" s="518"/>
      <c r="P61" s="2678"/>
      <c r="Q61" s="503"/>
    </row>
    <row r="62" spans="1:29" s="117" customFormat="1" ht="15">
      <c r="A62" s="520" t="s">
        <v>2545</v>
      </c>
      <c r="B62" s="509"/>
      <c r="C62" s="521" t="s">
        <v>2647</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2583</v>
      </c>
      <c r="B64" s="527" t="s">
        <v>2549</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2684</v>
      </c>
      <c r="C83" s="659" t="s">
        <v>2670</v>
      </c>
      <c r="D83" s="659" t="s">
        <v>2671</v>
      </c>
      <c r="E83" s="659" t="s">
        <v>2672</v>
      </c>
      <c r="F83" s="659" t="s">
        <v>2673</v>
      </c>
      <c r="G83" s="659" t="s">
        <v>2674</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2694</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2558</v>
      </c>
      <c r="B101" s="527" t="s">
        <v>2607</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2609</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2611</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2695</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2612</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2613</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2696</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2679</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2615</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5" t="s">
        <v>2697</v>
      </c>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IF(C2="——",ROUND(C43*D3/10000,0),ROUND(C43*D3/10000,0)-D2)</f>
        <v>#DIV/0!</v>
      </c>
      <c r="C2" s="2582"/>
      <c r="D2" s="1122" t="e">
        <f ca="1">SUMIF(INDIRECT("'"&amp;F2&amp;"'"&amp;"!A:A"),"承租人权益价值",INDIRECT("'"&amp;F2&amp;"'"&amp;"!c:c"))</f>
        <v>#REF!</v>
      </c>
      <c r="E2" s="2583" t="s">
        <v>2323</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2324</v>
      </c>
      <c r="B3" s="608" t="e">
        <f ca="1">IF(C2="——",C43,ROUND(B2*10000/D3,0))</f>
        <v>#DIV/0!</v>
      </c>
      <c r="C3" s="399" t="s">
        <v>2639</v>
      </c>
      <c r="D3" s="398">
        <f>IF(D1="",'数据-汇总表'!E3,SUMIF('数据-汇总表'!$C19:$C33,D1,'数据-汇总表'!$E19:$E33))</f>
        <v>2406.44</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202" t="s">
        <v>2641</v>
      </c>
      <c r="D4" s="3203"/>
      <c r="E4" s="3204" t="s">
        <v>2642</v>
      </c>
      <c r="F4" s="3205"/>
      <c r="G4" s="3202" t="s">
        <v>2643</v>
      </c>
      <c r="H4" s="3203"/>
      <c r="I4" s="3202" t="s">
        <v>2644</v>
      </c>
      <c r="J4" s="3203"/>
      <c r="K4" s="609" t="s">
        <v>2645</v>
      </c>
      <c r="L4" s="1128"/>
      <c r="M4" s="1129"/>
      <c r="N4" s="1129"/>
      <c r="O4" s="1129"/>
      <c r="P4" s="3206" t="s">
        <v>2646</v>
      </c>
      <c r="Q4" s="3207"/>
      <c r="R4" s="3189" t="s">
        <v>2642</v>
      </c>
      <c r="S4" s="3190"/>
      <c r="T4" s="3189" t="s">
        <v>2643</v>
      </c>
      <c r="U4" s="3190"/>
      <c r="V4" s="3214" t="s">
        <v>2644</v>
      </c>
      <c r="W4" s="3214"/>
      <c r="X4" s="1811"/>
      <c r="Y4" s="3189" t="s">
        <v>2646</v>
      </c>
      <c r="Z4" s="3190"/>
      <c r="AA4" s="3184" t="s">
        <v>2642</v>
      </c>
      <c r="AB4" s="3185" t="s">
        <v>2643</v>
      </c>
      <c r="AC4" s="3184" t="s">
        <v>2644</v>
      </c>
    </row>
    <row r="5" spans="1:29" ht="15">
      <c r="A5" s="403"/>
      <c r="B5" s="404"/>
      <c r="C5" s="3195" t="s">
        <v>2537</v>
      </c>
      <c r="D5" s="3196"/>
      <c r="E5" s="3193" t="s">
        <v>2538</v>
      </c>
      <c r="F5" s="3194"/>
      <c r="G5" s="3195" t="s">
        <v>2539</v>
      </c>
      <c r="H5" s="3196"/>
      <c r="I5" s="3195" t="s">
        <v>2540</v>
      </c>
      <c r="J5" s="3196"/>
      <c r="K5" s="609"/>
      <c r="L5" s="1128"/>
      <c r="M5" s="1129"/>
      <c r="N5" s="1129"/>
      <c r="O5" s="1129"/>
      <c r="P5" s="3208"/>
      <c r="Q5" s="3209"/>
      <c r="R5" s="3191"/>
      <c r="S5" s="3192"/>
      <c r="T5" s="3191"/>
      <c r="U5" s="3192"/>
      <c r="V5" s="3214"/>
      <c r="W5" s="3214"/>
      <c r="X5" s="1811"/>
      <c r="Y5" s="3191"/>
      <c r="Z5" s="3192"/>
      <c r="AA5" s="3185"/>
      <c r="AB5" s="3185"/>
      <c r="AC5" s="3185"/>
    </row>
    <row r="6" spans="1:29" ht="15.75" thickBot="1">
      <c r="A6" s="405"/>
      <c r="B6" s="406"/>
      <c r="C6" s="3197" t="s">
        <v>2541</v>
      </c>
      <c r="D6" s="3198"/>
      <c r="E6" s="3199" t="s">
        <v>2541</v>
      </c>
      <c r="F6" s="3200"/>
      <c r="G6" s="3197" t="s">
        <v>2541</v>
      </c>
      <c r="H6" s="3198"/>
      <c r="I6" s="3197" t="s">
        <v>2541</v>
      </c>
      <c r="J6" s="3198"/>
      <c r="K6" s="609" t="s">
        <v>2542</v>
      </c>
      <c r="L6" s="1128"/>
      <c r="M6" s="1129"/>
      <c r="N6" s="1129"/>
      <c r="O6" s="1129"/>
      <c r="P6" s="3210"/>
      <c r="Q6" s="3211"/>
      <c r="R6" s="3191"/>
      <c r="S6" s="3192"/>
      <c r="T6" s="3212"/>
      <c r="U6" s="3213"/>
      <c r="V6" s="3214"/>
      <c r="W6" s="3214"/>
      <c r="X6" s="1811"/>
      <c r="Y6" s="3212"/>
      <c r="Z6" s="3213"/>
      <c r="AA6" s="3186"/>
      <c r="AB6" s="3186"/>
      <c r="AC6" s="3186"/>
    </row>
    <row r="7" spans="1:29" s="117" customFormat="1" ht="15.75" thickBot="1">
      <c r="A7" s="407" t="s">
        <v>2543</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87" t="s">
        <v>2544</v>
      </c>
      <c r="Q7" s="3215"/>
      <c r="R7" s="768" t="s">
        <v>17</v>
      </c>
      <c r="S7" s="769">
        <f t="shared" ref="S7:S15" si="0">F7</f>
        <v>0</v>
      </c>
      <c r="T7" s="768" t="s">
        <v>17</v>
      </c>
      <c r="U7" s="769">
        <f t="shared" ref="U7:U15" si="1">H7</f>
        <v>0</v>
      </c>
      <c r="V7" s="768" t="s">
        <v>17</v>
      </c>
      <c r="W7" s="769">
        <f t="shared" ref="W7:W15" si="2">J7</f>
        <v>0</v>
      </c>
      <c r="X7" s="770"/>
      <c r="Y7" s="3187" t="s">
        <v>2544</v>
      </c>
      <c r="Z7" s="3188"/>
      <c r="AA7" s="771" t="e">
        <f>D7/F7</f>
        <v>#DIV/0!</v>
      </c>
      <c r="AB7" s="771" t="e">
        <f>D7/H7</f>
        <v>#DIV/0!</v>
      </c>
      <c r="AC7" s="771"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87" t="s">
        <v>2547</v>
      </c>
      <c r="Q8" s="3188"/>
      <c r="R8" s="768" t="s">
        <v>17</v>
      </c>
      <c r="S8" s="769">
        <f t="shared" si="0"/>
        <v>0</v>
      </c>
      <c r="T8" s="768" t="s">
        <v>17</v>
      </c>
      <c r="U8" s="769">
        <f t="shared" si="1"/>
        <v>0</v>
      </c>
      <c r="V8" s="768" t="s">
        <v>17</v>
      </c>
      <c r="W8" s="769">
        <f t="shared" si="2"/>
        <v>0</v>
      </c>
      <c r="X8" s="770"/>
      <c r="Y8" s="3187" t="s">
        <v>2547</v>
      </c>
      <c r="Z8" s="3188"/>
      <c r="AA8" s="771" t="e">
        <f t="shared" ref="AA8:AA40" si="3">D8/F8</f>
        <v>#DIV/0!</v>
      </c>
      <c r="AB8" s="771" t="e">
        <f t="shared" ref="AB8:AB40" si="4">D8/H8</f>
        <v>#DIV/0!</v>
      </c>
      <c r="AC8" s="771" t="e">
        <f t="shared" ref="AC8:AC40" si="5">D8/J8</f>
        <v>#DIV/0!</v>
      </c>
    </row>
    <row r="9" spans="1:29" s="117"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9" t="s">
        <v>2550</v>
      </c>
      <c r="Q9" s="1793" t="str">
        <f t="shared" ref="Q9:Q15" si="6">B9</f>
        <v>用途</v>
      </c>
      <c r="R9" s="768" t="s">
        <v>17</v>
      </c>
      <c r="S9" s="769">
        <f t="shared" si="0"/>
        <v>100</v>
      </c>
      <c r="T9" s="768" t="s">
        <v>17</v>
      </c>
      <c r="U9" s="769">
        <f t="shared" si="1"/>
        <v>100</v>
      </c>
      <c r="V9" s="768" t="s">
        <v>17</v>
      </c>
      <c r="W9" s="769">
        <f t="shared" si="2"/>
        <v>100</v>
      </c>
      <c r="X9" s="770"/>
      <c r="Y9" s="3034"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9"/>
      <c r="Q10" s="1793"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9"/>
      <c r="Q11" s="1793"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19"/>
      <c r="Q12" s="1793">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19"/>
      <c r="Q13" s="1793">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19"/>
      <c r="Q14" s="1793">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771">
        <f t="shared" si="5"/>
        <v>1</v>
      </c>
    </row>
    <row r="15" spans="1:29" ht="57">
      <c r="A15" s="439" t="s">
        <v>2554</v>
      </c>
      <c r="B15" s="69" t="s">
        <v>2698</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1" t="s">
        <v>2555</v>
      </c>
      <c r="Q15" s="1808" t="str">
        <f t="shared" si="6"/>
        <v>产业集聚程度</v>
      </c>
      <c r="R15" s="772" t="s">
        <v>17</v>
      </c>
      <c r="S15" s="773">
        <f t="shared" si="0"/>
        <v>100</v>
      </c>
      <c r="T15" s="772" t="s">
        <v>17</v>
      </c>
      <c r="U15" s="773">
        <f t="shared" si="1"/>
        <v>100</v>
      </c>
      <c r="V15" s="772" t="s">
        <v>17</v>
      </c>
      <c r="W15" s="773">
        <f t="shared" si="2"/>
        <v>100</v>
      </c>
      <c r="X15" s="1811"/>
      <c r="Y15" s="3221" t="s">
        <v>2555</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22"/>
      <c r="Q16" s="1808"/>
      <c r="R16" s="772"/>
      <c r="S16" s="773"/>
      <c r="T16" s="772"/>
      <c r="U16" s="773"/>
      <c r="V16" s="772"/>
      <c r="W16" s="773"/>
      <c r="X16" s="1811"/>
      <c r="Y16" s="3222"/>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2"/>
      <c r="Q17" s="1808" t="str">
        <f>B17</f>
        <v>交通便捷度</v>
      </c>
      <c r="R17" s="772" t="s">
        <v>17</v>
      </c>
      <c r="S17" s="773">
        <f>F17</f>
        <v>100</v>
      </c>
      <c r="T17" s="772" t="s">
        <v>17</v>
      </c>
      <c r="U17" s="773">
        <f>H17</f>
        <v>100</v>
      </c>
      <c r="V17" s="772" t="s">
        <v>17</v>
      </c>
      <c r="W17" s="773">
        <f>J17</f>
        <v>100</v>
      </c>
      <c r="X17" s="1811"/>
      <c r="Y17" s="3222"/>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22"/>
      <c r="Q18" s="1808"/>
      <c r="R18" s="772"/>
      <c r="S18" s="773"/>
      <c r="T18" s="772"/>
      <c r="U18" s="773"/>
      <c r="V18" s="772"/>
      <c r="W18" s="773"/>
      <c r="X18" s="1811"/>
      <c r="Y18" s="3222"/>
      <c r="Z18" s="1812"/>
      <c r="AA18" s="1809">
        <v>1</v>
      </c>
      <c r="AB18" s="1809">
        <v>1</v>
      </c>
      <c r="AC18" s="1809">
        <v>1</v>
      </c>
    </row>
    <row r="19" spans="1:29" ht="42.75">
      <c r="A19" s="427"/>
      <c r="B19" s="450" t="s">
        <v>2683</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2"/>
      <c r="Q19" s="1808" t="str">
        <f>B19</f>
        <v>公共配套设施</v>
      </c>
      <c r="R19" s="772" t="s">
        <v>17</v>
      </c>
      <c r="S19" s="773">
        <f>F19</f>
        <v>100</v>
      </c>
      <c r="T19" s="772" t="s">
        <v>17</v>
      </c>
      <c r="U19" s="773">
        <f>H19</f>
        <v>100</v>
      </c>
      <c r="V19" s="772" t="s">
        <v>17</v>
      </c>
      <c r="W19" s="773">
        <f>J19</f>
        <v>100</v>
      </c>
      <c r="X19" s="1811"/>
      <c r="Y19" s="3222"/>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22"/>
      <c r="Q20" s="1808"/>
      <c r="R20" s="772"/>
      <c r="S20" s="773"/>
      <c r="T20" s="772"/>
      <c r="U20" s="773"/>
      <c r="V20" s="772"/>
      <c r="W20" s="773"/>
      <c r="X20" s="1811"/>
      <c r="Y20" s="3222"/>
      <c r="Z20" s="1812"/>
      <c r="AA20" s="1809">
        <v>1</v>
      </c>
      <c r="AB20" s="1809">
        <v>1</v>
      </c>
      <c r="AC20" s="1809">
        <v>1</v>
      </c>
    </row>
    <row r="21" spans="1:29" ht="28.5">
      <c r="A21" s="427"/>
      <c r="B21" s="1382" t="s">
        <v>2684</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2"/>
      <c r="Q21" s="1808" t="str">
        <f>B21</f>
        <v>基础设施水平</v>
      </c>
      <c r="R21" s="772" t="s">
        <v>17</v>
      </c>
      <c r="S21" s="773">
        <f>F21</f>
        <v>100</v>
      </c>
      <c r="T21" s="772" t="s">
        <v>17</v>
      </c>
      <c r="U21" s="773">
        <f>H21</f>
        <v>100</v>
      </c>
      <c r="V21" s="772" t="s">
        <v>17</v>
      </c>
      <c r="W21" s="773">
        <f>J21</f>
        <v>100</v>
      </c>
      <c r="X21" s="1811"/>
      <c r="Y21" s="3222"/>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22"/>
      <c r="Q22" s="1808"/>
      <c r="R22" s="772"/>
      <c r="S22" s="773"/>
      <c r="T22" s="772"/>
      <c r="U22" s="773"/>
      <c r="V22" s="772"/>
      <c r="W22" s="773"/>
      <c r="X22" s="1811"/>
      <c r="Y22" s="3222"/>
      <c r="Z22" s="1812"/>
      <c r="AA22" s="1809">
        <v>1</v>
      </c>
      <c r="AB22" s="1809">
        <v>1</v>
      </c>
      <c r="AC22" s="1809">
        <v>1</v>
      </c>
    </row>
    <row r="23" spans="1:29" ht="71.25">
      <c r="A23" s="427"/>
      <c r="B23" s="450" t="s">
        <v>2685</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2"/>
      <c r="Q23" s="1808" t="str">
        <f>B23</f>
        <v>环境质量</v>
      </c>
      <c r="R23" s="772" t="s">
        <v>17</v>
      </c>
      <c r="S23" s="773">
        <f>F23</f>
        <v>100</v>
      </c>
      <c r="T23" s="772" t="s">
        <v>17</v>
      </c>
      <c r="U23" s="773">
        <f>H23</f>
        <v>100</v>
      </c>
      <c r="V23" s="772" t="s">
        <v>17</v>
      </c>
      <c r="W23" s="773">
        <f>J23</f>
        <v>100</v>
      </c>
      <c r="X23" s="1811"/>
      <c r="Y23" s="3222"/>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22"/>
      <c r="Q24" s="1808"/>
      <c r="R24" s="772"/>
      <c r="S24" s="773"/>
      <c r="T24" s="772"/>
      <c r="U24" s="773"/>
      <c r="V24" s="772"/>
      <c r="W24" s="773"/>
      <c r="X24" s="1811"/>
      <c r="Y24" s="322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2"/>
      <c r="Q25" s="1808">
        <f>B25</f>
        <v>111</v>
      </c>
      <c r="R25" s="772" t="s">
        <v>17</v>
      </c>
      <c r="S25" s="773">
        <f>F25</f>
        <v>100</v>
      </c>
      <c r="T25" s="772" t="s">
        <v>17</v>
      </c>
      <c r="U25" s="773">
        <f>H25</f>
        <v>100</v>
      </c>
      <c r="V25" s="772" t="s">
        <v>17</v>
      </c>
      <c r="W25" s="773">
        <f>J25</f>
        <v>100</v>
      </c>
      <c r="X25" s="1811"/>
      <c r="Y25" s="322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2"/>
      <c r="Q26" s="1808">
        <f t="shared" ref="Q26:Q40" si="11">B26</f>
        <v>111</v>
      </c>
      <c r="R26" s="772" t="s">
        <v>17</v>
      </c>
      <c r="S26" s="773">
        <f>F26</f>
        <v>100</v>
      </c>
      <c r="T26" s="772" t="s">
        <v>17</v>
      </c>
      <c r="U26" s="773">
        <f>H26</f>
        <v>100</v>
      </c>
      <c r="V26" s="772" t="s">
        <v>17</v>
      </c>
      <c r="W26" s="773">
        <f>J26</f>
        <v>100</v>
      </c>
      <c r="X26" s="1811"/>
      <c r="Y26" s="3222"/>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2"/>
      <c r="Q27" s="1793">
        <f t="shared" si="11"/>
        <v>111</v>
      </c>
      <c r="R27" s="768" t="s">
        <v>17</v>
      </c>
      <c r="S27" s="769">
        <f>F27</f>
        <v>100</v>
      </c>
      <c r="T27" s="768" t="s">
        <v>17</v>
      </c>
      <c r="U27" s="769">
        <f>H27</f>
        <v>100</v>
      </c>
      <c r="V27" s="768" t="s">
        <v>17</v>
      </c>
      <c r="W27" s="769">
        <f>J27</f>
        <v>100</v>
      </c>
      <c r="X27" s="770"/>
      <c r="Y27" s="3222"/>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2"/>
      <c r="Q28" s="1808">
        <f t="shared" si="11"/>
        <v>111</v>
      </c>
      <c r="R28" s="772" t="s">
        <v>17</v>
      </c>
      <c r="S28" s="773">
        <f t="shared" ref="S28:S40" si="12">F28</f>
        <v>100</v>
      </c>
      <c r="T28" s="772" t="s">
        <v>17</v>
      </c>
      <c r="U28" s="773">
        <f t="shared" ref="U28:U40" si="13">H28</f>
        <v>100</v>
      </c>
      <c r="V28" s="772" t="s">
        <v>17</v>
      </c>
      <c r="W28" s="773">
        <f t="shared" ref="W28:W40" si="14">J28</f>
        <v>100</v>
      </c>
      <c r="X28" s="1811"/>
      <c r="Y28" s="3222"/>
      <c r="Z28" s="1812">
        <f t="shared" ref="Z28:Z40" si="15">Q28</f>
        <v>111</v>
      </c>
      <c r="AA28" s="1809">
        <f t="shared" si="3"/>
        <v>1</v>
      </c>
      <c r="AB28" s="1809">
        <f t="shared" si="4"/>
        <v>1</v>
      </c>
      <c r="AC28" s="1809">
        <f t="shared" si="5"/>
        <v>1</v>
      </c>
    </row>
    <row r="29" spans="1:29" ht="28.5">
      <c r="A29" s="465" t="s">
        <v>2558</v>
      </c>
      <c r="B29" s="71" t="s">
        <v>2688</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45" t="s">
        <v>2560</v>
      </c>
      <c r="Q29" s="1808" t="str">
        <f t="shared" si="11"/>
        <v>建筑类型</v>
      </c>
      <c r="R29" s="772" t="s">
        <v>17</v>
      </c>
      <c r="S29" s="773">
        <f t="shared" si="12"/>
        <v>100</v>
      </c>
      <c r="T29" s="772" t="s">
        <v>17</v>
      </c>
      <c r="U29" s="773">
        <f t="shared" si="13"/>
        <v>100</v>
      </c>
      <c r="V29" s="772" t="s">
        <v>17</v>
      </c>
      <c r="W29" s="773">
        <f t="shared" si="14"/>
        <v>100</v>
      </c>
      <c r="X29" s="1811"/>
      <c r="Y29" s="3226" t="s">
        <v>2560</v>
      </c>
      <c r="Z29" s="1812" t="str">
        <f t="shared" si="15"/>
        <v>建筑类型</v>
      </c>
      <c r="AA29" s="1809">
        <f t="shared" si="3"/>
        <v>1</v>
      </c>
      <c r="AB29" s="1809">
        <f t="shared" si="4"/>
        <v>1</v>
      </c>
      <c r="AC29" s="1809">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6"/>
      <c r="Q30" s="774" t="str">
        <f t="shared" si="11"/>
        <v>项目建筑规模</v>
      </c>
      <c r="R30" s="775" t="s">
        <v>17</v>
      </c>
      <c r="S30" s="776" t="e">
        <f t="shared" si="12"/>
        <v>#N/A</v>
      </c>
      <c r="T30" s="775" t="s">
        <v>17</v>
      </c>
      <c r="U30" s="776" t="e">
        <f t="shared" si="13"/>
        <v>#N/A</v>
      </c>
      <c r="V30" s="775" t="s">
        <v>17</v>
      </c>
      <c r="W30" s="776" t="e">
        <f t="shared" si="14"/>
        <v>#N/A</v>
      </c>
      <c r="X30" s="777"/>
      <c r="Y30" s="3226"/>
      <c r="Z30" s="778" t="str">
        <f t="shared" si="15"/>
        <v>项目建筑规模</v>
      </c>
      <c r="AA30" s="1809" t="e">
        <f t="shared" si="3"/>
        <v>#N/A</v>
      </c>
      <c r="AB30" s="1809" t="e">
        <f t="shared" si="4"/>
        <v>#N/A</v>
      </c>
      <c r="AC30" s="1809"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6"/>
      <c r="Q31" s="1808" t="str">
        <f t="shared" si="11"/>
        <v>建筑结构</v>
      </c>
      <c r="R31" s="772" t="s">
        <v>17</v>
      </c>
      <c r="S31" s="773">
        <f t="shared" si="12"/>
        <v>100</v>
      </c>
      <c r="T31" s="772" t="s">
        <v>17</v>
      </c>
      <c r="U31" s="773">
        <f t="shared" si="13"/>
        <v>100</v>
      </c>
      <c r="V31" s="772" t="s">
        <v>17</v>
      </c>
      <c r="W31" s="773">
        <f t="shared" si="14"/>
        <v>100</v>
      </c>
      <c r="X31" s="1811"/>
      <c r="Y31" s="3226"/>
      <c r="Z31" s="1812" t="str">
        <f t="shared" si="15"/>
        <v>建筑结构</v>
      </c>
      <c r="AA31" s="1809">
        <f t="shared" si="3"/>
        <v>1</v>
      </c>
      <c r="AB31" s="1809">
        <f t="shared" si="4"/>
        <v>1</v>
      </c>
      <c r="AC31" s="1809">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6"/>
      <c r="Q32" s="1808" t="str">
        <f t="shared" si="11"/>
        <v>公共部分装修</v>
      </c>
      <c r="R32" s="772" t="s">
        <v>17</v>
      </c>
      <c r="S32" s="773">
        <f t="shared" si="12"/>
        <v>100</v>
      </c>
      <c r="T32" s="772" t="s">
        <v>17</v>
      </c>
      <c r="U32" s="773">
        <f t="shared" si="13"/>
        <v>100</v>
      </c>
      <c r="V32" s="772" t="s">
        <v>17</v>
      </c>
      <c r="W32" s="773">
        <f t="shared" si="14"/>
        <v>100</v>
      </c>
      <c r="X32" s="1811"/>
      <c r="Y32" s="3226"/>
      <c r="Z32" s="1812" t="str">
        <f t="shared" si="15"/>
        <v>公共部分装修</v>
      </c>
      <c r="AA32" s="1809">
        <f t="shared" si="3"/>
        <v>1</v>
      </c>
      <c r="AB32" s="1809">
        <f t="shared" si="4"/>
        <v>1</v>
      </c>
      <c r="AC32" s="1809">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6"/>
      <c r="Q33" s="1808" t="str">
        <f t="shared" si="11"/>
        <v>成新度</v>
      </c>
      <c r="R33" s="772" t="s">
        <v>17</v>
      </c>
      <c r="S33" s="773" t="e">
        <f t="shared" si="12"/>
        <v>#N/A</v>
      </c>
      <c r="T33" s="772" t="s">
        <v>17</v>
      </c>
      <c r="U33" s="773" t="e">
        <f t="shared" si="13"/>
        <v>#N/A</v>
      </c>
      <c r="V33" s="772" t="s">
        <v>17</v>
      </c>
      <c r="W33" s="773" t="e">
        <f t="shared" si="14"/>
        <v>#N/A</v>
      </c>
      <c r="X33" s="1811"/>
      <c r="Y33" s="3226"/>
      <c r="Z33" s="1812" t="str">
        <f t="shared" si="15"/>
        <v>成新度</v>
      </c>
      <c r="AA33" s="1809" t="e">
        <f t="shared" si="3"/>
        <v>#N/A</v>
      </c>
      <c r="AB33" s="1809" t="e">
        <f t="shared" si="4"/>
        <v>#N/A</v>
      </c>
      <c r="AC33" s="1809" t="e">
        <f t="shared" si="5"/>
        <v>#N/A</v>
      </c>
    </row>
    <row r="34" spans="1:29" s="117"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6"/>
      <c r="Q34" s="1793" t="str">
        <f t="shared" si="11"/>
        <v>物业管理</v>
      </c>
      <c r="R34" s="768" t="s">
        <v>17</v>
      </c>
      <c r="S34" s="769">
        <f t="shared" si="12"/>
        <v>100</v>
      </c>
      <c r="T34" s="768" t="s">
        <v>17</v>
      </c>
      <c r="U34" s="769">
        <f t="shared" si="13"/>
        <v>100</v>
      </c>
      <c r="V34" s="768" t="s">
        <v>17</v>
      </c>
      <c r="W34" s="769">
        <f t="shared" si="14"/>
        <v>100</v>
      </c>
      <c r="X34" s="770"/>
      <c r="Y34" s="3226"/>
      <c r="Z34" s="55" t="str">
        <f t="shared" si="15"/>
        <v>物业管理</v>
      </c>
      <c r="AA34" s="771">
        <f t="shared" si="3"/>
        <v>1</v>
      </c>
      <c r="AB34" s="771">
        <f t="shared" si="4"/>
        <v>1</v>
      </c>
      <c r="AC34" s="771">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6" t="s">
        <v>2560</v>
      </c>
      <c r="Q35" s="1808" t="str">
        <f t="shared" si="11"/>
        <v>市政基础设施</v>
      </c>
      <c r="R35" s="772" t="s">
        <v>17</v>
      </c>
      <c r="S35" s="773">
        <f t="shared" si="12"/>
        <v>100</v>
      </c>
      <c r="T35" s="772" t="s">
        <v>17</v>
      </c>
      <c r="U35" s="773">
        <f t="shared" si="13"/>
        <v>100</v>
      </c>
      <c r="V35" s="772" t="s">
        <v>17</v>
      </c>
      <c r="W35" s="773">
        <f t="shared" si="14"/>
        <v>100</v>
      </c>
      <c r="X35" s="1811"/>
      <c r="Y35" s="3226" t="s">
        <v>2560</v>
      </c>
      <c r="Z35" s="1812" t="str">
        <f t="shared" si="15"/>
        <v>市政基础设施</v>
      </c>
      <c r="AA35" s="1809">
        <f t="shared" si="3"/>
        <v>1</v>
      </c>
      <c r="AB35" s="1809">
        <f t="shared" si="4"/>
        <v>1</v>
      </c>
      <c r="AC35" s="1809">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6"/>
      <c r="Q36" s="1808" t="str">
        <f t="shared" si="11"/>
        <v>内部装修</v>
      </c>
      <c r="R36" s="772" t="s">
        <v>17</v>
      </c>
      <c r="S36" s="773">
        <f t="shared" si="12"/>
        <v>100</v>
      </c>
      <c r="T36" s="772" t="s">
        <v>17</v>
      </c>
      <c r="U36" s="773">
        <f t="shared" si="13"/>
        <v>100</v>
      </c>
      <c r="V36" s="772" t="s">
        <v>17</v>
      </c>
      <c r="W36" s="773">
        <f t="shared" si="14"/>
        <v>100</v>
      </c>
      <c r="X36" s="1811"/>
      <c r="Y36" s="3226"/>
      <c r="Z36" s="1812" t="str">
        <f t="shared" si="15"/>
        <v>内部装修</v>
      </c>
      <c r="AA36" s="1809">
        <f t="shared" si="3"/>
        <v>1</v>
      </c>
      <c r="AB36" s="1809">
        <f t="shared" si="4"/>
        <v>1</v>
      </c>
      <c r="AC36" s="1809">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6"/>
      <c r="Q37" s="1808" t="str">
        <f t="shared" si="11"/>
        <v>内部装修状况</v>
      </c>
      <c r="R37" s="772" t="s">
        <v>17</v>
      </c>
      <c r="S37" s="773">
        <f t="shared" si="12"/>
        <v>100</v>
      </c>
      <c r="T37" s="772" t="s">
        <v>17</v>
      </c>
      <c r="U37" s="773">
        <f t="shared" si="13"/>
        <v>100</v>
      </c>
      <c r="V37" s="772" t="s">
        <v>17</v>
      </c>
      <c r="W37" s="773">
        <f t="shared" si="14"/>
        <v>100</v>
      </c>
      <c r="X37" s="1811"/>
      <c r="Y37" s="3226"/>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6"/>
      <c r="Q38" s="774">
        <f t="shared" si="11"/>
        <v>111</v>
      </c>
      <c r="R38" s="775" t="s">
        <v>17</v>
      </c>
      <c r="S38" s="776">
        <f t="shared" si="12"/>
        <v>100</v>
      </c>
      <c r="T38" s="775" t="s">
        <v>17</v>
      </c>
      <c r="U38" s="776">
        <f t="shared" si="13"/>
        <v>100</v>
      </c>
      <c r="V38" s="775" t="s">
        <v>17</v>
      </c>
      <c r="W38" s="776">
        <f t="shared" si="14"/>
        <v>100</v>
      </c>
      <c r="X38" s="777"/>
      <c r="Y38" s="3226"/>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6"/>
      <c r="Q39" s="1808">
        <f t="shared" si="11"/>
        <v>111</v>
      </c>
      <c r="R39" s="772" t="s">
        <v>17</v>
      </c>
      <c r="S39" s="773">
        <f t="shared" si="12"/>
        <v>100</v>
      </c>
      <c r="T39" s="772" t="s">
        <v>17</v>
      </c>
      <c r="U39" s="773">
        <f t="shared" si="13"/>
        <v>100</v>
      </c>
      <c r="V39" s="772" t="s">
        <v>17</v>
      </c>
      <c r="W39" s="773">
        <f t="shared" si="14"/>
        <v>100</v>
      </c>
      <c r="X39" s="1811"/>
      <c r="Y39" s="3226"/>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7"/>
      <c r="Q40" s="1808">
        <f t="shared" si="11"/>
        <v>111</v>
      </c>
      <c r="R40" s="772" t="s">
        <v>17</v>
      </c>
      <c r="S40" s="773">
        <f t="shared" si="12"/>
        <v>100</v>
      </c>
      <c r="T40" s="772" t="s">
        <v>17</v>
      </c>
      <c r="U40" s="773">
        <f t="shared" si="13"/>
        <v>100</v>
      </c>
      <c r="V40" s="772" t="s">
        <v>17</v>
      </c>
      <c r="W40" s="773">
        <f t="shared" si="14"/>
        <v>100</v>
      </c>
      <c r="X40" s="1811"/>
      <c r="Y40" s="3227"/>
      <c r="Z40" s="1812">
        <f t="shared" si="15"/>
        <v>111</v>
      </c>
      <c r="AA40" s="1809">
        <f t="shared" si="3"/>
        <v>1</v>
      </c>
      <c r="AB40" s="1809">
        <f t="shared" si="4"/>
        <v>1</v>
      </c>
      <c r="AC40" s="1809">
        <f t="shared" si="5"/>
        <v>1</v>
      </c>
    </row>
    <row r="41" spans="1:29" ht="15">
      <c r="A41" s="478" t="s">
        <v>2572</v>
      </c>
      <c r="B41" s="479"/>
      <c r="C41" s="1405" t="s">
        <v>1</v>
      </c>
      <c r="D41" s="1406"/>
      <c r="E41" s="1407"/>
      <c r="F41" s="1408"/>
      <c r="G41" s="1409"/>
      <c r="H41" s="1410"/>
      <c r="I41" s="1407"/>
      <c r="J41" s="1410"/>
      <c r="K41" s="781"/>
      <c r="L41" s="1141"/>
      <c r="M41" s="1142"/>
      <c r="N41" s="1129"/>
      <c r="O41" s="1142"/>
      <c r="P41" s="3219" t="str">
        <f>A41</f>
        <v>成交单价（元/平方米）</v>
      </c>
      <c r="Q41" s="3219"/>
      <c r="R41" s="3220">
        <f>E41</f>
        <v>0</v>
      </c>
      <c r="S41" s="3220"/>
      <c r="T41" s="3220">
        <f>G41</f>
        <v>0</v>
      </c>
      <c r="U41" s="3220"/>
      <c r="V41" s="3220">
        <f>I41</f>
        <v>0</v>
      </c>
      <c r="W41" s="3220"/>
      <c r="X41" s="757"/>
      <c r="Y41" s="779"/>
      <c r="Z41" s="757"/>
      <c r="AA41" s="757"/>
      <c r="AB41" s="757"/>
      <c r="AC41" s="757"/>
    </row>
    <row r="42" spans="1:29" ht="15.75" thickBot="1">
      <c r="A42" s="485" t="s">
        <v>2664</v>
      </c>
      <c r="B42" s="486"/>
      <c r="C42" s="1411" t="e">
        <f>R43</f>
        <v>#DIV/0!</v>
      </c>
      <c r="D42" s="1412"/>
      <c r="E42" s="1413" t="e">
        <f>R42</f>
        <v>#DIV/0!</v>
      </c>
      <c r="F42" s="1413"/>
      <c r="G42" s="1411" t="e">
        <f>T42</f>
        <v>#DIV/0!</v>
      </c>
      <c r="H42" s="1412"/>
      <c r="I42" s="1413" t="e">
        <f>V42</f>
        <v>#DIV/0!</v>
      </c>
      <c r="J42" s="1412"/>
      <c r="K42" s="782"/>
      <c r="L42" s="1141"/>
      <c r="M42" s="1142"/>
      <c r="N42" s="1129"/>
      <c r="O42" s="1142"/>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7"/>
      <c r="Y42" s="757"/>
      <c r="Z42" s="757"/>
      <c r="AA42" s="757"/>
      <c r="AB42" s="757"/>
      <c r="AC42" s="757"/>
    </row>
    <row r="43" spans="1:29" ht="15.75" thickBot="1">
      <c r="A43" s="491" t="s">
        <v>2665</v>
      </c>
      <c r="B43" s="492"/>
      <c r="C43" s="1415" t="e">
        <f>R43</f>
        <v>#DIV/0!</v>
      </c>
      <c r="D43" s="1415"/>
      <c r="E43" s="1415"/>
      <c r="F43" s="1415"/>
      <c r="G43" s="1415"/>
      <c r="H43" s="1415"/>
      <c r="I43" s="1415"/>
      <c r="J43" s="1415"/>
      <c r="K43" s="783"/>
      <c r="L43" s="1141"/>
      <c r="M43" s="1142"/>
      <c r="N43" s="1142"/>
      <c r="O43" s="1142"/>
      <c r="P43" s="3216" t="str">
        <f>A43</f>
        <v>估价对象XX用房的比较价值（楼面单价，元/平方米）</v>
      </c>
      <c r="Q43" s="3217"/>
      <c r="R43" s="3218" t="e">
        <f>IF(F1="售价",ROUND(AVERAGE(R42:V42),0),ROUND(AVERAGE(R42:V42),1))</f>
        <v>#DIV/0!</v>
      </c>
      <c r="S43" s="3218"/>
      <c r="T43" s="3218"/>
      <c r="U43" s="3218"/>
      <c r="V43" s="3218"/>
      <c r="W43" s="3218"/>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2669</v>
      </c>
      <c r="B51" s="757"/>
      <c r="C51" s="762"/>
      <c r="D51" s="762"/>
      <c r="E51" s="762"/>
      <c r="F51" s="763"/>
      <c r="G51" s="763"/>
      <c r="H51" s="762"/>
      <c r="I51" s="762"/>
      <c r="J51" s="762"/>
      <c r="K51" s="1158"/>
      <c r="L51" s="1159"/>
      <c r="M51" s="1157"/>
      <c r="N51" s="1157"/>
      <c r="O51" s="1157"/>
      <c r="P51" s="502"/>
      <c r="Q51" s="503"/>
    </row>
    <row r="52" spans="1:17" s="507" customFormat="1" ht="15">
      <c r="A52" s="504" t="s">
        <v>2543</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2583</v>
      </c>
      <c r="B57" s="527" t="s">
        <v>2549</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2558</v>
      </c>
      <c r="B88" s="527" t="s">
        <v>2607</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2609</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2611</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2612</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2613</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2615</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0"/>
      <c r="F1" s="2580"/>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2322</v>
      </c>
      <c r="B2" s="1416" t="e">
        <f ca="1">IF(C2="——",IF(B37="元/平方米",ROUND(C39*D3/10000,0),ROUND(F3*C39/10000,0)),IF(B37="元/平方米",ROUND(C39*D3/10000,0),ROUND(F3*C39/10000,0))-D2)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2640</v>
      </c>
      <c r="B4" s="401"/>
      <c r="C4" s="3202" t="s">
        <v>2641</v>
      </c>
      <c r="D4" s="3203"/>
      <c r="E4" s="3204" t="s">
        <v>2642</v>
      </c>
      <c r="F4" s="3205"/>
      <c r="G4" s="3202" t="s">
        <v>2643</v>
      </c>
      <c r="H4" s="3203"/>
      <c r="I4" s="3202" t="s">
        <v>2644</v>
      </c>
      <c r="J4" s="3203"/>
      <c r="K4" s="609" t="s">
        <v>2645</v>
      </c>
      <c r="L4" s="1128"/>
      <c r="M4" s="1129"/>
      <c r="N4" s="1129"/>
      <c r="O4" s="1129"/>
      <c r="P4" s="3206" t="s">
        <v>2646</v>
      </c>
      <c r="Q4" s="3207"/>
      <c r="R4" s="3189" t="s">
        <v>2642</v>
      </c>
      <c r="S4" s="3190"/>
      <c r="T4" s="3189" t="s">
        <v>2643</v>
      </c>
      <c r="U4" s="3190"/>
      <c r="V4" s="3214" t="s">
        <v>2644</v>
      </c>
      <c r="W4" s="3214"/>
      <c r="X4" s="1811"/>
      <c r="Y4" s="3189" t="s">
        <v>2646</v>
      </c>
      <c r="Z4" s="3190"/>
      <c r="AA4" s="3184" t="s">
        <v>2642</v>
      </c>
      <c r="AB4" s="3185" t="s">
        <v>2643</v>
      </c>
      <c r="AC4" s="3184" t="s">
        <v>2644</v>
      </c>
    </row>
    <row r="5" spans="1:29" ht="15">
      <c r="A5" s="403"/>
      <c r="B5" s="404"/>
      <c r="C5" s="3195" t="s">
        <v>2537</v>
      </c>
      <c r="D5" s="3196"/>
      <c r="E5" s="3193" t="s">
        <v>2538</v>
      </c>
      <c r="F5" s="3194"/>
      <c r="G5" s="3195" t="s">
        <v>2539</v>
      </c>
      <c r="H5" s="3196"/>
      <c r="I5" s="3195" t="s">
        <v>2540</v>
      </c>
      <c r="J5" s="3196"/>
      <c r="K5" s="609"/>
      <c r="L5" s="1128"/>
      <c r="M5" s="1129"/>
      <c r="N5" s="1129"/>
      <c r="O5" s="1129"/>
      <c r="P5" s="3208"/>
      <c r="Q5" s="3209"/>
      <c r="R5" s="3191"/>
      <c r="S5" s="3192"/>
      <c r="T5" s="3191"/>
      <c r="U5" s="3192"/>
      <c r="V5" s="3214"/>
      <c r="W5" s="3214"/>
      <c r="X5" s="1811"/>
      <c r="Y5" s="3191"/>
      <c r="Z5" s="3192"/>
      <c r="AA5" s="3185"/>
      <c r="AB5" s="3185"/>
      <c r="AC5" s="3185"/>
    </row>
    <row r="6" spans="1:29" ht="15.75" thickBot="1">
      <c r="A6" s="405"/>
      <c r="B6" s="406"/>
      <c r="C6" s="3197" t="s">
        <v>2541</v>
      </c>
      <c r="D6" s="3198"/>
      <c r="E6" s="3199" t="s">
        <v>2541</v>
      </c>
      <c r="F6" s="3200"/>
      <c r="G6" s="3197" t="s">
        <v>2541</v>
      </c>
      <c r="H6" s="3198"/>
      <c r="I6" s="3197" t="s">
        <v>2541</v>
      </c>
      <c r="J6" s="3198"/>
      <c r="K6" s="609" t="s">
        <v>2542</v>
      </c>
      <c r="L6" s="1128"/>
      <c r="M6" s="1129"/>
      <c r="N6" s="1129"/>
      <c r="O6" s="1129"/>
      <c r="P6" s="3210"/>
      <c r="Q6" s="3211"/>
      <c r="R6" s="3191"/>
      <c r="S6" s="3192"/>
      <c r="T6" s="3212"/>
      <c r="U6" s="3213"/>
      <c r="V6" s="3214"/>
      <c r="W6" s="3214"/>
      <c r="X6" s="1811"/>
      <c r="Y6" s="3212"/>
      <c r="Z6" s="3213"/>
      <c r="AA6" s="3186"/>
      <c r="AB6" s="3186"/>
      <c r="AC6" s="3186"/>
    </row>
    <row r="7" spans="1:29" s="117" customFormat="1" ht="15.75" thickBot="1">
      <c r="A7" s="407" t="s">
        <v>2543</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87" t="s">
        <v>2544</v>
      </c>
      <c r="Q7" s="3215"/>
      <c r="R7" s="768" t="s">
        <v>17</v>
      </c>
      <c r="S7" s="769">
        <f t="shared" ref="S7:S14" si="0">F7</f>
        <v>0</v>
      </c>
      <c r="T7" s="768" t="s">
        <v>17</v>
      </c>
      <c r="U7" s="769">
        <f t="shared" ref="U7:U14" si="1">H7</f>
        <v>0</v>
      </c>
      <c r="V7" s="768" t="s">
        <v>17</v>
      </c>
      <c r="W7" s="769">
        <f t="shared" ref="W7:W14" si="2">J7</f>
        <v>0</v>
      </c>
      <c r="X7" s="770"/>
      <c r="Y7" s="3187" t="s">
        <v>2544</v>
      </c>
      <c r="Z7" s="3188"/>
      <c r="AA7" s="771" t="e">
        <f>D7/F7</f>
        <v>#DIV/0!</v>
      </c>
      <c r="AB7" s="771" t="e">
        <f>D7/H7</f>
        <v>#DIV/0!</v>
      </c>
      <c r="AC7" s="771"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87" t="s">
        <v>2547</v>
      </c>
      <c r="Q8" s="3188"/>
      <c r="R8" s="768" t="s">
        <v>17</v>
      </c>
      <c r="S8" s="769">
        <f t="shared" si="0"/>
        <v>0</v>
      </c>
      <c r="T8" s="768" t="s">
        <v>17</v>
      </c>
      <c r="U8" s="769">
        <f t="shared" si="1"/>
        <v>0</v>
      </c>
      <c r="V8" s="768" t="s">
        <v>17</v>
      </c>
      <c r="W8" s="769">
        <f t="shared" si="2"/>
        <v>0</v>
      </c>
      <c r="X8" s="770"/>
      <c r="Y8" s="3187" t="s">
        <v>2547</v>
      </c>
      <c r="Z8" s="3188"/>
      <c r="AA8" s="771" t="e">
        <f t="shared" ref="AA8:AA36" si="3">D8/F8</f>
        <v>#DIV/0!</v>
      </c>
      <c r="AB8" s="771" t="e">
        <f t="shared" ref="AB8:AB36" si="4">D8/H8</f>
        <v>#DIV/0!</v>
      </c>
      <c r="AC8" s="771" t="e">
        <f t="shared" ref="AC8:AC36" si="5">D8/J8</f>
        <v>#DIV/0!</v>
      </c>
    </row>
    <row r="9" spans="1:29" s="117"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9" t="s">
        <v>2550</v>
      </c>
      <c r="Q9" s="1793" t="str">
        <f t="shared" ref="Q9:Q14" si="6">B9</f>
        <v>用途</v>
      </c>
      <c r="R9" s="768" t="s">
        <v>17</v>
      </c>
      <c r="S9" s="769">
        <f t="shared" si="0"/>
        <v>100</v>
      </c>
      <c r="T9" s="768" t="s">
        <v>17</v>
      </c>
      <c r="U9" s="769">
        <f t="shared" si="1"/>
        <v>100</v>
      </c>
      <c r="V9" s="768" t="s">
        <v>17</v>
      </c>
      <c r="W9" s="769">
        <f t="shared" si="2"/>
        <v>100</v>
      </c>
      <c r="X9" s="770"/>
      <c r="Y9" s="3034" t="s">
        <v>2551</v>
      </c>
      <c r="Z9" s="55" t="str">
        <f t="shared" ref="Z9:Z14" si="7">Q9</f>
        <v>用途</v>
      </c>
      <c r="AA9" s="771">
        <f t="shared" si="3"/>
        <v>1</v>
      </c>
      <c r="AB9" s="771">
        <f t="shared" si="4"/>
        <v>1</v>
      </c>
      <c r="AC9" s="771">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9"/>
      <c r="Q10" s="1793"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9"/>
      <c r="Q11" s="1793">
        <f t="shared" si="6"/>
        <v>111</v>
      </c>
      <c r="R11" s="768" t="s">
        <v>17</v>
      </c>
      <c r="S11" s="769">
        <f t="shared" si="0"/>
        <v>100</v>
      </c>
      <c r="T11" s="768" t="s">
        <v>17</v>
      </c>
      <c r="U11" s="769">
        <f t="shared" si="1"/>
        <v>100</v>
      </c>
      <c r="V11" s="768" t="s">
        <v>17</v>
      </c>
      <c r="W11" s="769">
        <f t="shared" si="2"/>
        <v>100</v>
      </c>
      <c r="X11" s="770"/>
      <c r="Y11" s="3034"/>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9"/>
      <c r="Q12" s="1793">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9"/>
      <c r="Q13" s="1793">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28.25">
      <c r="A14" s="400" t="s">
        <v>2554</v>
      </c>
      <c r="B14" s="628" t="s">
        <v>2704</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1" t="s">
        <v>2555</v>
      </c>
      <c r="Q14" s="1808" t="str">
        <f t="shared" si="6"/>
        <v>交通便捷度</v>
      </c>
      <c r="R14" s="772" t="s">
        <v>17</v>
      </c>
      <c r="S14" s="773">
        <f t="shared" si="0"/>
        <v>100</v>
      </c>
      <c r="T14" s="772" t="s">
        <v>17</v>
      </c>
      <c r="U14" s="773">
        <f t="shared" si="1"/>
        <v>100</v>
      </c>
      <c r="V14" s="772" t="s">
        <v>17</v>
      </c>
      <c r="W14" s="773">
        <f t="shared" si="2"/>
        <v>100</v>
      </c>
      <c r="X14" s="1811"/>
      <c r="Y14" s="3221" t="s">
        <v>2555</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22"/>
      <c r="Q15" s="1808"/>
      <c r="R15" s="772"/>
      <c r="S15" s="773"/>
      <c r="T15" s="772"/>
      <c r="U15" s="773"/>
      <c r="V15" s="772"/>
      <c r="W15" s="773"/>
      <c r="X15" s="1811"/>
      <c r="Y15" s="3222"/>
      <c r="Z15" s="1812"/>
      <c r="AA15" s="1809">
        <v>1</v>
      </c>
      <c r="AB15" s="1809">
        <v>1</v>
      </c>
      <c r="AC15" s="1809">
        <v>1</v>
      </c>
    </row>
    <row r="16" spans="1:29" ht="199.5">
      <c r="A16" s="403"/>
      <c r="B16" s="630" t="s">
        <v>2683</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2"/>
      <c r="Q16" s="1808" t="str">
        <f>B16</f>
        <v>公共配套设施</v>
      </c>
      <c r="R16" s="772" t="s">
        <v>17</v>
      </c>
      <c r="S16" s="773">
        <f>F16</f>
        <v>100</v>
      </c>
      <c r="T16" s="772" t="s">
        <v>17</v>
      </c>
      <c r="U16" s="773">
        <f>H16</f>
        <v>100</v>
      </c>
      <c r="V16" s="772" t="s">
        <v>17</v>
      </c>
      <c r="W16" s="773">
        <f>J16</f>
        <v>100</v>
      </c>
      <c r="X16" s="1811"/>
      <c r="Y16" s="3222"/>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22"/>
      <c r="Q17" s="1808"/>
      <c r="R17" s="772"/>
      <c r="S17" s="773"/>
      <c r="T17" s="772"/>
      <c r="U17" s="773"/>
      <c r="V17" s="772"/>
      <c r="W17" s="773"/>
      <c r="X17" s="1811"/>
      <c r="Y17" s="3222"/>
      <c r="Z17" s="1812"/>
      <c r="AA17" s="1809">
        <v>1</v>
      </c>
      <c r="AB17" s="1809">
        <v>1</v>
      </c>
      <c r="AC17" s="1809">
        <v>1</v>
      </c>
    </row>
    <row r="18" spans="1:29" ht="42.75">
      <c r="A18" s="403"/>
      <c r="B18" s="632" t="s">
        <v>2684</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2"/>
      <c r="Q18" s="1808" t="str">
        <f>B18</f>
        <v>基础设施水平</v>
      </c>
      <c r="R18" s="772" t="s">
        <v>17</v>
      </c>
      <c r="S18" s="773">
        <f>F18</f>
        <v>100</v>
      </c>
      <c r="T18" s="772" t="s">
        <v>17</v>
      </c>
      <c r="U18" s="773">
        <f>H18</f>
        <v>100</v>
      </c>
      <c r="V18" s="772" t="s">
        <v>17</v>
      </c>
      <c r="W18" s="773">
        <f>J18</f>
        <v>100</v>
      </c>
      <c r="X18" s="1811"/>
      <c r="Y18" s="3222"/>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22"/>
      <c r="Q19" s="1808"/>
      <c r="R19" s="772"/>
      <c r="S19" s="773"/>
      <c r="T19" s="772"/>
      <c r="U19" s="773"/>
      <c r="V19" s="772"/>
      <c r="W19" s="773"/>
      <c r="X19" s="1811"/>
      <c r="Y19" s="3222"/>
      <c r="Z19" s="1812"/>
      <c r="AA19" s="1809">
        <v>1</v>
      </c>
      <c r="AB19" s="1809">
        <v>1</v>
      </c>
      <c r="AC19" s="1809">
        <v>1</v>
      </c>
    </row>
    <row r="20" spans="1:29" ht="85.5">
      <c r="A20" s="403"/>
      <c r="B20" s="630" t="s">
        <v>2705</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2"/>
      <c r="Q20" s="1808" t="str">
        <f>B20</f>
        <v>自然及人文环境</v>
      </c>
      <c r="R20" s="772" t="s">
        <v>17</v>
      </c>
      <c r="S20" s="773">
        <f>F20</f>
        <v>100</v>
      </c>
      <c r="T20" s="772" t="s">
        <v>17</v>
      </c>
      <c r="U20" s="773">
        <f>H20</f>
        <v>100</v>
      </c>
      <c r="V20" s="772" t="s">
        <v>17</v>
      </c>
      <c r="W20" s="773">
        <f>J20</f>
        <v>100</v>
      </c>
      <c r="X20" s="1811"/>
      <c r="Y20" s="3222"/>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22"/>
      <c r="Q21" s="1808"/>
      <c r="R21" s="772"/>
      <c r="S21" s="773"/>
      <c r="T21" s="772"/>
      <c r="U21" s="773"/>
      <c r="V21" s="772"/>
      <c r="W21" s="773"/>
      <c r="X21" s="1811"/>
      <c r="Y21" s="3222"/>
      <c r="Z21" s="1812"/>
      <c r="AA21" s="1809">
        <v>1</v>
      </c>
      <c r="AB21" s="1809">
        <v>1</v>
      </c>
      <c r="AC21" s="1809">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2"/>
      <c r="Q22" s="1808" t="str">
        <f>B22</f>
        <v>楼层</v>
      </c>
      <c r="R22" s="772" t="s">
        <v>17</v>
      </c>
      <c r="S22" s="773">
        <f>F22</f>
        <v>100</v>
      </c>
      <c r="T22" s="772" t="s">
        <v>17</v>
      </c>
      <c r="U22" s="773">
        <f>H22</f>
        <v>100</v>
      </c>
      <c r="V22" s="772" t="s">
        <v>17</v>
      </c>
      <c r="W22" s="773">
        <f>J22</f>
        <v>100</v>
      </c>
      <c r="X22" s="1811"/>
      <c r="Y22" s="322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2"/>
      <c r="Q23" s="1808">
        <f>B23</f>
        <v>111</v>
      </c>
      <c r="R23" s="772" t="s">
        <v>17</v>
      </c>
      <c r="S23" s="773">
        <f>F23</f>
        <v>100</v>
      </c>
      <c r="T23" s="772" t="s">
        <v>17</v>
      </c>
      <c r="U23" s="773">
        <f>H23</f>
        <v>100</v>
      </c>
      <c r="V23" s="772" t="s">
        <v>17</v>
      </c>
      <c r="W23" s="773">
        <f>J23</f>
        <v>100</v>
      </c>
      <c r="X23" s="1811"/>
      <c r="Y23" s="322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2"/>
      <c r="Q24" s="1808">
        <f t="shared" ref="Q24:Q36" si="11">B24</f>
        <v>111</v>
      </c>
      <c r="R24" s="772" t="s">
        <v>17</v>
      </c>
      <c r="S24" s="773">
        <f>F24</f>
        <v>100</v>
      </c>
      <c r="T24" s="772" t="s">
        <v>17</v>
      </c>
      <c r="U24" s="773">
        <f>H24</f>
        <v>100</v>
      </c>
      <c r="V24" s="772" t="s">
        <v>17</v>
      </c>
      <c r="W24" s="773">
        <f>J24</f>
        <v>100</v>
      </c>
      <c r="X24" s="1811"/>
      <c r="Y24" s="3222"/>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2"/>
      <c r="Q25" s="1793">
        <f t="shared" si="11"/>
        <v>111</v>
      </c>
      <c r="R25" s="768" t="s">
        <v>17</v>
      </c>
      <c r="S25" s="769">
        <f>F25</f>
        <v>100</v>
      </c>
      <c r="T25" s="768" t="s">
        <v>17</v>
      </c>
      <c r="U25" s="769">
        <f>H25</f>
        <v>100</v>
      </c>
      <c r="V25" s="768" t="s">
        <v>17</v>
      </c>
      <c r="W25" s="769">
        <f>J25</f>
        <v>100</v>
      </c>
      <c r="X25" s="770"/>
      <c r="Y25" s="3222"/>
      <c r="Z25" s="55">
        <f>Q25</f>
        <v>111</v>
      </c>
      <c r="AA25" s="1809">
        <f>D25/F25</f>
        <v>1</v>
      </c>
      <c r="AB25" s="1809">
        <f>D25/H25</f>
        <v>1</v>
      </c>
      <c r="AC25" s="1809">
        <f>D25/J25</f>
        <v>1</v>
      </c>
    </row>
    <row r="26" spans="1:29" ht="28.5">
      <c r="A26" s="651" t="s">
        <v>2558</v>
      </c>
      <c r="B26" s="70" t="s">
        <v>2707</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5" t="s">
        <v>2560</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26" t="s">
        <v>2560</v>
      </c>
      <c r="Z26" s="1812" t="str">
        <f t="shared" ref="Z26:Z36" si="15">Q26</f>
        <v>配套类型</v>
      </c>
      <c r="AA26" s="1809">
        <f t="shared" si="3"/>
        <v>1</v>
      </c>
      <c r="AB26" s="1809">
        <f t="shared" si="4"/>
        <v>1</v>
      </c>
      <c r="AC26" s="1809">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6"/>
      <c r="Q27" s="774" t="str">
        <f t="shared" si="11"/>
        <v>项目停车位配比</v>
      </c>
      <c r="R27" s="775" t="s">
        <v>17</v>
      </c>
      <c r="S27" s="776">
        <f t="shared" si="12"/>
        <v>100</v>
      </c>
      <c r="T27" s="775" t="s">
        <v>17</v>
      </c>
      <c r="U27" s="776">
        <f t="shared" si="13"/>
        <v>100</v>
      </c>
      <c r="V27" s="775" t="s">
        <v>17</v>
      </c>
      <c r="W27" s="776">
        <f t="shared" si="14"/>
        <v>100</v>
      </c>
      <c r="X27" s="777"/>
      <c r="Y27" s="3226"/>
      <c r="Z27" s="778" t="str">
        <f t="shared" si="15"/>
        <v>项目停车位配比</v>
      </c>
      <c r="AA27" s="1809">
        <f t="shared" si="3"/>
        <v>1</v>
      </c>
      <c r="AB27" s="1809">
        <f t="shared" si="4"/>
        <v>1</v>
      </c>
      <c r="AC27" s="1809">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6"/>
      <c r="Q28" s="1808" t="str">
        <f t="shared" si="11"/>
        <v>公共部分装修</v>
      </c>
      <c r="R28" s="772" t="s">
        <v>17</v>
      </c>
      <c r="S28" s="773">
        <f t="shared" si="12"/>
        <v>100</v>
      </c>
      <c r="T28" s="772" t="s">
        <v>17</v>
      </c>
      <c r="U28" s="773">
        <f t="shared" si="13"/>
        <v>100</v>
      </c>
      <c r="V28" s="772" t="s">
        <v>17</v>
      </c>
      <c r="W28" s="773">
        <f t="shared" si="14"/>
        <v>100</v>
      </c>
      <c r="X28" s="1811"/>
      <c r="Y28" s="3226"/>
      <c r="Z28" s="1812" t="str">
        <f t="shared" si="15"/>
        <v>公共部分装修</v>
      </c>
      <c r="AA28" s="1809">
        <f t="shared" si="3"/>
        <v>1</v>
      </c>
      <c r="AB28" s="1809">
        <f t="shared" si="4"/>
        <v>1</v>
      </c>
      <c r="AC28" s="1809">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6"/>
      <c r="Q29" s="1808" t="str">
        <f t="shared" si="11"/>
        <v>成新率</v>
      </c>
      <c r="R29" s="772" t="s">
        <v>17</v>
      </c>
      <c r="S29" s="773" t="e">
        <f t="shared" si="12"/>
        <v>#N/A</v>
      </c>
      <c r="T29" s="772" t="s">
        <v>17</v>
      </c>
      <c r="U29" s="773" t="e">
        <f t="shared" si="13"/>
        <v>#N/A</v>
      </c>
      <c r="V29" s="772" t="s">
        <v>17</v>
      </c>
      <c r="W29" s="773" t="e">
        <f t="shared" si="14"/>
        <v>#N/A</v>
      </c>
      <c r="X29" s="1811"/>
      <c r="Y29" s="3226"/>
      <c r="Z29" s="1812" t="str">
        <f t="shared" si="15"/>
        <v>成新率</v>
      </c>
      <c r="AA29" s="1809" t="e">
        <f t="shared" si="3"/>
        <v>#N/A</v>
      </c>
      <c r="AB29" s="1809" t="e">
        <f t="shared" si="4"/>
        <v>#N/A</v>
      </c>
      <c r="AC29" s="1809"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6"/>
      <c r="Q30" s="1808" t="str">
        <f t="shared" si="11"/>
        <v>物业等级</v>
      </c>
      <c r="R30" s="772" t="s">
        <v>17</v>
      </c>
      <c r="S30" s="773">
        <f t="shared" si="12"/>
        <v>100</v>
      </c>
      <c r="T30" s="772" t="s">
        <v>17</v>
      </c>
      <c r="U30" s="773">
        <f t="shared" si="13"/>
        <v>100</v>
      </c>
      <c r="V30" s="772" t="s">
        <v>17</v>
      </c>
      <c r="W30" s="773">
        <f t="shared" si="14"/>
        <v>100</v>
      </c>
      <c r="X30" s="1811"/>
      <c r="Y30" s="3226"/>
      <c r="Z30" s="1812" t="str">
        <f t="shared" si="15"/>
        <v>物业等级</v>
      </c>
      <c r="AA30" s="1809">
        <f t="shared" si="3"/>
        <v>1</v>
      </c>
      <c r="AB30" s="1809">
        <f t="shared" si="4"/>
        <v>1</v>
      </c>
      <c r="AC30" s="1809">
        <f t="shared" si="5"/>
        <v>1</v>
      </c>
    </row>
    <row r="31" spans="1:29" s="117"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6"/>
      <c r="Q31" s="1793" t="str">
        <f t="shared" si="11"/>
        <v>停车位面积</v>
      </c>
      <c r="R31" s="768" t="s">
        <v>17</v>
      </c>
      <c r="S31" s="769" t="e">
        <f t="shared" si="12"/>
        <v>#N/A</v>
      </c>
      <c r="T31" s="768" t="s">
        <v>17</v>
      </c>
      <c r="U31" s="769" t="e">
        <f t="shared" si="13"/>
        <v>#N/A</v>
      </c>
      <c r="V31" s="768" t="s">
        <v>17</v>
      </c>
      <c r="W31" s="769" t="e">
        <f t="shared" si="14"/>
        <v>#N/A</v>
      </c>
      <c r="X31" s="770"/>
      <c r="Y31" s="3226"/>
      <c r="Z31" s="55" t="str">
        <f t="shared" si="15"/>
        <v>停车位面积</v>
      </c>
      <c r="AA31" s="771" t="e">
        <f t="shared" si="3"/>
        <v>#N/A</v>
      </c>
      <c r="AB31" s="771" t="e">
        <f t="shared" si="4"/>
        <v>#N/A</v>
      </c>
      <c r="AC31" s="771"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6" t="s">
        <v>2560</v>
      </c>
      <c r="Q32" s="1808" t="str">
        <f t="shared" si="11"/>
        <v>车位类型</v>
      </c>
      <c r="R32" s="772" t="s">
        <v>17</v>
      </c>
      <c r="S32" s="773">
        <f t="shared" si="12"/>
        <v>100</v>
      </c>
      <c r="T32" s="772" t="s">
        <v>17</v>
      </c>
      <c r="U32" s="773">
        <f t="shared" si="13"/>
        <v>100</v>
      </c>
      <c r="V32" s="772" t="s">
        <v>17</v>
      </c>
      <c r="W32" s="773">
        <f t="shared" si="14"/>
        <v>100</v>
      </c>
      <c r="X32" s="1811"/>
      <c r="Y32" s="3226" t="s">
        <v>2560</v>
      </c>
      <c r="Z32" s="1812" t="str">
        <f t="shared" si="15"/>
        <v>车位类型</v>
      </c>
      <c r="AA32" s="1809">
        <f t="shared" si="3"/>
        <v>1</v>
      </c>
      <c r="AB32" s="1809">
        <f t="shared" si="4"/>
        <v>1</v>
      </c>
      <c r="AC32" s="1809">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6"/>
      <c r="Q33" s="1808" t="str">
        <f t="shared" si="11"/>
        <v>是否直接入户</v>
      </c>
      <c r="R33" s="772" t="s">
        <v>17</v>
      </c>
      <c r="S33" s="773">
        <f t="shared" si="12"/>
        <v>100</v>
      </c>
      <c r="T33" s="772" t="s">
        <v>17</v>
      </c>
      <c r="U33" s="773">
        <f t="shared" si="13"/>
        <v>100</v>
      </c>
      <c r="V33" s="772" t="s">
        <v>17</v>
      </c>
      <c r="W33" s="773">
        <f t="shared" si="14"/>
        <v>100</v>
      </c>
      <c r="X33" s="1811"/>
      <c r="Y33" s="3226"/>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6"/>
      <c r="Q34" s="1808">
        <f t="shared" si="11"/>
        <v>111</v>
      </c>
      <c r="R34" s="772" t="s">
        <v>17</v>
      </c>
      <c r="S34" s="773">
        <f t="shared" si="12"/>
        <v>100</v>
      </c>
      <c r="T34" s="772" t="s">
        <v>17</v>
      </c>
      <c r="U34" s="773">
        <f t="shared" si="13"/>
        <v>100</v>
      </c>
      <c r="V34" s="772" t="s">
        <v>17</v>
      </c>
      <c r="W34" s="773">
        <f t="shared" si="14"/>
        <v>100</v>
      </c>
      <c r="X34" s="1811"/>
      <c r="Y34" s="3226"/>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6"/>
      <c r="Q35" s="774">
        <f t="shared" si="11"/>
        <v>111</v>
      </c>
      <c r="R35" s="775" t="s">
        <v>17</v>
      </c>
      <c r="S35" s="776">
        <f t="shared" si="12"/>
        <v>100</v>
      </c>
      <c r="T35" s="775" t="s">
        <v>17</v>
      </c>
      <c r="U35" s="776">
        <f t="shared" si="13"/>
        <v>100</v>
      </c>
      <c r="V35" s="775" t="s">
        <v>17</v>
      </c>
      <c r="W35" s="776">
        <f t="shared" si="14"/>
        <v>100</v>
      </c>
      <c r="X35" s="777"/>
      <c r="Y35" s="3226"/>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6"/>
      <c r="Q36" s="1808">
        <f t="shared" si="11"/>
        <v>111</v>
      </c>
      <c r="R36" s="772" t="s">
        <v>17</v>
      </c>
      <c r="S36" s="773">
        <f t="shared" si="12"/>
        <v>100</v>
      </c>
      <c r="T36" s="772" t="s">
        <v>17</v>
      </c>
      <c r="U36" s="773">
        <f t="shared" si="13"/>
        <v>100</v>
      </c>
      <c r="V36" s="772" t="s">
        <v>17</v>
      </c>
      <c r="W36" s="773">
        <f t="shared" si="14"/>
        <v>100</v>
      </c>
      <c r="X36" s="1811"/>
      <c r="Y36" s="3226"/>
      <c r="Z36" s="1812">
        <f t="shared" si="15"/>
        <v>111</v>
      </c>
      <c r="AA36" s="1809">
        <f t="shared" si="3"/>
        <v>1</v>
      </c>
      <c r="AB36" s="1809">
        <f t="shared" si="4"/>
        <v>1</v>
      </c>
      <c r="AC36" s="1809">
        <f t="shared" si="5"/>
        <v>1</v>
      </c>
    </row>
    <row r="37" spans="1:29" ht="15">
      <c r="A37" s="478" t="s">
        <v>2715</v>
      </c>
      <c r="B37" s="2691" t="s">
        <v>2716</v>
      </c>
      <c r="C37" s="1405" t="s">
        <v>1</v>
      </c>
      <c r="D37" s="1406"/>
      <c r="E37" s="1407"/>
      <c r="F37" s="1408"/>
      <c r="G37" s="1409"/>
      <c r="H37" s="1410"/>
      <c r="I37" s="1407"/>
      <c r="J37" s="1410"/>
      <c r="K37" s="618"/>
      <c r="L37" s="1141"/>
      <c r="M37" s="1142"/>
      <c r="N37" s="1129"/>
      <c r="O37" s="1142"/>
      <c r="P37" s="3219" t="str">
        <f>A37</f>
        <v>成交单价</v>
      </c>
      <c r="Q37" s="3219"/>
      <c r="R37" s="3220">
        <f>E37</f>
        <v>0</v>
      </c>
      <c r="S37" s="3220"/>
      <c r="T37" s="3220">
        <f>G37</f>
        <v>0</v>
      </c>
      <c r="U37" s="3220"/>
      <c r="V37" s="3220">
        <f>I37</f>
        <v>0</v>
      </c>
      <c r="W37" s="3220"/>
      <c r="X37" s="757"/>
      <c r="Y37" s="779"/>
      <c r="Z37" s="757"/>
      <c r="AA37" s="757"/>
      <c r="AB37" s="757"/>
      <c r="AC37" s="757"/>
    </row>
    <row r="38" spans="1:29" ht="15.75" thickBot="1">
      <c r="A38" s="485" t="s">
        <v>2717</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7"/>
      <c r="Y38" s="757"/>
      <c r="Z38" s="757"/>
      <c r="AA38" s="757"/>
      <c r="AB38" s="757"/>
      <c r="AC38" s="757"/>
    </row>
    <row r="39" spans="1:29" ht="15.75" thickBot="1">
      <c r="A39" s="491" t="s">
        <v>2718</v>
      </c>
      <c r="B39" s="492"/>
      <c r="C39" s="1415" t="e">
        <f>R39</f>
        <v>#DIV/0!</v>
      </c>
      <c r="D39" s="1415"/>
      <c r="E39" s="1415"/>
      <c r="F39" s="1415"/>
      <c r="G39" s="1415"/>
      <c r="H39" s="1415"/>
      <c r="I39" s="1415"/>
      <c r="J39" s="1415"/>
      <c r="K39" s="620"/>
      <c r="L39" s="1141"/>
      <c r="M39" s="1142"/>
      <c r="N39" s="1142"/>
      <c r="O39" s="1142"/>
      <c r="P39" s="3216" t="str">
        <f>A39</f>
        <v>估价对象XX用房的比较价值（楼面单价，元/平方米）</v>
      </c>
      <c r="Q39" s="3217"/>
      <c r="R39" s="3218" t="e">
        <f>IF(F1="售价",ROUND(AVERAGE(R38:V38),0),ROUND(AVERAGE(R38:V38),1))</f>
        <v>#DIV/0!</v>
      </c>
      <c r="S39" s="3218"/>
      <c r="T39" s="3218"/>
      <c r="U39" s="3218"/>
      <c r="V39" s="3218"/>
      <c r="W39" s="3218"/>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2580</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2545</v>
      </c>
      <c r="B51" s="509"/>
      <c r="C51" s="521" t="s">
        <v>2647</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2583</v>
      </c>
      <c r="B53" s="527" t="s">
        <v>2549</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2598</v>
      </c>
      <c r="C65" s="577" t="s">
        <v>2592</v>
      </c>
      <c r="D65" s="577" t="s">
        <v>2593</v>
      </c>
      <c r="E65" s="577" t="s">
        <v>2594</v>
      </c>
      <c r="F65" s="577" t="s">
        <v>2595</v>
      </c>
      <c r="G65" s="577" t="s">
        <v>2596</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2684</v>
      </c>
      <c r="C67" s="659" t="s">
        <v>2670</v>
      </c>
      <c r="D67" s="659" t="s">
        <v>2671</v>
      </c>
      <c r="E67" s="659" t="s">
        <v>2672</v>
      </c>
      <c r="F67" s="659" t="s">
        <v>2673</v>
      </c>
      <c r="G67" s="659" t="s">
        <v>2674</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2604</v>
      </c>
      <c r="C69" s="577" t="s">
        <v>2592</v>
      </c>
      <c r="D69" s="577" t="s">
        <v>2593</v>
      </c>
      <c r="E69" s="577" t="s">
        <v>2594</v>
      </c>
      <c r="F69" s="577" t="s">
        <v>2595</v>
      </c>
      <c r="G69" s="577" t="s">
        <v>2596</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2558</v>
      </c>
      <c r="B79" s="527" t="s">
        <v>2725</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2611</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IF(C2="——",ROUND(C37*D3/10000,0),ROUND(C37*D3/10000,0)-D2)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IF(C2="——",C37,ROUND(B2*10000/D3,0))</f>
        <v>#DIV/0!</v>
      </c>
      <c r="C3" s="399" t="s">
        <v>2639</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202" t="s">
        <v>2641</v>
      </c>
      <c r="D4" s="3203"/>
      <c r="E4" s="3204" t="s">
        <v>2642</v>
      </c>
      <c r="F4" s="3205"/>
      <c r="G4" s="3202" t="s">
        <v>2643</v>
      </c>
      <c r="H4" s="3203"/>
      <c r="I4" s="3202" t="s">
        <v>2644</v>
      </c>
      <c r="J4" s="3203"/>
      <c r="K4" s="609" t="s">
        <v>2645</v>
      </c>
      <c r="L4" s="1128"/>
      <c r="M4" s="1129"/>
      <c r="N4" s="1129"/>
      <c r="O4" s="1129"/>
      <c r="P4" s="3206" t="s">
        <v>2646</v>
      </c>
      <c r="Q4" s="3207"/>
      <c r="R4" s="3189" t="s">
        <v>2642</v>
      </c>
      <c r="S4" s="3190"/>
      <c r="T4" s="3189" t="s">
        <v>2643</v>
      </c>
      <c r="U4" s="3190"/>
      <c r="V4" s="3214" t="s">
        <v>2644</v>
      </c>
      <c r="W4" s="3214"/>
      <c r="X4" s="1811"/>
      <c r="Y4" s="3189" t="s">
        <v>2646</v>
      </c>
      <c r="Z4" s="3190"/>
      <c r="AA4" s="3184" t="s">
        <v>2642</v>
      </c>
      <c r="AB4" s="3185" t="s">
        <v>2643</v>
      </c>
      <c r="AC4" s="3184" t="s">
        <v>2644</v>
      </c>
    </row>
    <row r="5" spans="1:29" ht="15">
      <c r="A5" s="403"/>
      <c r="B5" s="404"/>
      <c r="C5" s="3195" t="s">
        <v>2537</v>
      </c>
      <c r="D5" s="3196"/>
      <c r="E5" s="3193" t="s">
        <v>2538</v>
      </c>
      <c r="F5" s="3194"/>
      <c r="G5" s="3195" t="s">
        <v>2539</v>
      </c>
      <c r="H5" s="3196"/>
      <c r="I5" s="3195" t="s">
        <v>2540</v>
      </c>
      <c r="J5" s="3196"/>
      <c r="K5" s="609"/>
      <c r="L5" s="1128"/>
      <c r="M5" s="1129"/>
      <c r="N5" s="1129"/>
      <c r="O5" s="1129"/>
      <c r="P5" s="3208"/>
      <c r="Q5" s="3209"/>
      <c r="R5" s="3191"/>
      <c r="S5" s="3192"/>
      <c r="T5" s="3191"/>
      <c r="U5" s="3192"/>
      <c r="V5" s="3214"/>
      <c r="W5" s="3214"/>
      <c r="X5" s="1811"/>
      <c r="Y5" s="3191"/>
      <c r="Z5" s="3192"/>
      <c r="AA5" s="3185"/>
      <c r="AB5" s="3185"/>
      <c r="AC5" s="3185"/>
    </row>
    <row r="6" spans="1:29" ht="15.75" thickBot="1">
      <c r="A6" s="405"/>
      <c r="B6" s="406"/>
      <c r="C6" s="3197" t="s">
        <v>2541</v>
      </c>
      <c r="D6" s="3198"/>
      <c r="E6" s="3199" t="s">
        <v>2541</v>
      </c>
      <c r="F6" s="3200"/>
      <c r="G6" s="3197" t="s">
        <v>2541</v>
      </c>
      <c r="H6" s="3198"/>
      <c r="I6" s="3197" t="s">
        <v>2541</v>
      </c>
      <c r="J6" s="3198"/>
      <c r="K6" s="609" t="s">
        <v>2542</v>
      </c>
      <c r="L6" s="1128"/>
      <c r="M6" s="1129"/>
      <c r="N6" s="1129"/>
      <c r="O6" s="1129"/>
      <c r="P6" s="3210"/>
      <c r="Q6" s="3211"/>
      <c r="R6" s="3191"/>
      <c r="S6" s="3192"/>
      <c r="T6" s="3212"/>
      <c r="U6" s="3213"/>
      <c r="V6" s="3214"/>
      <c r="W6" s="3214"/>
      <c r="X6" s="1811"/>
      <c r="Y6" s="3212"/>
      <c r="Z6" s="3213"/>
      <c r="AA6" s="3186"/>
      <c r="AB6" s="3186"/>
      <c r="AC6" s="3186"/>
    </row>
    <row r="7" spans="1:29" s="117" customFormat="1" ht="15.75" thickBot="1">
      <c r="A7" s="407" t="s">
        <v>2543</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187" t="s">
        <v>2544</v>
      </c>
      <c r="Q7" s="3215"/>
      <c r="R7" s="768" t="s">
        <v>17</v>
      </c>
      <c r="S7" s="769">
        <f t="shared" ref="S7:S14" si="0">F7</f>
        <v>0</v>
      </c>
      <c r="T7" s="768" t="s">
        <v>17</v>
      </c>
      <c r="U7" s="769">
        <f t="shared" ref="U7:U14" si="1">H7</f>
        <v>0</v>
      </c>
      <c r="V7" s="768" t="s">
        <v>17</v>
      </c>
      <c r="W7" s="769">
        <f t="shared" ref="W7:W14" si="2">J7</f>
        <v>0</v>
      </c>
      <c r="X7" s="770"/>
      <c r="Y7" s="3187" t="s">
        <v>2544</v>
      </c>
      <c r="Z7" s="3188"/>
      <c r="AA7" s="771" t="e">
        <f>D7/F7</f>
        <v>#DIV/0!</v>
      </c>
      <c r="AB7" s="771" t="e">
        <f>D7/H7</f>
        <v>#DIV/0!</v>
      </c>
      <c r="AC7" s="771"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87" t="s">
        <v>2547</v>
      </c>
      <c r="Q8" s="3188"/>
      <c r="R8" s="768" t="s">
        <v>17</v>
      </c>
      <c r="S8" s="769">
        <f t="shared" si="0"/>
        <v>0</v>
      </c>
      <c r="T8" s="768" t="s">
        <v>17</v>
      </c>
      <c r="U8" s="769">
        <f t="shared" si="1"/>
        <v>0</v>
      </c>
      <c r="V8" s="768" t="s">
        <v>17</v>
      </c>
      <c r="W8" s="769">
        <f t="shared" si="2"/>
        <v>0</v>
      </c>
      <c r="X8" s="770"/>
      <c r="Y8" s="3187" t="s">
        <v>2547</v>
      </c>
      <c r="Z8" s="3188"/>
      <c r="AA8" s="771" t="e">
        <f t="shared" ref="AA8:AA34" si="3">D8/F8</f>
        <v>#DIV/0!</v>
      </c>
      <c r="AB8" s="771" t="e">
        <f t="shared" ref="AB8:AB34" si="4">D8/H8</f>
        <v>#DIV/0!</v>
      </c>
      <c r="AC8" s="771" t="e">
        <f t="shared" ref="AC8:AC34" si="5">D8/J8</f>
        <v>#DIV/0!</v>
      </c>
    </row>
    <row r="9" spans="1:29" s="117"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9" t="s">
        <v>2550</v>
      </c>
      <c r="Q9" s="1793" t="str">
        <f t="shared" ref="Q9:Q14" si="6">B9</f>
        <v>用途</v>
      </c>
      <c r="R9" s="768" t="s">
        <v>17</v>
      </c>
      <c r="S9" s="769">
        <f t="shared" si="0"/>
        <v>100</v>
      </c>
      <c r="T9" s="768" t="s">
        <v>17</v>
      </c>
      <c r="U9" s="769">
        <f t="shared" si="1"/>
        <v>100</v>
      </c>
      <c r="V9" s="768" t="s">
        <v>17</v>
      </c>
      <c r="W9" s="769">
        <f t="shared" si="2"/>
        <v>100</v>
      </c>
      <c r="X9" s="770"/>
      <c r="Y9" s="3034" t="s">
        <v>2551</v>
      </c>
      <c r="Z9" s="55" t="str">
        <f t="shared" ref="Z9:Z14" si="7">Q9</f>
        <v>用途</v>
      </c>
      <c r="AA9" s="771">
        <f t="shared" si="3"/>
        <v>1</v>
      </c>
      <c r="AB9" s="771">
        <f t="shared" si="4"/>
        <v>1</v>
      </c>
      <c r="AC9" s="771">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9"/>
      <c r="Q10" s="1793" t="str">
        <f t="shared" si="6"/>
        <v>土地使用年限（年）</v>
      </c>
      <c r="R10" s="768" t="s">
        <v>17</v>
      </c>
      <c r="S10" s="769">
        <f t="shared" si="0"/>
        <v>100</v>
      </c>
      <c r="T10" s="768" t="s">
        <v>17</v>
      </c>
      <c r="U10" s="769">
        <f t="shared" si="1"/>
        <v>100</v>
      </c>
      <c r="V10" s="768" t="s">
        <v>17</v>
      </c>
      <c r="W10" s="769">
        <f t="shared" si="2"/>
        <v>100</v>
      </c>
      <c r="X10" s="770"/>
      <c r="Y10" s="3034"/>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9"/>
      <c r="Q11" s="1793">
        <f t="shared" si="6"/>
        <v>111</v>
      </c>
      <c r="R11" s="768" t="s">
        <v>17</v>
      </c>
      <c r="S11" s="769">
        <f t="shared" si="0"/>
        <v>100</v>
      </c>
      <c r="T11" s="768" t="s">
        <v>17</v>
      </c>
      <c r="U11" s="769">
        <f t="shared" si="1"/>
        <v>100</v>
      </c>
      <c r="V11" s="768" t="s">
        <v>17</v>
      </c>
      <c r="W11" s="769">
        <f t="shared" si="2"/>
        <v>100</v>
      </c>
      <c r="X11" s="770"/>
      <c r="Y11" s="3034"/>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9"/>
      <c r="Q12" s="1793">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19"/>
      <c r="Q13" s="1793">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28.25">
      <c r="A14" s="439" t="s">
        <v>2554</v>
      </c>
      <c r="B14" s="69" t="s">
        <v>2704</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1" t="s">
        <v>2555</v>
      </c>
      <c r="Q14" s="1808" t="str">
        <f t="shared" si="6"/>
        <v>交通便捷度</v>
      </c>
      <c r="R14" s="772" t="s">
        <v>17</v>
      </c>
      <c r="S14" s="773">
        <f t="shared" si="0"/>
        <v>100</v>
      </c>
      <c r="T14" s="772" t="s">
        <v>17</v>
      </c>
      <c r="U14" s="773">
        <f t="shared" si="1"/>
        <v>100</v>
      </c>
      <c r="V14" s="772" t="s">
        <v>17</v>
      </c>
      <c r="W14" s="773">
        <f t="shared" si="2"/>
        <v>100</v>
      </c>
      <c r="X14" s="1811"/>
      <c r="Y14" s="3221" t="s">
        <v>2555</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22"/>
      <c r="Q15" s="1808"/>
      <c r="R15" s="772"/>
      <c r="S15" s="773"/>
      <c r="T15" s="772"/>
      <c r="U15" s="773"/>
      <c r="V15" s="772"/>
      <c r="W15" s="773"/>
      <c r="X15" s="1811"/>
      <c r="Y15" s="3222"/>
      <c r="Z15" s="1812"/>
      <c r="AA15" s="1809">
        <v>1</v>
      </c>
      <c r="AB15" s="1809">
        <v>1</v>
      </c>
      <c r="AC15" s="1809">
        <v>1</v>
      </c>
    </row>
    <row r="16" spans="1:29" ht="199.5">
      <c r="A16" s="427"/>
      <c r="B16" s="450" t="s">
        <v>2683</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2"/>
      <c r="Q16" s="1808" t="str">
        <f>B16</f>
        <v>公共配套设施</v>
      </c>
      <c r="R16" s="772" t="s">
        <v>17</v>
      </c>
      <c r="S16" s="773">
        <f>F16</f>
        <v>100</v>
      </c>
      <c r="T16" s="772" t="s">
        <v>17</v>
      </c>
      <c r="U16" s="773">
        <f>H16</f>
        <v>100</v>
      </c>
      <c r="V16" s="772" t="s">
        <v>17</v>
      </c>
      <c r="W16" s="773">
        <f>J16</f>
        <v>100</v>
      </c>
      <c r="X16" s="1811"/>
      <c r="Y16" s="3222"/>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22"/>
      <c r="Q17" s="1808"/>
      <c r="R17" s="772"/>
      <c r="S17" s="773"/>
      <c r="T17" s="772"/>
      <c r="U17" s="773"/>
      <c r="V17" s="772"/>
      <c r="W17" s="773"/>
      <c r="X17" s="1811"/>
      <c r="Y17" s="3222"/>
      <c r="Z17" s="1812"/>
      <c r="AA17" s="1809">
        <v>1</v>
      </c>
      <c r="AB17" s="1809">
        <v>1</v>
      </c>
      <c r="AC17" s="1809">
        <v>1</v>
      </c>
    </row>
    <row r="18" spans="1:29" ht="42.75">
      <c r="A18" s="427"/>
      <c r="B18" s="1382" t="s">
        <v>2684</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2"/>
      <c r="Q18" s="1808" t="str">
        <f>B18</f>
        <v>基础设施水平</v>
      </c>
      <c r="R18" s="772" t="s">
        <v>17</v>
      </c>
      <c r="S18" s="773">
        <f>F18</f>
        <v>100</v>
      </c>
      <c r="T18" s="772" t="s">
        <v>17</v>
      </c>
      <c r="U18" s="773">
        <f>H18</f>
        <v>100</v>
      </c>
      <c r="V18" s="772" t="s">
        <v>17</v>
      </c>
      <c r="W18" s="773">
        <f>J18</f>
        <v>100</v>
      </c>
      <c r="X18" s="1811"/>
      <c r="Y18" s="3222"/>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22"/>
      <c r="Q19" s="1808"/>
      <c r="R19" s="772"/>
      <c r="S19" s="773"/>
      <c r="T19" s="772"/>
      <c r="U19" s="773"/>
      <c r="V19" s="772"/>
      <c r="W19" s="773"/>
      <c r="X19" s="1811"/>
      <c r="Y19" s="3222"/>
      <c r="Z19" s="1812"/>
      <c r="AA19" s="1809">
        <v>1</v>
      </c>
      <c r="AB19" s="1809">
        <v>1</v>
      </c>
      <c r="AC19" s="1809">
        <v>1</v>
      </c>
    </row>
    <row r="20" spans="1:29" ht="85.5">
      <c r="A20" s="427"/>
      <c r="B20" s="450" t="s">
        <v>2705</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2"/>
      <c r="Q20" s="1808" t="str">
        <f>B20</f>
        <v>自然及人文环境</v>
      </c>
      <c r="R20" s="772" t="s">
        <v>17</v>
      </c>
      <c r="S20" s="773">
        <f>F20</f>
        <v>100</v>
      </c>
      <c r="T20" s="772" t="s">
        <v>17</v>
      </c>
      <c r="U20" s="773">
        <f>H20</f>
        <v>100</v>
      </c>
      <c r="V20" s="772" t="s">
        <v>17</v>
      </c>
      <c r="W20" s="773">
        <f>J20</f>
        <v>100</v>
      </c>
      <c r="X20" s="1811"/>
      <c r="Y20" s="322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22"/>
      <c r="Q21" s="1808"/>
      <c r="R21" s="772"/>
      <c r="S21" s="773"/>
      <c r="T21" s="772"/>
      <c r="U21" s="773"/>
      <c r="V21" s="772"/>
      <c r="W21" s="773"/>
      <c r="X21" s="1811"/>
      <c r="Y21" s="3222"/>
      <c r="Z21" s="1812"/>
      <c r="AA21" s="1809">
        <v>1</v>
      </c>
      <c r="AB21" s="1809">
        <v>1</v>
      </c>
      <c r="AC21" s="1809">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2"/>
      <c r="Q22" s="1808" t="str">
        <f>B22</f>
        <v>楼层</v>
      </c>
      <c r="R22" s="772" t="s">
        <v>17</v>
      </c>
      <c r="S22" s="773">
        <f>F22</f>
        <v>100</v>
      </c>
      <c r="T22" s="772" t="s">
        <v>17</v>
      </c>
      <c r="U22" s="773">
        <f>H22</f>
        <v>100</v>
      </c>
      <c r="V22" s="772" t="s">
        <v>17</v>
      </c>
      <c r="W22" s="773">
        <f>J22</f>
        <v>100</v>
      </c>
      <c r="X22" s="1811"/>
      <c r="Y22" s="3222"/>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2"/>
      <c r="Q23" s="1808">
        <f>B23</f>
        <v>111</v>
      </c>
      <c r="R23" s="772" t="s">
        <v>17</v>
      </c>
      <c r="S23" s="773">
        <f>F23</f>
        <v>100</v>
      </c>
      <c r="T23" s="772" t="s">
        <v>17</v>
      </c>
      <c r="U23" s="773">
        <f>H23</f>
        <v>100</v>
      </c>
      <c r="V23" s="772" t="s">
        <v>17</v>
      </c>
      <c r="W23" s="773">
        <f>J23</f>
        <v>100</v>
      </c>
      <c r="X23" s="1811"/>
      <c r="Y23" s="3222"/>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2"/>
      <c r="Q24" s="1808">
        <f t="shared" ref="Q24:Q34" si="11">B24</f>
        <v>111</v>
      </c>
      <c r="R24" s="772" t="s">
        <v>17</v>
      </c>
      <c r="S24" s="773">
        <f>F24</f>
        <v>100</v>
      </c>
      <c r="T24" s="772" t="s">
        <v>17</v>
      </c>
      <c r="U24" s="773">
        <f>H24</f>
        <v>100</v>
      </c>
      <c r="V24" s="772" t="s">
        <v>17</v>
      </c>
      <c r="W24" s="773">
        <f>J24</f>
        <v>100</v>
      </c>
      <c r="X24" s="1811"/>
      <c r="Y24" s="3222"/>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22"/>
      <c r="Q25" s="1793">
        <f t="shared" si="11"/>
        <v>111</v>
      </c>
      <c r="R25" s="768" t="s">
        <v>17</v>
      </c>
      <c r="S25" s="769">
        <f>F25</f>
        <v>100</v>
      </c>
      <c r="T25" s="768" t="s">
        <v>17</v>
      </c>
      <c r="U25" s="769">
        <f>H25</f>
        <v>100</v>
      </c>
      <c r="V25" s="768" t="s">
        <v>17</v>
      </c>
      <c r="W25" s="769">
        <f>J25</f>
        <v>100</v>
      </c>
      <c r="X25" s="770"/>
      <c r="Y25" s="3222"/>
      <c r="Z25" s="55">
        <f>Q25</f>
        <v>111</v>
      </c>
      <c r="AA25" s="1809">
        <f>D25/F25</f>
        <v>1</v>
      </c>
      <c r="AB25" s="1809">
        <f>D25/H25</f>
        <v>1</v>
      </c>
      <c r="AC25" s="1809">
        <f>D25/J25</f>
        <v>1</v>
      </c>
    </row>
    <row r="26" spans="1:29" ht="28.5">
      <c r="A26" s="465" t="s">
        <v>2558</v>
      </c>
      <c r="B26" s="71" t="s">
        <v>2709</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45" t="s">
        <v>2560</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6" t="s">
        <v>2560</v>
      </c>
      <c r="Z26" s="1812" t="str">
        <f t="shared" ref="Z26:Z34" si="15">Q26</f>
        <v>公共部分装修</v>
      </c>
      <c r="AA26" s="1809">
        <f t="shared" si="3"/>
        <v>1</v>
      </c>
      <c r="AB26" s="1809">
        <f t="shared" si="4"/>
        <v>1</v>
      </c>
      <c r="AC26" s="1809">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6"/>
      <c r="Q27" s="774" t="str">
        <f t="shared" si="11"/>
        <v>成新率</v>
      </c>
      <c r="R27" s="775" t="s">
        <v>17</v>
      </c>
      <c r="S27" s="776" t="e">
        <f t="shared" si="12"/>
        <v>#N/A</v>
      </c>
      <c r="T27" s="775" t="s">
        <v>17</v>
      </c>
      <c r="U27" s="776" t="e">
        <f t="shared" si="13"/>
        <v>#N/A</v>
      </c>
      <c r="V27" s="775" t="s">
        <v>17</v>
      </c>
      <c r="W27" s="776" t="e">
        <f t="shared" si="14"/>
        <v>#N/A</v>
      </c>
      <c r="X27" s="777"/>
      <c r="Y27" s="3226"/>
      <c r="Z27" s="778" t="str">
        <f t="shared" si="15"/>
        <v>成新率</v>
      </c>
      <c r="AA27" s="1809" t="e">
        <f t="shared" si="3"/>
        <v>#N/A</v>
      </c>
      <c r="AB27" s="1809" t="e">
        <f t="shared" si="4"/>
        <v>#N/A</v>
      </c>
      <c r="AC27" s="1809"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6"/>
      <c r="Q28" s="1808" t="str">
        <f t="shared" si="11"/>
        <v>物业等级</v>
      </c>
      <c r="R28" s="772" t="s">
        <v>17</v>
      </c>
      <c r="S28" s="773">
        <f t="shared" si="12"/>
        <v>100</v>
      </c>
      <c r="T28" s="772" t="s">
        <v>17</v>
      </c>
      <c r="U28" s="773">
        <f t="shared" si="13"/>
        <v>100</v>
      </c>
      <c r="V28" s="772" t="s">
        <v>17</v>
      </c>
      <c r="W28" s="773">
        <f t="shared" si="14"/>
        <v>100</v>
      </c>
      <c r="X28" s="1811"/>
      <c r="Y28" s="3226"/>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6"/>
      <c r="Q29" s="1808" t="str">
        <f t="shared" si="11"/>
        <v>有无电梯</v>
      </c>
      <c r="R29" s="772" t="s">
        <v>17</v>
      </c>
      <c r="S29" s="773">
        <f t="shared" si="12"/>
        <v>100</v>
      </c>
      <c r="T29" s="772" t="s">
        <v>17</v>
      </c>
      <c r="U29" s="773">
        <f t="shared" si="13"/>
        <v>100</v>
      </c>
      <c r="V29" s="772" t="s">
        <v>17</v>
      </c>
      <c r="W29" s="773">
        <f t="shared" si="14"/>
        <v>100</v>
      </c>
      <c r="X29" s="1811"/>
      <c r="Y29" s="3226"/>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6"/>
      <c r="Q30" s="1808" t="str">
        <f t="shared" si="11"/>
        <v>建筑面积</v>
      </c>
      <c r="R30" s="772" t="s">
        <v>17</v>
      </c>
      <c r="S30" s="773" t="e">
        <f t="shared" si="12"/>
        <v>#N/A</v>
      </c>
      <c r="T30" s="772" t="s">
        <v>17</v>
      </c>
      <c r="U30" s="773" t="e">
        <f t="shared" si="13"/>
        <v>#N/A</v>
      </c>
      <c r="V30" s="772" t="s">
        <v>17</v>
      </c>
      <c r="W30" s="773" t="e">
        <f t="shared" si="14"/>
        <v>#N/A</v>
      </c>
      <c r="X30" s="1811"/>
      <c r="Y30" s="3226"/>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6"/>
      <c r="Q31" s="1793" t="str">
        <f t="shared" si="11"/>
        <v>是否封闭</v>
      </c>
      <c r="R31" s="768" t="s">
        <v>17</v>
      </c>
      <c r="S31" s="769">
        <f t="shared" si="12"/>
        <v>100</v>
      </c>
      <c r="T31" s="768" t="s">
        <v>17</v>
      </c>
      <c r="U31" s="769">
        <f t="shared" si="13"/>
        <v>100</v>
      </c>
      <c r="V31" s="768" t="s">
        <v>17</v>
      </c>
      <c r="W31" s="769">
        <f t="shared" si="14"/>
        <v>100</v>
      </c>
      <c r="X31" s="770"/>
      <c r="Y31" s="3226"/>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6" t="s">
        <v>2560</v>
      </c>
      <c r="Q32" s="1808">
        <f t="shared" si="11"/>
        <v>111</v>
      </c>
      <c r="R32" s="772" t="s">
        <v>17</v>
      </c>
      <c r="S32" s="773">
        <f t="shared" si="12"/>
        <v>100</v>
      </c>
      <c r="T32" s="772" t="s">
        <v>17</v>
      </c>
      <c r="U32" s="773">
        <f t="shared" si="13"/>
        <v>100</v>
      </c>
      <c r="V32" s="772" t="s">
        <v>17</v>
      </c>
      <c r="W32" s="773">
        <f t="shared" si="14"/>
        <v>100</v>
      </c>
      <c r="X32" s="1811"/>
      <c r="Y32" s="3226" t="s">
        <v>2560</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6"/>
      <c r="Q33" s="1808">
        <f t="shared" si="11"/>
        <v>111</v>
      </c>
      <c r="R33" s="772" t="s">
        <v>17</v>
      </c>
      <c r="S33" s="773">
        <f t="shared" si="12"/>
        <v>100</v>
      </c>
      <c r="T33" s="772" t="s">
        <v>17</v>
      </c>
      <c r="U33" s="773">
        <f t="shared" si="13"/>
        <v>100</v>
      </c>
      <c r="V33" s="772" t="s">
        <v>17</v>
      </c>
      <c r="W33" s="773">
        <f t="shared" si="14"/>
        <v>100</v>
      </c>
      <c r="X33" s="1811"/>
      <c r="Y33" s="3226"/>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26"/>
      <c r="Q34" s="1808">
        <f t="shared" si="11"/>
        <v>111</v>
      </c>
      <c r="R34" s="772" t="s">
        <v>17</v>
      </c>
      <c r="S34" s="773">
        <f t="shared" si="12"/>
        <v>100</v>
      </c>
      <c r="T34" s="772" t="s">
        <v>17</v>
      </c>
      <c r="U34" s="773">
        <f t="shared" si="13"/>
        <v>100</v>
      </c>
      <c r="V34" s="772" t="s">
        <v>17</v>
      </c>
      <c r="W34" s="773">
        <f t="shared" si="14"/>
        <v>100</v>
      </c>
      <c r="X34" s="1811"/>
      <c r="Y34" s="3226"/>
      <c r="Z34" s="1812">
        <f t="shared" si="15"/>
        <v>111</v>
      </c>
      <c r="AA34" s="1809">
        <f t="shared" si="3"/>
        <v>1</v>
      </c>
      <c r="AB34" s="1809">
        <f t="shared" si="4"/>
        <v>1</v>
      </c>
      <c r="AC34" s="1809">
        <f t="shared" si="5"/>
        <v>1</v>
      </c>
    </row>
    <row r="35" spans="1:29" ht="15">
      <c r="A35" s="478" t="s">
        <v>2572</v>
      </c>
      <c r="B35" s="479"/>
      <c r="C35" s="1405" t="s">
        <v>1</v>
      </c>
      <c r="D35" s="1406"/>
      <c r="E35" s="1407"/>
      <c r="F35" s="1408"/>
      <c r="G35" s="1409"/>
      <c r="H35" s="1410"/>
      <c r="I35" s="1407"/>
      <c r="J35" s="1410"/>
      <c r="K35" s="781"/>
      <c r="L35" s="1141"/>
      <c r="M35" s="1142"/>
      <c r="N35" s="1129"/>
      <c r="O35" s="1142"/>
      <c r="P35" s="3219" t="str">
        <f>A35</f>
        <v>成交单价（元/平方米）</v>
      </c>
      <c r="Q35" s="3219"/>
      <c r="R35" s="3220">
        <f>E35</f>
        <v>0</v>
      </c>
      <c r="S35" s="3220"/>
      <c r="T35" s="3220">
        <f>G35</f>
        <v>0</v>
      </c>
      <c r="U35" s="3220"/>
      <c r="V35" s="3220">
        <f>I35</f>
        <v>0</v>
      </c>
      <c r="W35" s="3220"/>
      <c r="X35" s="757"/>
      <c r="Y35" s="779"/>
      <c r="Z35" s="757"/>
      <c r="AA35" s="757"/>
      <c r="AB35" s="757"/>
      <c r="AC35" s="757"/>
    </row>
    <row r="36" spans="1:29" ht="15.75" thickBot="1">
      <c r="A36" s="485" t="s">
        <v>2664</v>
      </c>
      <c r="B36" s="486"/>
      <c r="C36" s="1411" t="e">
        <f>R37</f>
        <v>#DIV/0!</v>
      </c>
      <c r="D36" s="1412"/>
      <c r="E36" s="1413" t="e">
        <f>R36</f>
        <v>#DIV/0!</v>
      </c>
      <c r="F36" s="1413"/>
      <c r="G36" s="1411" t="e">
        <f>T36</f>
        <v>#DIV/0!</v>
      </c>
      <c r="H36" s="1412"/>
      <c r="I36" s="1413" t="e">
        <f>V36</f>
        <v>#DIV/0!</v>
      </c>
      <c r="J36" s="1412"/>
      <c r="K36" s="782"/>
      <c r="L36" s="1141"/>
      <c r="M36" s="1142"/>
      <c r="N36" s="1129"/>
      <c r="O36" s="1142"/>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7"/>
      <c r="Y36" s="757"/>
      <c r="Z36" s="757"/>
      <c r="AA36" s="757"/>
      <c r="AB36" s="757"/>
      <c r="AC36" s="757"/>
    </row>
    <row r="37" spans="1:29" ht="15.75" thickBot="1">
      <c r="A37" s="491" t="s">
        <v>2665</v>
      </c>
      <c r="B37" s="492"/>
      <c r="C37" s="1415" t="e">
        <f>R37</f>
        <v>#DIV/0!</v>
      </c>
      <c r="D37" s="1415"/>
      <c r="E37" s="1415"/>
      <c r="F37" s="1415"/>
      <c r="G37" s="1415"/>
      <c r="H37" s="1415"/>
      <c r="I37" s="1415"/>
      <c r="J37" s="1415"/>
      <c r="K37" s="783"/>
      <c r="L37" s="1141"/>
      <c r="M37" s="1142"/>
      <c r="N37" s="1142"/>
      <c r="O37" s="1142"/>
      <c r="P37" s="3216" t="str">
        <f>A37</f>
        <v>估价对象XX用房的比较价值（楼面单价，元/平方米）</v>
      </c>
      <c r="Q37" s="3217"/>
      <c r="R37" s="3218" t="e">
        <f>IF(F1="售价",ROUND(AVERAGE(R36:V36),0),ROUND(AVERAGE(R36:V36),1))</f>
        <v>#DIV/0!</v>
      </c>
      <c r="S37" s="3218"/>
      <c r="T37" s="3218"/>
      <c r="U37" s="3218"/>
      <c r="V37" s="3218"/>
      <c r="W37" s="3218"/>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2669</v>
      </c>
      <c r="B45" s="757"/>
      <c r="C45" s="762"/>
      <c r="D45" s="762"/>
      <c r="E45" s="762"/>
      <c r="F45" s="763"/>
      <c r="G45" s="763"/>
      <c r="H45" s="762"/>
      <c r="I45" s="762"/>
      <c r="J45" s="762"/>
      <c r="K45" s="764"/>
      <c r="L45" s="765"/>
      <c r="M45" s="762"/>
      <c r="N45" s="762"/>
      <c r="O45" s="762"/>
      <c r="P45" s="502"/>
      <c r="Q45" s="503"/>
    </row>
    <row r="46" spans="1:29" s="507" customFormat="1" ht="15">
      <c r="A46" s="504" t="s">
        <v>2543</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2583</v>
      </c>
      <c r="B51" s="527" t="s">
        <v>2549</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2558</v>
      </c>
      <c r="B77" s="527" t="s">
        <v>2611</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1" zoomScale="80" zoomScaleNormal="80" workbookViewId="0">
      <selection activeCell="E48" sqref="E48"/>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2322</v>
      </c>
      <c r="B2" s="670">
        <f>F66</f>
        <v>724</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2324</v>
      </c>
      <c r="B3" s="608">
        <f>ROUND(IF(D3="",B2*10000/'数据-汇总表'!E3,B2*10000/D3),0)</f>
        <v>3009</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2640</v>
      </c>
      <c r="B4" s="401"/>
      <c r="C4" s="3202" t="s">
        <v>2641</v>
      </c>
      <c r="D4" s="3203"/>
      <c r="E4" s="3204" t="s">
        <v>2642</v>
      </c>
      <c r="F4" s="3205"/>
      <c r="G4" s="3202" t="s">
        <v>2643</v>
      </c>
      <c r="H4" s="3203"/>
      <c r="I4" s="3202" t="s">
        <v>2644</v>
      </c>
      <c r="J4" s="3203"/>
      <c r="K4" s="609" t="s">
        <v>2645</v>
      </c>
      <c r="L4" s="1128"/>
      <c r="M4" s="1129"/>
      <c r="N4" s="1129"/>
      <c r="O4" s="1129"/>
      <c r="P4" s="3206" t="s">
        <v>2646</v>
      </c>
      <c r="Q4" s="3207"/>
      <c r="R4" s="3189" t="s">
        <v>2642</v>
      </c>
      <c r="S4" s="3190"/>
      <c r="T4" s="3189" t="s">
        <v>2643</v>
      </c>
      <c r="U4" s="3190"/>
      <c r="V4" s="3214" t="s">
        <v>2644</v>
      </c>
      <c r="W4" s="3214"/>
      <c r="X4" s="1811"/>
      <c r="Y4" s="3189" t="s">
        <v>2646</v>
      </c>
      <c r="Z4" s="3190"/>
      <c r="AA4" s="3184" t="s">
        <v>2642</v>
      </c>
      <c r="AB4" s="3185" t="s">
        <v>2643</v>
      </c>
      <c r="AC4" s="3184" t="s">
        <v>2644</v>
      </c>
    </row>
    <row r="5" spans="1:30" ht="15">
      <c r="A5" s="403"/>
      <c r="B5" s="404"/>
      <c r="C5" s="3247" t="s">
        <v>3095</v>
      </c>
      <c r="D5" s="3196"/>
      <c r="E5" s="3246" t="s">
        <v>3089</v>
      </c>
      <c r="F5" s="3194"/>
      <c r="G5" s="3195" t="s">
        <v>3088</v>
      </c>
      <c r="H5" s="3196"/>
      <c r="I5" s="3195" t="s">
        <v>2540</v>
      </c>
      <c r="J5" s="3196"/>
      <c r="K5" s="609"/>
      <c r="L5" s="1128"/>
      <c r="M5" s="1129"/>
      <c r="N5" s="1129"/>
      <c r="O5" s="1129"/>
      <c r="P5" s="3208"/>
      <c r="Q5" s="3209"/>
      <c r="R5" s="3191"/>
      <c r="S5" s="3192"/>
      <c r="T5" s="3191"/>
      <c r="U5" s="3192"/>
      <c r="V5" s="3214"/>
      <c r="W5" s="3214"/>
      <c r="X5" s="1811"/>
      <c r="Y5" s="3191"/>
      <c r="Z5" s="3192"/>
      <c r="AA5" s="3185"/>
      <c r="AB5" s="3185"/>
      <c r="AC5" s="3185"/>
    </row>
    <row r="6" spans="1:30" ht="15.75" thickBot="1">
      <c r="A6" s="405"/>
      <c r="B6" s="406"/>
      <c r="C6" s="3197" t="s">
        <v>2541</v>
      </c>
      <c r="D6" s="3198"/>
      <c r="E6" s="3248" t="s">
        <v>3086</v>
      </c>
      <c r="F6" s="3200"/>
      <c r="G6" s="3249" t="s">
        <v>3087</v>
      </c>
      <c r="H6" s="3198"/>
      <c r="I6" s="3249" t="s">
        <v>3090</v>
      </c>
      <c r="J6" s="3198"/>
      <c r="K6" s="609" t="s">
        <v>2542</v>
      </c>
      <c r="L6" s="1128"/>
      <c r="M6" s="1129"/>
      <c r="N6" s="1129"/>
      <c r="O6" s="1129"/>
      <c r="P6" s="3210"/>
      <c r="Q6" s="3211"/>
      <c r="R6" s="3191"/>
      <c r="S6" s="3192"/>
      <c r="T6" s="3212"/>
      <c r="U6" s="3213"/>
      <c r="V6" s="3214"/>
      <c r="W6" s="3214"/>
      <c r="X6" s="1811"/>
      <c r="Y6" s="3212"/>
      <c r="Z6" s="3213"/>
      <c r="AA6" s="3186"/>
      <c r="AB6" s="3186"/>
      <c r="AC6" s="3186"/>
    </row>
    <row r="7" spans="1:30" s="117" customFormat="1" ht="15.75" thickBot="1">
      <c r="A7" s="407" t="s">
        <v>2543</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187" t="s">
        <v>2544</v>
      </c>
      <c r="Q7" s="3215"/>
      <c r="R7" s="768" t="s">
        <v>17</v>
      </c>
      <c r="S7" s="769">
        <f t="shared" ref="S7:S15" si="0">F7</f>
        <v>98</v>
      </c>
      <c r="T7" s="768" t="s">
        <v>17</v>
      </c>
      <c r="U7" s="769">
        <f t="shared" ref="U7:U15" si="1">H7</f>
        <v>98</v>
      </c>
      <c r="V7" s="768" t="s">
        <v>17</v>
      </c>
      <c r="W7" s="769">
        <f t="shared" ref="W7:W15" si="2">J7</f>
        <v>97</v>
      </c>
      <c r="X7" s="770"/>
      <c r="Y7" s="3187" t="s">
        <v>2544</v>
      </c>
      <c r="Z7" s="3188"/>
      <c r="AA7" s="771">
        <f>D7/F7</f>
        <v>1.0204081632653061</v>
      </c>
      <c r="AB7" s="771">
        <f>D7/H7</f>
        <v>1.0204081632653061</v>
      </c>
      <c r="AC7" s="771">
        <f>D7/J7</f>
        <v>1.0309278350515463</v>
      </c>
    </row>
    <row r="8" spans="1:30" s="117" customFormat="1" ht="15.75" thickBot="1">
      <c r="A8" s="407" t="s">
        <v>2545</v>
      </c>
      <c r="B8" s="408"/>
      <c r="C8" s="413" t="s">
        <v>2546</v>
      </c>
      <c r="D8" s="410">
        <v>100</v>
      </c>
      <c r="E8" s="413" t="s">
        <v>3091</v>
      </c>
      <c r="F8" s="412">
        <f>SUMIF(73:73,E8,74:74)-SUMIF(73:73,C8,74:74)+100</f>
        <v>100</v>
      </c>
      <c r="G8" s="413" t="s">
        <v>3091</v>
      </c>
      <c r="H8" s="410">
        <f>SUMIF(73:73,G8,74:74)-SUMIF(73:73,C8,74:74)+100</f>
        <v>100</v>
      </c>
      <c r="I8" s="413" t="s">
        <v>3091</v>
      </c>
      <c r="J8" s="410">
        <f>SUMIF(73:73,I8,74:74)-SUMIF(73:73,C8,74:74)+100</f>
        <v>100</v>
      </c>
      <c r="K8" s="610"/>
      <c r="L8" s="1130"/>
      <c r="M8" s="1131"/>
      <c r="N8" s="1131"/>
      <c r="O8" s="1131"/>
      <c r="P8" s="3187" t="s">
        <v>2547</v>
      </c>
      <c r="Q8" s="3188"/>
      <c r="R8" s="768" t="s">
        <v>17</v>
      </c>
      <c r="S8" s="769">
        <f t="shared" si="0"/>
        <v>100</v>
      </c>
      <c r="T8" s="768" t="s">
        <v>17</v>
      </c>
      <c r="U8" s="769">
        <f t="shared" si="1"/>
        <v>100</v>
      </c>
      <c r="V8" s="768" t="s">
        <v>17</v>
      </c>
      <c r="W8" s="769">
        <f t="shared" si="2"/>
        <v>100</v>
      </c>
      <c r="X8" s="770"/>
      <c r="Y8" s="3187" t="s">
        <v>2547</v>
      </c>
      <c r="Z8" s="3188"/>
      <c r="AA8" s="771">
        <f t="shared" ref="AA8:AA45" si="3">D8/F8</f>
        <v>1</v>
      </c>
      <c r="AB8" s="771">
        <f t="shared" ref="AB8:AB45" si="4">D8/H8</f>
        <v>1</v>
      </c>
      <c r="AC8" s="771">
        <f t="shared" ref="AC8:AC45" si="5">D8/J8</f>
        <v>1</v>
      </c>
    </row>
    <row r="9" spans="1:30" s="117" customFormat="1">
      <c r="A9" s="414" t="s">
        <v>2548</v>
      </c>
      <c r="B9" s="71" t="s">
        <v>2549</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219" t="s">
        <v>2550</v>
      </c>
      <c r="Q9" s="1793" t="str">
        <f t="shared" ref="Q9:Q15" si="6">B9</f>
        <v>用途</v>
      </c>
      <c r="R9" s="768" t="s">
        <v>17</v>
      </c>
      <c r="S9" s="769">
        <f t="shared" si="0"/>
        <v>100</v>
      </c>
      <c r="T9" s="768" t="s">
        <v>17</v>
      </c>
      <c r="U9" s="769">
        <f t="shared" si="1"/>
        <v>100</v>
      </c>
      <c r="V9" s="768" t="s">
        <v>17</v>
      </c>
      <c r="W9" s="769">
        <f t="shared" si="2"/>
        <v>100</v>
      </c>
      <c r="X9" s="770"/>
      <c r="Y9" s="3034" t="s">
        <v>2551</v>
      </c>
      <c r="Z9" s="55" t="str">
        <f t="shared" ref="Z9:Z15" si="7">Q9</f>
        <v>用途</v>
      </c>
      <c r="AA9" s="771">
        <f t="shared" si="3"/>
        <v>1</v>
      </c>
      <c r="AB9" s="771">
        <f t="shared" si="4"/>
        <v>1</v>
      </c>
      <c r="AC9" s="771">
        <f t="shared" si="5"/>
        <v>1</v>
      </c>
    </row>
    <row r="10" spans="1:30" s="426" customFormat="1" ht="27">
      <c r="A10" s="420"/>
      <c r="B10" s="421" t="s">
        <v>2552</v>
      </c>
      <c r="C10" s="2955" t="s">
        <v>3084</v>
      </c>
      <c r="D10" s="135">
        <v>100</v>
      </c>
      <c r="E10" s="464" t="s">
        <v>3085</v>
      </c>
      <c r="F10" s="135">
        <f>ROUND(100/'数据-取费表'!G16,0)</f>
        <v>105</v>
      </c>
      <c r="G10" s="462" t="s">
        <v>3085</v>
      </c>
      <c r="H10" s="135">
        <f>ROUND(100/'数据-取费表'!G16,0)</f>
        <v>105</v>
      </c>
      <c r="I10" s="462" t="s">
        <v>3085</v>
      </c>
      <c r="J10" s="135">
        <f>ROUND(100/'数据-取费表'!G16,0)</f>
        <v>105</v>
      </c>
      <c r="K10" s="671"/>
      <c r="L10" s="1133"/>
      <c r="M10" s="1134"/>
      <c r="N10" s="1134"/>
      <c r="O10" s="1135"/>
      <c r="P10" s="3219"/>
      <c r="Q10" s="1793" t="str">
        <f t="shared" si="6"/>
        <v>土地使用年限（年）</v>
      </c>
      <c r="R10" s="768" t="s">
        <v>17</v>
      </c>
      <c r="S10" s="769">
        <f t="shared" si="0"/>
        <v>105</v>
      </c>
      <c r="T10" s="768" t="s">
        <v>17</v>
      </c>
      <c r="U10" s="769">
        <f t="shared" si="1"/>
        <v>105</v>
      </c>
      <c r="V10" s="768" t="s">
        <v>17</v>
      </c>
      <c r="W10" s="769">
        <f t="shared" si="2"/>
        <v>105</v>
      </c>
      <c r="X10" s="770"/>
      <c r="Y10" s="3034"/>
      <c r="Z10" s="55" t="str">
        <f t="shared" si="7"/>
        <v>土地使用年限（年）</v>
      </c>
      <c r="AA10" s="771">
        <f t="shared" si="3"/>
        <v>0.95238095238095233</v>
      </c>
      <c r="AB10" s="771">
        <f t="shared" si="4"/>
        <v>0.95238095238095233</v>
      </c>
      <c r="AC10" s="771">
        <f t="shared" si="5"/>
        <v>0.95238095238095233</v>
      </c>
    </row>
    <row r="11" spans="1:30" ht="15">
      <c r="A11" s="427"/>
      <c r="B11" s="421" t="s">
        <v>2553</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219"/>
      <c r="Q11" s="1793" t="str">
        <f t="shared" si="6"/>
        <v>容积率</v>
      </c>
      <c r="R11" s="768" t="s">
        <v>17</v>
      </c>
      <c r="S11" s="769">
        <f t="shared" si="0"/>
        <v>95</v>
      </c>
      <c r="T11" s="768" t="s">
        <v>17</v>
      </c>
      <c r="U11" s="769">
        <f t="shared" si="1"/>
        <v>95</v>
      </c>
      <c r="V11" s="768" t="s">
        <v>17</v>
      </c>
      <c r="W11" s="769">
        <f t="shared" si="2"/>
        <v>95</v>
      </c>
      <c r="X11" s="770"/>
      <c r="Y11" s="3034"/>
      <c r="Z11" s="55" t="str">
        <f t="shared" si="7"/>
        <v>容积率</v>
      </c>
      <c r="AA11" s="771">
        <f t="shared" si="3"/>
        <v>1.0526315789473684</v>
      </c>
      <c r="AB11" s="771">
        <f t="shared" si="4"/>
        <v>1.0526315789473684</v>
      </c>
      <c r="AC11" s="771">
        <f t="shared" si="5"/>
        <v>1.0526315789473684</v>
      </c>
    </row>
    <row r="12" spans="1:30" s="117" customFormat="1" ht="15" hidden="1">
      <c r="A12" s="430"/>
      <c r="B12" s="2596" t="s">
        <v>2742</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19"/>
      <c r="Q12" s="1793" t="str">
        <f t="shared" si="6"/>
        <v>配建</v>
      </c>
      <c r="R12" s="768" t="s">
        <v>17</v>
      </c>
      <c r="S12" s="769">
        <f t="shared" si="0"/>
        <v>100</v>
      </c>
      <c r="T12" s="768" t="s">
        <v>17</v>
      </c>
      <c r="U12" s="769">
        <f t="shared" si="1"/>
        <v>100</v>
      </c>
      <c r="V12" s="768" t="s">
        <v>17</v>
      </c>
      <c r="W12" s="769">
        <f t="shared" si="2"/>
        <v>100</v>
      </c>
      <c r="X12" s="770"/>
      <c r="Y12" s="3034"/>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19"/>
      <c r="Q13" s="1793">
        <f t="shared" si="6"/>
        <v>111</v>
      </c>
      <c r="R13" s="768" t="s">
        <v>17</v>
      </c>
      <c r="S13" s="769">
        <f t="shared" si="0"/>
        <v>100</v>
      </c>
      <c r="T13" s="768" t="s">
        <v>17</v>
      </c>
      <c r="U13" s="769">
        <f t="shared" si="1"/>
        <v>100</v>
      </c>
      <c r="V13" s="768" t="s">
        <v>17</v>
      </c>
      <c r="W13" s="769">
        <f t="shared" si="2"/>
        <v>100</v>
      </c>
      <c r="X13" s="770"/>
      <c r="Y13" s="3034"/>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19"/>
      <c r="Q14" s="1793">
        <f t="shared" si="6"/>
        <v>111</v>
      </c>
      <c r="R14" s="768" t="s">
        <v>17</v>
      </c>
      <c r="S14" s="769">
        <f t="shared" si="0"/>
        <v>100</v>
      </c>
      <c r="T14" s="768" t="s">
        <v>17</v>
      </c>
      <c r="U14" s="769">
        <f t="shared" si="1"/>
        <v>100</v>
      </c>
      <c r="V14" s="768" t="s">
        <v>17</v>
      </c>
      <c r="W14" s="769">
        <f t="shared" si="2"/>
        <v>100</v>
      </c>
      <c r="X14" s="770"/>
      <c r="Y14" s="3034"/>
      <c r="Z14" s="55">
        <f t="shared" si="7"/>
        <v>111</v>
      </c>
      <c r="AA14" s="771">
        <f>D14/F14</f>
        <v>1</v>
      </c>
      <c r="AB14" s="771">
        <f>D14/H14</f>
        <v>1</v>
      </c>
      <c r="AC14" s="771">
        <f>D14/J14</f>
        <v>1</v>
      </c>
    </row>
    <row r="15" spans="1:30" ht="15" hidden="1">
      <c r="A15" s="439" t="s">
        <v>2554</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21" t="s">
        <v>2555</v>
      </c>
      <c r="Q15" s="1808" t="str">
        <f t="shared" si="6"/>
        <v>居住社区成熟度</v>
      </c>
      <c r="R15" s="772" t="s">
        <v>17</v>
      </c>
      <c r="S15" s="773">
        <f t="shared" si="0"/>
        <v>100</v>
      </c>
      <c r="T15" s="772" t="s">
        <v>17</v>
      </c>
      <c r="U15" s="773">
        <f t="shared" si="1"/>
        <v>100</v>
      </c>
      <c r="V15" s="772" t="s">
        <v>17</v>
      </c>
      <c r="W15" s="773">
        <f t="shared" si="2"/>
        <v>100</v>
      </c>
      <c r="X15" s="1811"/>
      <c r="Y15" s="3221" t="s">
        <v>2555</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222"/>
      <c r="Q16" s="1808"/>
      <c r="R16" s="772"/>
      <c r="S16" s="773"/>
      <c r="T16" s="772"/>
      <c r="U16" s="773"/>
      <c r="V16" s="772"/>
      <c r="W16" s="773"/>
      <c r="X16" s="1811"/>
      <c r="Y16" s="3222"/>
      <c r="Z16" s="1812"/>
      <c r="AA16" s="1809">
        <v>1</v>
      </c>
      <c r="AB16" s="1809">
        <v>1</v>
      </c>
      <c r="AC16" s="1809">
        <v>1</v>
      </c>
    </row>
    <row r="17" spans="1:29" ht="85.5">
      <c r="A17" s="427"/>
      <c r="B17" s="450" t="s">
        <v>2648</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222"/>
      <c r="Q17" s="1808" t="str">
        <f>B17</f>
        <v>商业繁华度</v>
      </c>
      <c r="R17" s="772" t="s">
        <v>17</v>
      </c>
      <c r="S17" s="773">
        <f>F17</f>
        <v>100</v>
      </c>
      <c r="T17" s="772" t="s">
        <v>17</v>
      </c>
      <c r="U17" s="773">
        <f>H17</f>
        <v>100</v>
      </c>
      <c r="V17" s="772" t="s">
        <v>17</v>
      </c>
      <c r="W17" s="773">
        <f>J17</f>
        <v>100</v>
      </c>
      <c r="X17" s="1811"/>
      <c r="Y17" s="3222"/>
      <c r="Z17" s="1812" t="str">
        <f>Q17</f>
        <v>商业繁华度</v>
      </c>
      <c r="AA17" s="1809">
        <f t="shared" si="3"/>
        <v>1</v>
      </c>
      <c r="AB17" s="1809">
        <f t="shared" si="4"/>
        <v>1</v>
      </c>
      <c r="AC17" s="1809">
        <f t="shared" si="5"/>
        <v>1</v>
      </c>
    </row>
    <row r="18" spans="1:29" ht="15">
      <c r="A18" s="427"/>
      <c r="B18" s="455"/>
      <c r="C18" s="2604" t="s">
        <v>3093</v>
      </c>
      <c r="D18" s="449"/>
      <c r="E18" s="2606" t="s">
        <v>3093</v>
      </c>
      <c r="F18" s="449"/>
      <c r="G18" s="2606" t="s">
        <v>3093</v>
      </c>
      <c r="H18" s="447"/>
      <c r="I18" s="2605" t="s">
        <v>3093</v>
      </c>
      <c r="J18" s="447"/>
      <c r="K18" s="671"/>
      <c r="L18" s="1138"/>
      <c r="M18" s="1129"/>
      <c r="N18" s="1129"/>
      <c r="O18" s="1137"/>
      <c r="P18" s="3222"/>
      <c r="Q18" s="1808"/>
      <c r="R18" s="772"/>
      <c r="S18" s="773"/>
      <c r="T18" s="772"/>
      <c r="U18" s="773"/>
      <c r="V18" s="772"/>
      <c r="W18" s="773"/>
      <c r="X18" s="1811"/>
      <c r="Y18" s="3222"/>
      <c r="Z18" s="1812"/>
      <c r="AA18" s="1809">
        <v>1</v>
      </c>
      <c r="AB18" s="1809">
        <v>1</v>
      </c>
      <c r="AC18" s="1809">
        <v>1</v>
      </c>
    </row>
    <row r="19" spans="1:29" ht="15" hidden="1">
      <c r="A19" s="427"/>
      <c r="B19" s="450" t="s">
        <v>2682</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2"/>
      <c r="Q19" s="1808" t="str">
        <f>B19</f>
        <v>办公集聚程度</v>
      </c>
      <c r="R19" s="772" t="s">
        <v>17</v>
      </c>
      <c r="S19" s="773">
        <f>F19</f>
        <v>100</v>
      </c>
      <c r="T19" s="772" t="s">
        <v>17</v>
      </c>
      <c r="U19" s="773">
        <f>H19</f>
        <v>100</v>
      </c>
      <c r="V19" s="772" t="s">
        <v>17</v>
      </c>
      <c r="W19" s="773">
        <f>J19</f>
        <v>100</v>
      </c>
      <c r="X19" s="1811"/>
      <c r="Y19" s="3222"/>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222"/>
      <c r="Q20" s="1808"/>
      <c r="R20" s="772"/>
      <c r="S20" s="773"/>
      <c r="T20" s="772"/>
      <c r="U20" s="773"/>
      <c r="V20" s="772"/>
      <c r="W20" s="773"/>
      <c r="X20" s="1811"/>
      <c r="Y20" s="3222"/>
      <c r="Z20" s="1812"/>
      <c r="AA20" s="1809">
        <v>1</v>
      </c>
      <c r="AB20" s="1809">
        <v>1</v>
      </c>
      <c r="AC20" s="1809">
        <v>1</v>
      </c>
    </row>
    <row r="21" spans="1:29" ht="85.5">
      <c r="A21" s="427"/>
      <c r="B21" s="450" t="s">
        <v>2704</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222"/>
      <c r="Q21" s="1808" t="str">
        <f>B21</f>
        <v>交通便捷度</v>
      </c>
      <c r="R21" s="772" t="s">
        <v>17</v>
      </c>
      <c r="S21" s="773">
        <f>F21</f>
        <v>100</v>
      </c>
      <c r="T21" s="772" t="s">
        <v>17</v>
      </c>
      <c r="U21" s="773">
        <f>H21</f>
        <v>100</v>
      </c>
      <c r="V21" s="772" t="s">
        <v>17</v>
      </c>
      <c r="W21" s="773">
        <f>J21</f>
        <v>100</v>
      </c>
      <c r="X21" s="1811"/>
      <c r="Y21" s="3222"/>
      <c r="Z21" s="1812" t="str">
        <f>Q21</f>
        <v>交通便捷度</v>
      </c>
      <c r="AA21" s="1809">
        <f t="shared" si="3"/>
        <v>1</v>
      </c>
      <c r="AB21" s="1809">
        <f t="shared" si="4"/>
        <v>1</v>
      </c>
      <c r="AC21" s="1809">
        <f t="shared" si="5"/>
        <v>1</v>
      </c>
    </row>
    <row r="22" spans="1:29" ht="15">
      <c r="A22" s="427"/>
      <c r="B22" s="1382"/>
      <c r="C22" s="446" t="s">
        <v>3092</v>
      </c>
      <c r="D22" s="449"/>
      <c r="E22" s="2601" t="s">
        <v>3092</v>
      </c>
      <c r="F22" s="447"/>
      <c r="G22" s="2601" t="s">
        <v>3092</v>
      </c>
      <c r="H22" s="447"/>
      <c r="I22" s="2600" t="s">
        <v>3092</v>
      </c>
      <c r="J22" s="447"/>
      <c r="K22" s="671"/>
      <c r="L22" s="1138"/>
      <c r="M22" s="1129"/>
      <c r="N22" s="1129"/>
      <c r="O22" s="1137"/>
      <c r="P22" s="3222"/>
      <c r="Q22" s="1808"/>
      <c r="R22" s="772"/>
      <c r="S22" s="773"/>
      <c r="T22" s="772"/>
      <c r="U22" s="773"/>
      <c r="V22" s="772"/>
      <c r="W22" s="773"/>
      <c r="X22" s="1811"/>
      <c r="Y22" s="3222"/>
      <c r="Z22" s="1812"/>
      <c r="AA22" s="1809">
        <v>1</v>
      </c>
      <c r="AB22" s="1809">
        <v>1</v>
      </c>
      <c r="AC22" s="1809">
        <v>1</v>
      </c>
    </row>
    <row r="23" spans="1:29" ht="15">
      <c r="A23" s="403"/>
      <c r="B23" s="450" t="s">
        <v>2743</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222"/>
      <c r="Q23" s="1808" t="str">
        <f t="shared" ref="Q23:Q37" si="8">B23</f>
        <v>区域土地利用方向</v>
      </c>
      <c r="R23" s="772" t="s">
        <v>17</v>
      </c>
      <c r="S23" s="773">
        <f>F23</f>
        <v>100</v>
      </c>
      <c r="T23" s="772" t="s">
        <v>17</v>
      </c>
      <c r="U23" s="773">
        <f>H23</f>
        <v>100</v>
      </c>
      <c r="V23" s="772" t="s">
        <v>17</v>
      </c>
      <c r="W23" s="773">
        <f>J23</f>
        <v>100</v>
      </c>
      <c r="X23" s="1811"/>
      <c r="Y23" s="3222"/>
      <c r="Z23" s="1812" t="str">
        <f>Q23</f>
        <v>区域土地利用方向</v>
      </c>
      <c r="AA23" s="1809">
        <f t="shared" si="3"/>
        <v>1</v>
      </c>
      <c r="AB23" s="1809">
        <f t="shared" si="4"/>
        <v>1</v>
      </c>
      <c r="AC23" s="1809">
        <f t="shared" si="5"/>
        <v>1</v>
      </c>
    </row>
    <row r="24" spans="1:29" ht="15">
      <c r="A24" s="403"/>
      <c r="B24" s="455"/>
      <c r="C24" s="615" t="s">
        <v>3092</v>
      </c>
      <c r="D24" s="447"/>
      <c r="E24" s="2601" t="s">
        <v>3092</v>
      </c>
      <c r="F24" s="447"/>
      <c r="G24" s="2600" t="s">
        <v>3092</v>
      </c>
      <c r="H24" s="447"/>
      <c r="I24" s="2600" t="s">
        <v>3092</v>
      </c>
      <c r="J24" s="447"/>
      <c r="K24" s="810"/>
      <c r="L24" s="1138"/>
      <c r="M24" s="1129"/>
      <c r="N24" s="1129"/>
      <c r="O24" s="1137"/>
      <c r="P24" s="3222"/>
      <c r="Q24" s="1808"/>
      <c r="R24" s="772"/>
      <c r="S24" s="773"/>
      <c r="T24" s="772"/>
      <c r="U24" s="773"/>
      <c r="V24" s="772"/>
      <c r="W24" s="773"/>
      <c r="X24" s="1811"/>
      <c r="Y24" s="3222"/>
      <c r="Z24" s="1812"/>
      <c r="AA24" s="1809"/>
      <c r="AB24" s="1809"/>
      <c r="AC24" s="1809"/>
    </row>
    <row r="25" spans="1:29" ht="71.25">
      <c r="A25" s="403"/>
      <c r="B25" s="1382" t="s">
        <v>2744</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222"/>
      <c r="Q25" s="1808" t="str">
        <f t="shared" si="8"/>
        <v>自然及人文环境状况</v>
      </c>
      <c r="R25" s="772" t="s">
        <v>17</v>
      </c>
      <c r="S25" s="773">
        <f>F25</f>
        <v>100</v>
      </c>
      <c r="T25" s="772" t="s">
        <v>17</v>
      </c>
      <c r="U25" s="773">
        <f>H25</f>
        <v>100</v>
      </c>
      <c r="V25" s="772" t="s">
        <v>17</v>
      </c>
      <c r="W25" s="773">
        <f>J25</f>
        <v>100</v>
      </c>
      <c r="X25" s="1811"/>
      <c r="Y25" s="3222"/>
      <c r="Z25" s="1812" t="str">
        <f>Q25</f>
        <v>自然及人文环境状况</v>
      </c>
      <c r="AA25" s="1809">
        <f t="shared" si="3"/>
        <v>1</v>
      </c>
      <c r="AB25" s="1809">
        <f t="shared" si="4"/>
        <v>1</v>
      </c>
      <c r="AC25" s="1809">
        <f t="shared" si="5"/>
        <v>1</v>
      </c>
    </row>
    <row r="26" spans="1:29" ht="15">
      <c r="A26" s="403"/>
      <c r="B26" s="455"/>
      <c r="C26" s="446" t="s">
        <v>3092</v>
      </c>
      <c r="D26" s="447"/>
      <c r="E26" s="2607" t="s">
        <v>3092</v>
      </c>
      <c r="F26" s="447"/>
      <c r="G26" s="2607" t="s">
        <v>3092</v>
      </c>
      <c r="H26" s="447"/>
      <c r="I26" s="446" t="s">
        <v>3092</v>
      </c>
      <c r="J26" s="447"/>
      <c r="K26" s="671"/>
      <c r="L26" s="1138"/>
      <c r="M26" s="1129"/>
      <c r="N26" s="1129"/>
      <c r="O26" s="1137"/>
      <c r="P26" s="3222"/>
      <c r="Q26" s="1808"/>
      <c r="R26" s="772"/>
      <c r="S26" s="773"/>
      <c r="T26" s="772"/>
      <c r="U26" s="773"/>
      <c r="V26" s="772"/>
      <c r="W26" s="773"/>
      <c r="X26" s="1811"/>
      <c r="Y26" s="3222"/>
      <c r="Z26" s="1812"/>
      <c r="AA26" s="1809">
        <v>1</v>
      </c>
      <c r="AB26" s="1809">
        <v>1</v>
      </c>
      <c r="AC26" s="1809">
        <v>1</v>
      </c>
    </row>
    <row r="27" spans="1:29" s="117" customFormat="1" ht="142.5">
      <c r="A27" s="648"/>
      <c r="B27" s="1382" t="s">
        <v>2649</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222"/>
      <c r="Q27" s="1793" t="str">
        <f t="shared" si="8"/>
        <v>公共配套设施</v>
      </c>
      <c r="R27" s="768" t="s">
        <v>17</v>
      </c>
      <c r="S27" s="769">
        <f>F27</f>
        <v>100</v>
      </c>
      <c r="T27" s="768" t="s">
        <v>17</v>
      </c>
      <c r="U27" s="769">
        <f>H27</f>
        <v>100</v>
      </c>
      <c r="V27" s="768" t="s">
        <v>17</v>
      </c>
      <c r="W27" s="769">
        <f>J27</f>
        <v>100</v>
      </c>
      <c r="X27" s="770"/>
      <c r="Y27" s="3222"/>
      <c r="Z27" s="55" t="str">
        <f>Q27</f>
        <v>公共配套设施</v>
      </c>
      <c r="AA27" s="1809">
        <f>D27/F27</f>
        <v>1</v>
      </c>
      <c r="AB27" s="1809">
        <f>D27/H27</f>
        <v>1</v>
      </c>
      <c r="AC27" s="1809">
        <f>D27/J27</f>
        <v>1</v>
      </c>
    </row>
    <row r="28" spans="1:29" s="117" customFormat="1" ht="15">
      <c r="A28" s="648"/>
      <c r="B28" s="455"/>
      <c r="C28" s="2696" t="s">
        <v>3092</v>
      </c>
      <c r="D28" s="447"/>
      <c r="E28" s="2607" t="s">
        <v>3092</v>
      </c>
      <c r="F28" s="447"/>
      <c r="G28" s="2607" t="s">
        <v>3092</v>
      </c>
      <c r="H28" s="447"/>
      <c r="I28" s="446" t="s">
        <v>3092</v>
      </c>
      <c r="J28" s="447"/>
      <c r="K28" s="671"/>
      <c r="L28" s="1130"/>
      <c r="M28" s="1131"/>
      <c r="N28" s="1131"/>
      <c r="O28" s="1132"/>
      <c r="P28" s="3222"/>
      <c r="Q28" s="1793"/>
      <c r="R28" s="768"/>
      <c r="S28" s="769"/>
      <c r="T28" s="768"/>
      <c r="U28" s="769"/>
      <c r="V28" s="768"/>
      <c r="W28" s="769"/>
      <c r="X28" s="770"/>
      <c r="Y28" s="3222"/>
      <c r="Z28" s="55"/>
      <c r="AA28" s="1809">
        <v>1</v>
      </c>
      <c r="AB28" s="1809">
        <v>1</v>
      </c>
      <c r="AC28" s="1809">
        <v>1</v>
      </c>
    </row>
    <row r="29" spans="1:29" s="117" customFormat="1" ht="28.5">
      <c r="A29" s="648"/>
      <c r="B29" s="1382" t="s">
        <v>2650</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22"/>
      <c r="Q29" s="1793" t="str">
        <f t="shared" ref="Q29" si="9">B29</f>
        <v>基础设施水平</v>
      </c>
      <c r="R29" s="768" t="s">
        <v>17</v>
      </c>
      <c r="S29" s="769">
        <f>F29</f>
        <v>100</v>
      </c>
      <c r="T29" s="768" t="s">
        <v>17</v>
      </c>
      <c r="U29" s="769">
        <f>H29</f>
        <v>100</v>
      </c>
      <c r="V29" s="768" t="s">
        <v>17</v>
      </c>
      <c r="W29" s="769">
        <f>J29</f>
        <v>100</v>
      </c>
      <c r="X29" s="770"/>
      <c r="Y29" s="3222"/>
      <c r="Z29" s="55" t="str">
        <f>Q29</f>
        <v>基础设施水平</v>
      </c>
      <c r="AA29" s="1809">
        <f>D29/F29</f>
        <v>1</v>
      </c>
      <c r="AB29" s="1809">
        <f>D29/H29</f>
        <v>1</v>
      </c>
      <c r="AC29" s="1809">
        <f>D29/J29</f>
        <v>1</v>
      </c>
    </row>
    <row r="30" spans="1:29" s="117" customFormat="1" ht="15">
      <c r="A30" s="648"/>
      <c r="B30" s="455"/>
      <c r="C30" s="2696" t="s">
        <v>3096</v>
      </c>
      <c r="D30" s="447"/>
      <c r="E30" s="2697" t="s">
        <v>3096</v>
      </c>
      <c r="F30" s="447"/>
      <c r="G30" s="2697" t="s">
        <v>3096</v>
      </c>
      <c r="H30" s="447"/>
      <c r="I30" s="2697" t="s">
        <v>3096</v>
      </c>
      <c r="J30" s="447"/>
      <c r="K30" s="671"/>
      <c r="L30" s="1130"/>
      <c r="M30" s="1131"/>
      <c r="N30" s="1131"/>
      <c r="O30" s="1132"/>
      <c r="P30" s="3222"/>
      <c r="Q30" s="1793"/>
      <c r="R30" s="768"/>
      <c r="S30" s="769"/>
      <c r="T30" s="768"/>
      <c r="U30" s="769"/>
      <c r="V30" s="768"/>
      <c r="W30" s="769"/>
      <c r="X30" s="770"/>
      <c r="Y30" s="3222"/>
      <c r="Z30" s="55"/>
      <c r="AA30" s="1809">
        <v>1</v>
      </c>
      <c r="AB30" s="1809">
        <v>1</v>
      </c>
      <c r="AC30" s="1809">
        <v>1</v>
      </c>
    </row>
    <row r="31" spans="1:29" ht="15">
      <c r="A31" s="427"/>
      <c r="B31" s="455" t="s">
        <v>2651</v>
      </c>
      <c r="C31" s="3304" t="s">
        <v>3105</v>
      </c>
      <c r="D31" s="434">
        <v>100</v>
      </c>
      <c r="E31" s="633" t="s">
        <v>3094</v>
      </c>
      <c r="F31" s="434">
        <f>SUMIF(104:104,E31,105:105)-SUMIF(104:104,C31,105:105)+100</f>
        <v>97</v>
      </c>
      <c r="G31" s="633" t="s">
        <v>3094</v>
      </c>
      <c r="H31" s="434">
        <f>SUMIF(104:104,G31,105:105)-SUMIF(104:104,C31,105:105)+100</f>
        <v>97</v>
      </c>
      <c r="I31" s="633" t="s">
        <v>3094</v>
      </c>
      <c r="J31" s="434">
        <f>SUMIF(104:104,I31,105:105)-SUMIF(104:104,C31,105:105)+100</f>
        <v>97</v>
      </c>
      <c r="K31" s="672">
        <v>3</v>
      </c>
      <c r="L31" s="1138"/>
      <c r="M31" s="1129"/>
      <c r="N31" s="1129"/>
      <c r="O31" s="1137"/>
      <c r="P31" s="3222"/>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222"/>
      <c r="Z31" s="1812" t="str">
        <f t="shared" ref="Z31:Z45" si="13">Q31</f>
        <v>临街状况</v>
      </c>
      <c r="AA31" s="1809">
        <f t="shared" si="3"/>
        <v>1.0309278350515463</v>
      </c>
      <c r="AB31" s="1809">
        <f t="shared" si="4"/>
        <v>1.0309278350515463</v>
      </c>
      <c r="AC31" s="1809">
        <f t="shared" si="5"/>
        <v>1.0309278350515463</v>
      </c>
    </row>
    <row r="32" spans="1:29" ht="27">
      <c r="A32" s="427"/>
      <c r="B32" s="1382" t="s">
        <v>2686</v>
      </c>
      <c r="C32" s="2957" t="s">
        <v>3103</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222"/>
      <c r="Q32" s="1808" t="str">
        <f t="shared" si="8"/>
        <v>毗邻道路的类型与等级</v>
      </c>
      <c r="R32" s="772" t="s">
        <v>17</v>
      </c>
      <c r="S32" s="773">
        <f t="shared" si="10"/>
        <v>100</v>
      </c>
      <c r="T32" s="772" t="s">
        <v>17</v>
      </c>
      <c r="U32" s="773">
        <f t="shared" si="11"/>
        <v>100</v>
      </c>
      <c r="V32" s="772" t="s">
        <v>17</v>
      </c>
      <c r="W32" s="773">
        <f t="shared" si="12"/>
        <v>100</v>
      </c>
      <c r="X32" s="1811"/>
      <c r="Y32" s="3222"/>
      <c r="Z32" s="1812" t="str">
        <f t="shared" si="13"/>
        <v>毗邻道路的类型与等级</v>
      </c>
      <c r="AA32" s="1809">
        <f t="shared" si="3"/>
        <v>1</v>
      </c>
      <c r="AB32" s="1809">
        <f t="shared" si="4"/>
        <v>1</v>
      </c>
      <c r="AC32" s="1809">
        <f t="shared" si="5"/>
        <v>1</v>
      </c>
    </row>
    <row r="33" spans="1:29" ht="15.75" thickBot="1">
      <c r="A33" s="427"/>
      <c r="B33" s="455"/>
      <c r="C33" s="446" t="s">
        <v>3102</v>
      </c>
      <c r="D33" s="447"/>
      <c r="E33" s="2607" t="s">
        <v>3102</v>
      </c>
      <c r="F33" s="447"/>
      <c r="G33" s="2607" t="s">
        <v>3102</v>
      </c>
      <c r="H33" s="447"/>
      <c r="I33" s="446" t="s">
        <v>3102</v>
      </c>
      <c r="J33" s="447"/>
      <c r="K33" s="612"/>
      <c r="L33" s="1138"/>
      <c r="M33" s="1129"/>
      <c r="N33" s="1129"/>
      <c r="O33" s="1137"/>
      <c r="P33" s="3222"/>
      <c r="Q33" s="1808"/>
      <c r="R33" s="772"/>
      <c r="S33" s="773"/>
      <c r="T33" s="772"/>
      <c r="U33" s="773"/>
      <c r="V33" s="772"/>
      <c r="W33" s="773"/>
      <c r="X33" s="1811"/>
      <c r="Y33" s="3222"/>
      <c r="Z33" s="1812"/>
      <c r="AA33" s="1809">
        <v>1</v>
      </c>
      <c r="AB33" s="1809">
        <v>1</v>
      </c>
      <c r="AC33" s="1809">
        <v>1</v>
      </c>
    </row>
    <row r="34" spans="1:29" ht="15" hidden="1">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2"/>
      <c r="Q34" s="1808" t="str">
        <f t="shared" si="8"/>
        <v>土地级别</v>
      </c>
      <c r="R34" s="772" t="s">
        <v>17</v>
      </c>
      <c r="S34" s="773">
        <f t="shared" si="10"/>
        <v>100</v>
      </c>
      <c r="T34" s="772" t="s">
        <v>17</v>
      </c>
      <c r="U34" s="773">
        <f t="shared" si="11"/>
        <v>100</v>
      </c>
      <c r="V34" s="772" t="s">
        <v>17</v>
      </c>
      <c r="W34" s="773">
        <f t="shared" si="12"/>
        <v>100</v>
      </c>
      <c r="X34" s="1811"/>
      <c r="Y34" s="3222"/>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2"/>
      <c r="Q35" s="1808">
        <f t="shared" si="8"/>
        <v>111</v>
      </c>
      <c r="R35" s="772" t="s">
        <v>17</v>
      </c>
      <c r="S35" s="773">
        <f t="shared" si="10"/>
        <v>100</v>
      </c>
      <c r="T35" s="772" t="s">
        <v>17</v>
      </c>
      <c r="U35" s="773">
        <f t="shared" si="11"/>
        <v>100</v>
      </c>
      <c r="V35" s="772" t="s">
        <v>17</v>
      </c>
      <c r="W35" s="773">
        <f t="shared" si="12"/>
        <v>100</v>
      </c>
      <c r="X35" s="1811"/>
      <c r="Y35" s="3222"/>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5" t="s">
        <v>2560</v>
      </c>
      <c r="Q36" s="1808">
        <f t="shared" si="8"/>
        <v>111</v>
      </c>
      <c r="R36" s="772" t="s">
        <v>17</v>
      </c>
      <c r="S36" s="773">
        <f t="shared" si="10"/>
        <v>100</v>
      </c>
      <c r="T36" s="772" t="s">
        <v>17</v>
      </c>
      <c r="U36" s="773">
        <f t="shared" si="11"/>
        <v>100</v>
      </c>
      <c r="V36" s="772" t="s">
        <v>17</v>
      </c>
      <c r="W36" s="773">
        <f t="shared" si="12"/>
        <v>100</v>
      </c>
      <c r="X36" s="1811"/>
      <c r="Y36" s="3226" t="s">
        <v>2560</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6"/>
      <c r="Q37" s="1808">
        <f t="shared" si="8"/>
        <v>111</v>
      </c>
      <c r="R37" s="775" t="s">
        <v>17</v>
      </c>
      <c r="S37" s="776">
        <f t="shared" si="10"/>
        <v>100</v>
      </c>
      <c r="T37" s="775" t="s">
        <v>17</v>
      </c>
      <c r="U37" s="776">
        <f t="shared" si="11"/>
        <v>100</v>
      </c>
      <c r="V37" s="775" t="s">
        <v>17</v>
      </c>
      <c r="W37" s="776">
        <f t="shared" si="12"/>
        <v>100</v>
      </c>
      <c r="X37" s="777"/>
      <c r="Y37" s="3226"/>
      <c r="Z37" s="778">
        <f t="shared" si="13"/>
        <v>111</v>
      </c>
      <c r="AA37" s="1809">
        <f t="shared" si="3"/>
        <v>1</v>
      </c>
      <c r="AB37" s="1809">
        <f t="shared" si="4"/>
        <v>1</v>
      </c>
      <c r="AC37" s="1809">
        <f t="shared" si="5"/>
        <v>1</v>
      </c>
    </row>
    <row r="38" spans="1:29" ht="15">
      <c r="A38" s="471" t="s">
        <v>2558</v>
      </c>
      <c r="B38" s="455" t="s">
        <v>2746</v>
      </c>
      <c r="C38" s="3303">
        <v>35696</v>
      </c>
      <c r="D38" s="466">
        <v>100</v>
      </c>
      <c r="E38" s="678">
        <v>43519</v>
      </c>
      <c r="F38" s="466">
        <f>LOOKUP(E38,117:117,118:118)-LOOKUP(C38,117:117,118:118)+100</f>
        <v>100.5</v>
      </c>
      <c r="G38" s="678">
        <v>63005</v>
      </c>
      <c r="H38" s="466">
        <f>LOOKUP(G38,117:117,118:118)-LOOKUP(C38,117:117,118:118)+100</f>
        <v>101.5</v>
      </c>
      <c r="I38" s="529">
        <v>25099</v>
      </c>
      <c r="J38" s="466">
        <f>LOOKUP(I38,117:117,118:118)-LOOKUP(C38,117:117,118:118)+100</f>
        <v>99.5</v>
      </c>
      <c r="K38" s="612"/>
      <c r="L38" s="1138"/>
      <c r="M38" s="1129"/>
      <c r="N38" s="1129"/>
      <c r="O38" s="1137"/>
      <c r="P38" s="3226"/>
      <c r="Q38" s="1808" t="str">
        <f>B38</f>
        <v>宗地面积</v>
      </c>
      <c r="R38" s="772" t="s">
        <v>17</v>
      </c>
      <c r="S38" s="773">
        <f t="shared" si="10"/>
        <v>100.5</v>
      </c>
      <c r="T38" s="772" t="s">
        <v>17</v>
      </c>
      <c r="U38" s="773">
        <f t="shared" si="11"/>
        <v>101.5</v>
      </c>
      <c r="V38" s="772" t="s">
        <v>17</v>
      </c>
      <c r="W38" s="773">
        <f t="shared" si="12"/>
        <v>99.5</v>
      </c>
      <c r="X38" s="1811"/>
      <c r="Y38" s="3226"/>
      <c r="Z38" s="1812" t="str">
        <f t="shared" si="13"/>
        <v>宗地面积</v>
      </c>
      <c r="AA38" s="1809">
        <f t="shared" si="3"/>
        <v>0.99502487562189057</v>
      </c>
      <c r="AB38" s="1809">
        <f t="shared" si="4"/>
        <v>0.98522167487684731</v>
      </c>
      <c r="AC38" s="1809">
        <f t="shared" si="5"/>
        <v>1.0050251256281406</v>
      </c>
    </row>
    <row r="39" spans="1:29" ht="15">
      <c r="A39" s="471"/>
      <c r="B39" s="3302" t="s">
        <v>2747</v>
      </c>
      <c r="C39" s="2609" t="s">
        <v>3110</v>
      </c>
      <c r="D39" s="434">
        <v>100</v>
      </c>
      <c r="E39" s="2609" t="s">
        <v>3110</v>
      </c>
      <c r="F39" s="434">
        <f>SUMIF(119:119,E39,120:120)-SUMIF(119:119,C39,120:120)+100</f>
        <v>100</v>
      </c>
      <c r="G39" s="2609" t="s">
        <v>3110</v>
      </c>
      <c r="H39" s="434">
        <f>SUMIF(119:119,G39,120:120)-SUMIF(119:119,C39,120:120)+100</f>
        <v>100</v>
      </c>
      <c r="I39" s="2609" t="s">
        <v>3110</v>
      </c>
      <c r="J39" s="434">
        <f>SUMIF(119:119,I39,120:120)-SUMIF(119:119,C39,120:120)+100</f>
        <v>100</v>
      </c>
      <c r="K39" s="611">
        <v>1</v>
      </c>
      <c r="L39" s="1138"/>
      <c r="M39" s="1129"/>
      <c r="N39" s="1129"/>
      <c r="O39" s="1137"/>
      <c r="P39" s="3226"/>
      <c r="Q39" s="1808" t="str">
        <f t="shared" ref="Q39:Q45" si="14">B39</f>
        <v>宗地形状</v>
      </c>
      <c r="R39" s="772" t="s">
        <v>17</v>
      </c>
      <c r="S39" s="773">
        <f t="shared" si="10"/>
        <v>100</v>
      </c>
      <c r="T39" s="772" t="s">
        <v>17</v>
      </c>
      <c r="U39" s="773">
        <f t="shared" si="11"/>
        <v>100</v>
      </c>
      <c r="V39" s="772" t="s">
        <v>17</v>
      </c>
      <c r="W39" s="773">
        <f t="shared" si="12"/>
        <v>100</v>
      </c>
      <c r="X39" s="1811"/>
      <c r="Y39" s="3226"/>
      <c r="Z39" s="1812" t="str">
        <f t="shared" si="13"/>
        <v>宗地形状</v>
      </c>
      <c r="AA39" s="1809">
        <f t="shared" si="3"/>
        <v>1</v>
      </c>
      <c r="AB39" s="1809">
        <f t="shared" si="4"/>
        <v>1</v>
      </c>
      <c r="AC39" s="1809">
        <f t="shared" si="5"/>
        <v>1</v>
      </c>
    </row>
    <row r="40" spans="1:29" ht="15" hidden="1">
      <c r="A40" s="471"/>
      <c r="B40" s="3302" t="s">
        <v>2748</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26"/>
      <c r="Q40" s="1808" t="str">
        <f t="shared" si="14"/>
        <v>临街宽度及深度</v>
      </c>
      <c r="R40" s="772" t="s">
        <v>17</v>
      </c>
      <c r="S40" s="773">
        <f t="shared" si="10"/>
        <v>100</v>
      </c>
      <c r="T40" s="772" t="s">
        <v>17</v>
      </c>
      <c r="U40" s="773">
        <f t="shared" si="11"/>
        <v>100</v>
      </c>
      <c r="V40" s="772" t="s">
        <v>17</v>
      </c>
      <c r="W40" s="773">
        <f t="shared" si="12"/>
        <v>100</v>
      </c>
      <c r="X40" s="1811"/>
      <c r="Y40" s="3226"/>
      <c r="Z40" s="1812" t="str">
        <f t="shared" si="13"/>
        <v>临街宽度及深度</v>
      </c>
      <c r="AA40" s="1809">
        <f t="shared" si="3"/>
        <v>1</v>
      </c>
      <c r="AB40" s="1809">
        <f t="shared" si="4"/>
        <v>1</v>
      </c>
      <c r="AC40" s="1809">
        <f t="shared" si="5"/>
        <v>1</v>
      </c>
    </row>
    <row r="41" spans="1:29" s="117" customFormat="1" ht="15">
      <c r="A41" s="472"/>
      <c r="B41" s="3302" t="s">
        <v>2749</v>
      </c>
      <c r="C41" s="2698" t="s">
        <v>3092</v>
      </c>
      <c r="D41" s="135">
        <v>100</v>
      </c>
      <c r="E41" s="2698" t="s">
        <v>3092</v>
      </c>
      <c r="F41" s="434">
        <f>SUMIF(123:123,E41,124:124)-SUMIF(123:123,C41,124:124)+100</f>
        <v>100</v>
      </c>
      <c r="G41" s="2698" t="s">
        <v>3092</v>
      </c>
      <c r="H41" s="434">
        <f>SUMIF(123:123,G41,124:124)-SUMIF(123:123,C41,124:124)+100</f>
        <v>100</v>
      </c>
      <c r="I41" s="2698" t="s">
        <v>3092</v>
      </c>
      <c r="J41" s="434">
        <f>SUMIF(123:123,I41,124:124)-SUMIF(123:123,C41,124:124)+100</f>
        <v>100</v>
      </c>
      <c r="K41" s="611">
        <v>1</v>
      </c>
      <c r="L41" s="1130"/>
      <c r="M41" s="1131"/>
      <c r="N41" s="1131"/>
      <c r="O41" s="1132"/>
      <c r="P41" s="3226"/>
      <c r="Q41" s="1808" t="str">
        <f t="shared" si="14"/>
        <v>宗地开发程度</v>
      </c>
      <c r="R41" s="768" t="s">
        <v>17</v>
      </c>
      <c r="S41" s="769">
        <f t="shared" si="10"/>
        <v>100</v>
      </c>
      <c r="T41" s="768" t="s">
        <v>17</v>
      </c>
      <c r="U41" s="769">
        <f t="shared" si="11"/>
        <v>100</v>
      </c>
      <c r="V41" s="768" t="s">
        <v>17</v>
      </c>
      <c r="W41" s="769">
        <f t="shared" si="12"/>
        <v>100</v>
      </c>
      <c r="X41" s="770"/>
      <c r="Y41" s="3226"/>
      <c r="Z41" s="55" t="str">
        <f t="shared" si="13"/>
        <v>宗地开发程度</v>
      </c>
      <c r="AA41" s="771">
        <f t="shared" si="3"/>
        <v>1</v>
      </c>
      <c r="AB41" s="771">
        <f t="shared" si="4"/>
        <v>1</v>
      </c>
      <c r="AC41" s="771">
        <f t="shared" si="5"/>
        <v>1</v>
      </c>
    </row>
    <row r="42" spans="1:29" ht="15.75" thickBot="1">
      <c r="A42" s="471"/>
      <c r="B42" s="3302" t="s">
        <v>2750</v>
      </c>
      <c r="C42" s="2609" t="s">
        <v>3092</v>
      </c>
      <c r="D42" s="434">
        <v>100</v>
      </c>
      <c r="E42" s="2609" t="s">
        <v>3092</v>
      </c>
      <c r="F42" s="434">
        <f>SUMIF(125:125,E42,126:126)-SUMIF(125:125,C42,126:126)+100</f>
        <v>100</v>
      </c>
      <c r="G42" s="2609" t="s">
        <v>3092</v>
      </c>
      <c r="H42" s="434">
        <f>SUMIF(125:125,G42,126:126)-SUMIF(125:125,C42,126:126)+100</f>
        <v>100</v>
      </c>
      <c r="I42" s="2609" t="s">
        <v>3092</v>
      </c>
      <c r="J42" s="434">
        <f>SUMIF(125:125,I42,126:126)-SUMIF(125:125,C42,126:126)+100</f>
        <v>100</v>
      </c>
      <c r="K42" s="611">
        <v>1</v>
      </c>
      <c r="L42" s="1138"/>
      <c r="M42" s="1129"/>
      <c r="N42" s="1129"/>
      <c r="O42" s="1137"/>
      <c r="P42" s="3226" t="s">
        <v>2560</v>
      </c>
      <c r="Q42" s="1808" t="str">
        <f t="shared" si="14"/>
        <v>工程地质条件</v>
      </c>
      <c r="R42" s="772" t="s">
        <v>17</v>
      </c>
      <c r="S42" s="773">
        <f t="shared" si="10"/>
        <v>100</v>
      </c>
      <c r="T42" s="772" t="s">
        <v>17</v>
      </c>
      <c r="U42" s="773">
        <f t="shared" si="11"/>
        <v>100</v>
      </c>
      <c r="V42" s="772" t="s">
        <v>17</v>
      </c>
      <c r="W42" s="773">
        <f t="shared" si="12"/>
        <v>100</v>
      </c>
      <c r="X42" s="1811"/>
      <c r="Y42" s="3226" t="s">
        <v>2560</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6"/>
      <c r="Q43" s="1808">
        <f t="shared" si="14"/>
        <v>111</v>
      </c>
      <c r="R43" s="772" t="s">
        <v>17</v>
      </c>
      <c r="S43" s="773">
        <f t="shared" si="10"/>
        <v>100</v>
      </c>
      <c r="T43" s="772" t="s">
        <v>17</v>
      </c>
      <c r="U43" s="773">
        <f t="shared" si="11"/>
        <v>100</v>
      </c>
      <c r="V43" s="772" t="s">
        <v>17</v>
      </c>
      <c r="W43" s="773">
        <f t="shared" si="12"/>
        <v>100</v>
      </c>
      <c r="X43" s="1811"/>
      <c r="Y43" s="3226"/>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6"/>
      <c r="Q44" s="1808">
        <f t="shared" si="14"/>
        <v>111</v>
      </c>
      <c r="R44" s="772" t="s">
        <v>17</v>
      </c>
      <c r="S44" s="773">
        <f t="shared" si="10"/>
        <v>100</v>
      </c>
      <c r="T44" s="772" t="s">
        <v>17</v>
      </c>
      <c r="U44" s="773">
        <f t="shared" si="11"/>
        <v>100</v>
      </c>
      <c r="V44" s="772" t="s">
        <v>17</v>
      </c>
      <c r="W44" s="773">
        <f t="shared" si="12"/>
        <v>100</v>
      </c>
      <c r="X44" s="1811"/>
      <c r="Y44" s="3226"/>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6"/>
      <c r="Q45" s="1808">
        <f t="shared" si="14"/>
        <v>111</v>
      </c>
      <c r="R45" s="775" t="s">
        <v>17</v>
      </c>
      <c r="S45" s="776">
        <f t="shared" si="10"/>
        <v>100</v>
      </c>
      <c r="T45" s="775" t="s">
        <v>17</v>
      </c>
      <c r="U45" s="776">
        <f t="shared" si="11"/>
        <v>100</v>
      </c>
      <c r="V45" s="775" t="s">
        <v>17</v>
      </c>
      <c r="W45" s="776">
        <f t="shared" si="12"/>
        <v>100</v>
      </c>
      <c r="X45" s="777"/>
      <c r="Y45" s="3226"/>
      <c r="Z45" s="778">
        <f t="shared" si="13"/>
        <v>111</v>
      </c>
      <c r="AA45" s="1809">
        <f t="shared" si="3"/>
        <v>1</v>
      </c>
      <c r="AB45" s="1809">
        <f t="shared" si="4"/>
        <v>1</v>
      </c>
      <c r="AC45" s="1809">
        <f t="shared" si="5"/>
        <v>1</v>
      </c>
    </row>
    <row r="46" spans="1:29" ht="15">
      <c r="A46" s="478" t="s">
        <v>2715</v>
      </c>
      <c r="B46" s="2700" t="s">
        <v>2751</v>
      </c>
      <c r="C46" s="681" t="s">
        <v>1</v>
      </c>
      <c r="D46" s="480"/>
      <c r="E46" s="481">
        <v>3003</v>
      </c>
      <c r="F46" s="482"/>
      <c r="G46" s="483">
        <v>3003</v>
      </c>
      <c r="H46" s="484"/>
      <c r="I46" s="481">
        <v>2577</v>
      </c>
      <c r="J46" s="484"/>
      <c r="K46" s="781"/>
      <c r="L46" s="1141"/>
      <c r="M46" s="1142"/>
      <c r="N46" s="1129"/>
      <c r="O46" s="1142"/>
      <c r="P46" s="3219" t="str">
        <f>A46</f>
        <v>成交单价</v>
      </c>
      <c r="Q46" s="3219"/>
      <c r="R46" s="3214">
        <f>E46</f>
        <v>3003</v>
      </c>
      <c r="S46" s="3214"/>
      <c r="T46" s="3214">
        <f>G46</f>
        <v>3003</v>
      </c>
      <c r="U46" s="3214"/>
      <c r="V46" s="3214">
        <f>I46</f>
        <v>2577</v>
      </c>
      <c r="W46" s="3214"/>
      <c r="X46" s="757"/>
      <c r="Y46" s="779"/>
      <c r="Z46" s="757"/>
      <c r="AA46" s="757"/>
      <c r="AB46" s="757"/>
      <c r="AC46" s="757"/>
    </row>
    <row r="47" spans="1:29" ht="15.75" thickBot="1">
      <c r="A47" s="485" t="s">
        <v>2664</v>
      </c>
      <c r="B47" s="682"/>
      <c r="C47" s="489">
        <f>R48</f>
        <v>3010</v>
      </c>
      <c r="D47" s="488"/>
      <c r="E47" s="489">
        <f>R47</f>
        <v>3151</v>
      </c>
      <c r="F47" s="490"/>
      <c r="G47" s="487">
        <f>T47</f>
        <v>3120</v>
      </c>
      <c r="H47" s="488"/>
      <c r="I47" s="489">
        <f>V47</f>
        <v>2760</v>
      </c>
      <c r="J47" s="488"/>
      <c r="K47" s="782"/>
      <c r="L47" s="1141"/>
      <c r="M47" s="1142"/>
      <c r="N47" s="1142"/>
      <c r="O47" s="1142"/>
      <c r="P47" s="3219" t="str">
        <f>A47</f>
        <v>比较价值（元/平方米）</v>
      </c>
      <c r="Q47" s="3219"/>
      <c r="R47" s="3250">
        <f>ROUND(PRODUCT(R46,AA7:AA45),0)</f>
        <v>3151</v>
      </c>
      <c r="S47" s="3250"/>
      <c r="T47" s="3250">
        <f>ROUND(PRODUCT(T46,AB7:AB45),0)</f>
        <v>3120</v>
      </c>
      <c r="U47" s="3250"/>
      <c r="V47" s="3250">
        <f>ROUND(PRODUCT(V46,AC7:AC45),0)</f>
        <v>2760</v>
      </c>
      <c r="W47" s="3250"/>
      <c r="X47" s="757"/>
      <c r="Y47" s="757"/>
      <c r="Z47" s="757"/>
      <c r="AA47" s="757"/>
      <c r="AB47" s="757"/>
      <c r="AC47" s="757"/>
    </row>
    <row r="48" spans="1:29" ht="15.75" thickBot="1">
      <c r="A48" s="491" t="s">
        <v>2752</v>
      </c>
      <c r="B48" s="492"/>
      <c r="C48" s="493">
        <f>R48</f>
        <v>3010</v>
      </c>
      <c r="D48" s="493"/>
      <c r="E48" s="493"/>
      <c r="F48" s="493"/>
      <c r="G48" s="493"/>
      <c r="H48" s="493"/>
      <c r="I48" s="493"/>
      <c r="J48" s="493"/>
      <c r="K48" s="783"/>
      <c r="L48" s="1141"/>
      <c r="M48" s="1142"/>
      <c r="N48" s="1142"/>
      <c r="O48" s="1142"/>
      <c r="P48" s="3216" t="str">
        <f>A48</f>
        <v>估价对象XX用房的比较价值（楼面单价，元/平方米）</v>
      </c>
      <c r="Q48" s="3217"/>
      <c r="R48" s="3251">
        <f>ROUND(AVERAGE(R47:V47),0)</f>
        <v>3010</v>
      </c>
      <c r="S48" s="3251"/>
      <c r="T48" s="3251"/>
      <c r="U48" s="3251"/>
      <c r="V48" s="3251"/>
      <c r="W48" s="325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2666</v>
      </c>
      <c r="D51" s="497"/>
      <c r="E51" s="498">
        <f>IF(E46&lt;E47,E47/E46-1,E46/E47-1)</f>
        <v>4.9284049284049392E-2</v>
      </c>
      <c r="F51" s="499" t="str">
        <f>IF(OR(E51&gt;=0.3,E51&lt;=-0.3),"超过30%","")</f>
        <v/>
      </c>
      <c r="G51" s="498">
        <f>IF(G46&lt;G47,G47/G46-1,G46/G47-1)</f>
        <v>3.8961038961038863E-2</v>
      </c>
      <c r="H51" s="499" t="str">
        <f>IF(OR(G51&gt;=0.3,G51&lt;=-0.3),"超过30%","")</f>
        <v/>
      </c>
      <c r="I51" s="498">
        <f>IF(I46&lt;I47,I47/I46-1,I46/I47-1)</f>
        <v>7.1012805587892913E-2</v>
      </c>
      <c r="J51" s="499" t="str">
        <f>IF(OR(I51&gt;=0.3,I51&lt;=-0.3),"超过30%","")</f>
        <v/>
      </c>
      <c r="K51" s="1103"/>
      <c r="L51" s="1104"/>
      <c r="M51" s="1142"/>
      <c r="N51" s="1142"/>
      <c r="O51" s="1142"/>
    </row>
    <row r="52" spans="1:15" ht="13.5" customHeight="1">
      <c r="A52" s="1142"/>
      <c r="B52" s="1142"/>
      <c r="C52" s="496" t="s">
        <v>2667</v>
      </c>
      <c r="D52" s="500"/>
      <c r="E52" s="498">
        <f>IF(E47&lt;G47,G47/E47-1,E47/G47-1)</f>
        <v>9.9358974358974006E-3</v>
      </c>
      <c r="F52" s="499" t="str">
        <f>IF(OR(E52&gt;=0.2,E52&lt;=-0.2),"超过20%","")</f>
        <v/>
      </c>
      <c r="G52" s="498">
        <f>IF(G47&lt;I47,I47/G47-1,G47/I47-1)</f>
        <v>0.13043478260869557</v>
      </c>
      <c r="H52" s="499" t="str">
        <f>IF(OR(G52&gt;=0.2,G52&lt;=-0.2),"超过20%","")</f>
        <v/>
      </c>
      <c r="I52" s="498">
        <f>IF(I47&lt;E47,E47/I47-1,I47/E47-1)</f>
        <v>0.14166666666666661</v>
      </c>
      <c r="J52" s="499" t="str">
        <f>IF(OR(I52&gt;=0.2,I52&lt;=-0.2),"超过20%","")</f>
        <v/>
      </c>
      <c r="K52" s="1103"/>
      <c r="L52" s="1104"/>
      <c r="M52" s="1142"/>
      <c r="N52" s="1142"/>
      <c r="O52" s="1142"/>
    </row>
    <row r="53" spans="1:15" s="501" customFormat="1" ht="13.5" customHeight="1">
      <c r="A53" s="1143"/>
      <c r="B53" s="1143"/>
      <c r="C53" s="496" t="s">
        <v>2668</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2753</v>
      </c>
      <c r="B55" s="684" t="s">
        <v>2754</v>
      </c>
      <c r="C55" s="2701" t="s">
        <v>2755</v>
      </c>
      <c r="D55" s="2702" t="s">
        <v>2756</v>
      </c>
      <c r="E55" s="685" t="s">
        <v>2757</v>
      </c>
      <c r="F55" s="1105" t="s">
        <v>2758</v>
      </c>
      <c r="G55" s="3202" t="s">
        <v>2759</v>
      </c>
      <c r="H55" s="3252"/>
      <c r="I55" s="143" t="s">
        <v>2760</v>
      </c>
      <c r="J55" s="2703" t="str">
        <f>项目基本情况!F35</f>
        <v>江苏省泰州市泰兴市</v>
      </c>
      <c r="K55" s="2704" t="s">
        <v>2761</v>
      </c>
      <c r="L55" s="1104"/>
      <c r="M55" s="1142"/>
      <c r="N55" s="1142"/>
      <c r="O55" s="1142"/>
    </row>
    <row r="56" spans="1:15" s="691" customFormat="1">
      <c r="A56" s="687" t="s">
        <v>2762</v>
      </c>
      <c r="B56" s="688">
        <f>C48</f>
        <v>3010</v>
      </c>
      <c r="C56" s="689">
        <v>1</v>
      </c>
      <c r="D56" s="1161">
        <v>1</v>
      </c>
      <c r="E56" s="689">
        <f>'数据-汇总表'!E8+'数据-汇总表'!E9</f>
        <v>2406.44</v>
      </c>
      <c r="F56" s="1101">
        <f t="shared" ref="F56:F65" si="15">ROUND(B56*E56/10000,0)</f>
        <v>724</v>
      </c>
      <c r="G56" s="3201"/>
      <c r="H56" s="3219"/>
      <c r="I56" s="1106">
        <v>1</v>
      </c>
      <c r="J56" s="1109">
        <v>1</v>
      </c>
      <c r="K56" s="1143"/>
      <c r="L56" s="939"/>
      <c r="M56" s="939"/>
      <c r="N56" s="939"/>
      <c r="O56" s="939"/>
    </row>
    <row r="57" spans="1:15" s="691" customFormat="1">
      <c r="A57" s="692" t="s">
        <v>2763</v>
      </c>
      <c r="B57" s="261">
        <f>ROUND($C$48*C57*D57,0)</f>
        <v>0</v>
      </c>
      <c r="C57" s="199">
        <f t="shared" ref="C57:C65" si="16">IF($C$55="北京市系数",I57,J57)</f>
        <v>0</v>
      </c>
      <c r="D57" s="1162">
        <v>0.25</v>
      </c>
      <c r="E57" s="693"/>
      <c r="F57" s="1101">
        <f t="shared" si="15"/>
        <v>0</v>
      </c>
      <c r="G57" s="3253" t="s">
        <v>2764</v>
      </c>
      <c r="H57" s="1102">
        <f>项目基本情况!B37</f>
        <v>0</v>
      </c>
      <c r="I57" s="1106">
        <f>SUMIF(修正!A45:A56,H57,修正!B45:B56)</f>
        <v>0</v>
      </c>
      <c r="J57" s="1110"/>
      <c r="K57" s="1142"/>
      <c r="L57" s="939"/>
      <c r="M57" s="939"/>
      <c r="N57" s="939"/>
      <c r="O57" s="939"/>
    </row>
    <row r="58" spans="1:15" s="691" customFormat="1">
      <c r="A58" s="692" t="s">
        <v>2765</v>
      </c>
      <c r="B58" s="261">
        <f t="shared" ref="B58:B65" si="17">ROUND($C$48*C58*D58,0)</f>
        <v>0</v>
      </c>
      <c r="C58" s="199">
        <f t="shared" si="16"/>
        <v>0</v>
      </c>
      <c r="D58" s="1162">
        <v>0.25</v>
      </c>
      <c r="E58" s="693"/>
      <c r="F58" s="1101">
        <f t="shared" si="15"/>
        <v>0</v>
      </c>
      <c r="G58" s="3253"/>
      <c r="H58" s="1102">
        <f>项目基本情况!B37</f>
        <v>0</v>
      </c>
      <c r="I58" s="1106">
        <f>SUMIF(修正!A45:A56,H58,修正!C45:C56)</f>
        <v>0</v>
      </c>
      <c r="J58" s="1110"/>
      <c r="K58" s="1143"/>
      <c r="L58" s="939"/>
      <c r="M58" s="939"/>
      <c r="N58" s="939"/>
      <c r="O58" s="939"/>
    </row>
    <row r="59" spans="1:15" s="691" customFormat="1">
      <c r="A59" s="692" t="s">
        <v>2766</v>
      </c>
      <c r="B59" s="261">
        <f t="shared" si="17"/>
        <v>0</v>
      </c>
      <c r="C59" s="199">
        <f t="shared" si="16"/>
        <v>0</v>
      </c>
      <c r="D59" s="1162">
        <v>0.25</v>
      </c>
      <c r="E59" s="693"/>
      <c r="F59" s="1101">
        <f t="shared" si="15"/>
        <v>0</v>
      </c>
      <c r="G59" s="3253"/>
      <c r="H59" s="1102">
        <f>项目基本情况!B37</f>
        <v>0</v>
      </c>
      <c r="I59" s="1106">
        <f>SUMIF(修正!A45:A56,H59,修正!D45:D56)</f>
        <v>0</v>
      </c>
      <c r="J59" s="1110"/>
      <c r="K59" s="1142"/>
      <c r="L59" s="939"/>
      <c r="M59" s="939"/>
      <c r="N59" s="939"/>
      <c r="O59" s="939"/>
    </row>
    <row r="60" spans="1:15" s="691" customFormat="1">
      <c r="A60" s="692" t="s">
        <v>2767</v>
      </c>
      <c r="B60" s="261">
        <f t="shared" si="17"/>
        <v>0</v>
      </c>
      <c r="C60" s="199">
        <f t="shared" si="16"/>
        <v>0</v>
      </c>
      <c r="D60" s="1162">
        <v>0.25</v>
      </c>
      <c r="E60" s="693"/>
      <c r="F60" s="1101">
        <f t="shared" si="15"/>
        <v>0</v>
      </c>
      <c r="G60" s="3253"/>
      <c r="H60" s="1102">
        <f>项目基本情况!B37</f>
        <v>0</v>
      </c>
      <c r="I60" s="1106">
        <f>SUMIF(修正!A45:A56,H60,修正!E45:E56)</f>
        <v>0</v>
      </c>
      <c r="J60" s="1110"/>
      <c r="K60" s="1143"/>
      <c r="L60" s="939"/>
      <c r="M60" s="939"/>
      <c r="N60" s="939"/>
      <c r="O60" s="939"/>
    </row>
    <row r="61" spans="1:15" s="691" customFormat="1">
      <c r="A61" s="692" t="s">
        <v>2768</v>
      </c>
      <c r="B61" s="261">
        <f t="shared" si="17"/>
        <v>0</v>
      </c>
      <c r="C61" s="199">
        <f t="shared" si="16"/>
        <v>0</v>
      </c>
      <c r="D61" s="1162">
        <v>0.25</v>
      </c>
      <c r="E61" s="260">
        <f>'数据-汇总表'!E11</f>
        <v>0</v>
      </c>
      <c r="F61" s="1101">
        <f t="shared" si="15"/>
        <v>0</v>
      </c>
      <c r="G61" s="2705" t="s">
        <v>2769</v>
      </c>
      <c r="H61" s="1102">
        <f>项目基本情况!C37</f>
        <v>0</v>
      </c>
      <c r="I61" s="1106">
        <f>SUMIF(修正!A45:A56,H61,修正!F45:F56)</f>
        <v>0</v>
      </c>
      <c r="J61" s="1110"/>
      <c r="K61" s="1142"/>
      <c r="L61" s="939"/>
      <c r="M61" s="939"/>
      <c r="N61" s="939"/>
      <c r="O61" s="939"/>
    </row>
    <row r="62" spans="1:15" s="691" customFormat="1">
      <c r="A62" s="692" t="s">
        <v>2770</v>
      </c>
      <c r="B62" s="261">
        <f t="shared" si="17"/>
        <v>0</v>
      </c>
      <c r="C62" s="199">
        <f t="shared" si="16"/>
        <v>0</v>
      </c>
      <c r="D62" s="1162">
        <v>0.25</v>
      </c>
      <c r="E62" s="260">
        <f>'数据-汇总表'!E12</f>
        <v>0</v>
      </c>
      <c r="F62" s="1101">
        <f t="shared" si="15"/>
        <v>0</v>
      </c>
      <c r="G62" s="1107" t="s">
        <v>2771</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2772</v>
      </c>
      <c r="B63" s="261">
        <f t="shared" si="17"/>
        <v>0</v>
      </c>
      <c r="C63" s="199">
        <f t="shared" si="16"/>
        <v>0</v>
      </c>
      <c r="D63" s="1162">
        <v>0.25</v>
      </c>
      <c r="E63" s="260">
        <f>'数据-汇总表'!E13</f>
        <v>0</v>
      </c>
      <c r="F63" s="1101">
        <f t="shared" si="15"/>
        <v>0</v>
      </c>
      <c r="G63" s="1107" t="s">
        <v>2773</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2774</v>
      </c>
      <c r="B64" s="261">
        <f t="shared" si="17"/>
        <v>0</v>
      </c>
      <c r="C64" s="199">
        <f t="shared" si="16"/>
        <v>0</v>
      </c>
      <c r="D64" s="1162">
        <v>0.25</v>
      </c>
      <c r="E64" s="260">
        <f>'数据-汇总表'!E14</f>
        <v>0</v>
      </c>
      <c r="F64" s="1101">
        <f t="shared" si="15"/>
        <v>0</v>
      </c>
      <c r="G64" s="2705" t="s">
        <v>2764</v>
      </c>
      <c r="H64" s="1102">
        <f>项目基本情况!B37</f>
        <v>0</v>
      </c>
      <c r="I64" s="1106">
        <f>SUMIF(修正!A45:A56,H64,修正!H45:H56)</f>
        <v>0</v>
      </c>
      <c r="J64" s="1110"/>
      <c r="K64" s="1143"/>
      <c r="L64" s="939"/>
      <c r="M64" s="939"/>
      <c r="N64" s="939"/>
      <c r="O64" s="939"/>
    </row>
    <row r="65" spans="1:17" s="691" customFormat="1" ht="15" thickBot="1">
      <c r="A65" s="692" t="s">
        <v>2775</v>
      </c>
      <c r="B65" s="261">
        <f t="shared" si="17"/>
        <v>0</v>
      </c>
      <c r="C65" s="199">
        <f t="shared" si="16"/>
        <v>0</v>
      </c>
      <c r="D65" s="1162">
        <v>0.25</v>
      </c>
      <c r="E65" s="260">
        <f>'数据-汇总表'!E15</f>
        <v>0</v>
      </c>
      <c r="F65" s="1101">
        <f t="shared" si="15"/>
        <v>0</v>
      </c>
      <c r="G65" s="2706" t="s">
        <v>2769</v>
      </c>
      <c r="H65" s="1112">
        <f>项目基本情况!C37</f>
        <v>0</v>
      </c>
      <c r="I65" s="1108">
        <f>SUMIF(修正!A45:A56,H65,修正!H45:H56)</f>
        <v>0</v>
      </c>
      <c r="J65" s="1111"/>
      <c r="K65" s="1142"/>
      <c r="L65" s="939"/>
      <c r="M65" s="939"/>
      <c r="N65" s="939"/>
      <c r="O65" s="939"/>
    </row>
    <row r="66" spans="1:17" s="691" customFormat="1" ht="13.5" thickBot="1">
      <c r="A66" s="694" t="s">
        <v>2776</v>
      </c>
      <c r="B66" s="695" t="s">
        <v>28</v>
      </c>
      <c r="C66" s="695" t="s">
        <v>29</v>
      </c>
      <c r="D66" s="695" t="s">
        <v>1026</v>
      </c>
      <c r="E66" s="695">
        <f>IF(B46="楼面地价",SUM(E56:E65),'数据-汇总表'!D3)</f>
        <v>2406.44</v>
      </c>
      <c r="F66" s="696">
        <f>IF(B46="楼面地价",SUM(F56:F65),ROUND(C48*E66/10000,0))</f>
        <v>724</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2669</v>
      </c>
      <c r="B69" s="757"/>
      <c r="C69" s="762"/>
      <c r="D69" s="762"/>
      <c r="E69" s="762"/>
      <c r="F69" s="763"/>
      <c r="G69" s="763"/>
      <c r="H69" s="762"/>
      <c r="I69" s="762"/>
      <c r="J69" s="1157"/>
      <c r="K69" s="1158"/>
      <c r="L69" s="1159"/>
      <c r="M69" s="1157"/>
      <c r="N69" s="1157"/>
      <c r="O69" s="1157"/>
      <c r="P69" s="502"/>
      <c r="Q69" s="503"/>
    </row>
    <row r="70" spans="1:17" s="507" customFormat="1" ht="15">
      <c r="A70" s="2707" t="s">
        <v>2777</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2778</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2580</v>
      </c>
      <c r="B72" s="515"/>
      <c r="C72" s="516"/>
      <c r="D72" s="517"/>
      <c r="E72" s="517"/>
      <c r="F72" s="517"/>
      <c r="G72" s="517"/>
      <c r="H72" s="517"/>
      <c r="I72" s="517"/>
      <c r="J72" s="517"/>
      <c r="K72" s="517"/>
      <c r="L72" s="517"/>
      <c r="M72" s="518"/>
      <c r="N72" s="517"/>
      <c r="O72" s="1160"/>
      <c r="P72" s="503"/>
      <c r="Q72" s="503"/>
    </row>
    <row r="73" spans="1:17" s="117" customFormat="1" ht="15">
      <c r="A73" s="520" t="s">
        <v>2545</v>
      </c>
      <c r="B73" s="509"/>
      <c r="C73" s="521" t="s">
        <v>2647</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2583</v>
      </c>
      <c r="B75" s="527" t="s">
        <v>2549</v>
      </c>
      <c r="C75" s="2954" t="s">
        <v>3083</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2552</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2553</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2686</v>
      </c>
      <c r="C106" s="2956" t="s">
        <v>3097</v>
      </c>
      <c r="D106" s="2956" t="s">
        <v>3098</v>
      </c>
      <c r="E106" s="2956" t="s">
        <v>3099</v>
      </c>
      <c r="F106" s="2956" t="s">
        <v>3100</v>
      </c>
      <c r="G106" s="2956" t="s">
        <v>3101</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2745</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2558</v>
      </c>
      <c r="B116" s="527" t="s">
        <v>2786</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594">
        <v>0</v>
      </c>
      <c r="D117" s="594">
        <v>10000</v>
      </c>
      <c r="E117" s="594">
        <v>20000</v>
      </c>
      <c r="F117" s="594">
        <v>30000</v>
      </c>
      <c r="G117" s="594">
        <v>40000</v>
      </c>
      <c r="H117" s="594">
        <v>50000</v>
      </c>
      <c r="I117" s="594">
        <v>60000</v>
      </c>
      <c r="J117" s="595">
        <v>70000</v>
      </c>
      <c r="K117" s="595"/>
      <c r="L117" s="596"/>
      <c r="M117" s="597"/>
      <c r="N117" s="1150"/>
      <c r="O117" s="1150"/>
      <c r="P117" s="45"/>
      <c r="Q117" s="503"/>
    </row>
    <row r="118" spans="1:17" ht="15.75" thickBot="1">
      <c r="A118" s="533"/>
      <c r="B118" s="542"/>
      <c r="C118" s="569">
        <v>100</v>
      </c>
      <c r="D118" s="590">
        <v>100.5</v>
      </c>
      <c r="E118" s="590">
        <v>101</v>
      </c>
      <c r="F118" s="569">
        <v>101.5</v>
      </c>
      <c r="G118" s="590">
        <v>102</v>
      </c>
      <c r="H118" s="590">
        <v>102.5</v>
      </c>
      <c r="I118" s="569">
        <v>103</v>
      </c>
      <c r="J118" s="590">
        <v>103.5</v>
      </c>
      <c r="K118" s="590"/>
      <c r="L118" s="590"/>
      <c r="M118" s="591"/>
      <c r="N118" s="1151"/>
      <c r="O118" s="1151"/>
      <c r="P118" s="45"/>
      <c r="Q118" s="503"/>
    </row>
    <row r="119" spans="1:17" ht="15" thickTop="1">
      <c r="A119" s="598"/>
      <c r="B119" s="537" t="s">
        <v>2787</v>
      </c>
      <c r="C119" s="3301" t="s">
        <v>3111</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2788</v>
      </c>
      <c r="C121" s="2956" t="s">
        <v>3112</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2789</v>
      </c>
      <c r="C123" s="2956" t="s">
        <v>3112</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2790</v>
      </c>
      <c r="C125" s="2956" t="s">
        <v>3112</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6" zoomScaleNormal="86" zoomScaleSheetLayoutView="90" workbookViewId="0">
      <selection activeCell="E25" sqref="E2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1373</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5787</v>
      </c>
      <c r="C2" s="1843" t="s">
        <v>1512</v>
      </c>
      <c r="D2" s="1843"/>
      <c r="E2" s="1844"/>
      <c r="F2" s="1845"/>
      <c r="G2" s="1846"/>
      <c r="H2" s="1838"/>
      <c r="I2" s="1838"/>
      <c r="J2" s="1838"/>
      <c r="K2" s="1839"/>
      <c r="L2" s="1838"/>
      <c r="M2" s="1838"/>
    </row>
    <row r="3" spans="1:37" ht="18" customHeight="1" thickBot="1">
      <c r="A3" s="1847" t="s">
        <v>1513</v>
      </c>
      <c r="B3" s="1848">
        <f ca="1">IF(ISERROR(B2*10000/F43),0,ROUND(B2*10000/F43,0))</f>
        <v>24048</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412</v>
      </c>
      <c r="D5" s="1820" t="s">
        <v>1398</v>
      </c>
      <c r="E5" s="1291"/>
      <c r="F5" s="1292"/>
      <c r="G5" s="1849"/>
      <c r="H5" s="343">
        <v>1</v>
      </c>
      <c r="I5" s="344" t="s">
        <v>1397</v>
      </c>
      <c r="J5" s="1290">
        <f ca="1">J6+J10+J12</f>
        <v>0</v>
      </c>
      <c r="K5" s="1820" t="s">
        <v>1398</v>
      </c>
      <c r="L5" s="1291"/>
      <c r="M5" s="1292"/>
    </row>
    <row r="6" spans="1:37" ht="18" customHeight="1">
      <c r="A6" s="1289" t="s">
        <v>1032</v>
      </c>
      <c r="B6" s="3157" t="s">
        <v>1399</v>
      </c>
      <c r="C6" s="1294">
        <f ca="1">ROUND(F6*F8*F7*(1-F9)/10000,0)</f>
        <v>411</v>
      </c>
      <c r="D6" s="163" t="s">
        <v>3028</v>
      </c>
      <c r="E6" s="346" t="s">
        <v>1401</v>
      </c>
      <c r="F6" s="347">
        <f ca="1">INDIRECT("'数据-取费表'!u"&amp;$G$1)</f>
        <v>5.5</v>
      </c>
      <c r="G6" s="1849"/>
      <c r="H6" s="1289" t="s">
        <v>1032</v>
      </c>
      <c r="I6" s="3157" t="s">
        <v>1399</v>
      </c>
      <c r="J6" s="345">
        <f ca="1">ROUND(M6*M8*M7*(1-M9)/10000,0)</f>
        <v>0</v>
      </c>
      <c r="K6" s="163" t="s">
        <v>3027</v>
      </c>
      <c r="L6" s="346" t="s">
        <v>1401</v>
      </c>
      <c r="M6" s="347">
        <f ca="1">INDIRECT("'数据-取费表'!z"&amp;$G$1)</f>
        <v>0</v>
      </c>
    </row>
    <row r="7" spans="1:37" ht="18" customHeight="1">
      <c r="A7" s="1293"/>
      <c r="B7" s="3158"/>
      <c r="C7" s="1295"/>
      <c r="D7" s="351"/>
      <c r="E7" s="1296" t="s">
        <v>1402</v>
      </c>
      <c r="F7" s="347">
        <f ca="1">IF(INDIRECT("'数据-取费表'!ah"&amp;$G$1)="",INDIRECT("'数据-取费表'!k"&amp;$G$1),INDIRECT("'数据-取费表'!ah"&amp;$G$1))</f>
        <v>2406.44</v>
      </c>
      <c r="G7" s="1849"/>
      <c r="H7" s="348"/>
      <c r="I7" s="3158"/>
      <c r="J7" s="350"/>
      <c r="K7" s="351"/>
      <c r="L7" s="346" t="s">
        <v>1402</v>
      </c>
      <c r="M7" s="347">
        <f ca="1">F7</f>
        <v>2406.44</v>
      </c>
    </row>
    <row r="8" spans="1:37" ht="18" customHeight="1">
      <c r="A8" s="348"/>
      <c r="B8" s="3158"/>
      <c r="C8" s="350"/>
      <c r="D8" s="351"/>
      <c r="E8" s="346" t="s">
        <v>1403</v>
      </c>
      <c r="F8" s="347">
        <f ca="1">INDIRECT("'数据-取费表'!ai"&amp;$G$1)</f>
        <v>365</v>
      </c>
      <c r="G8" s="1849"/>
      <c r="H8" s="348"/>
      <c r="I8" s="3158"/>
      <c r="J8" s="350"/>
      <c r="K8" s="351"/>
      <c r="L8" s="346" t="s">
        <v>1403</v>
      </c>
      <c r="M8" s="347">
        <f ca="1">INDIRECT("'数据-取费表'!ai"&amp;$G$1)</f>
        <v>365</v>
      </c>
    </row>
    <row r="9" spans="1:37" ht="18" customHeight="1">
      <c r="A9" s="348"/>
      <c r="B9" s="3159"/>
      <c r="C9" s="350"/>
      <c r="D9" s="351"/>
      <c r="E9" s="346" t="s">
        <v>1404</v>
      </c>
      <c r="F9" s="356">
        <f ca="1">INDIRECT("'数据-取费表'!w"&amp;$G$1)</f>
        <v>0.15</v>
      </c>
      <c r="G9" s="1849"/>
      <c r="H9" s="348"/>
      <c r="I9" s="3159"/>
      <c r="J9" s="350"/>
      <c r="K9" s="351"/>
      <c r="L9" s="357" t="s">
        <v>1404</v>
      </c>
      <c r="M9" s="358">
        <f ca="1">INDIRECT("'数据-取费表'!ab"&amp;$G$1)</f>
        <v>0</v>
      </c>
    </row>
    <row r="10" spans="1:37" ht="18" customHeight="1">
      <c r="A10" s="1289" t="s">
        <v>1036</v>
      </c>
      <c r="B10" s="1821" t="s">
        <v>1405</v>
      </c>
      <c r="C10" s="360">
        <f ca="1">ROUND(IF(F10="押一",C6/12*F11,IF(F10="押二",C6/12*2*F11,IF(F10="押三",C6/12*3*F11,C11*F11))),0)</f>
        <v>1</v>
      </c>
      <c r="D10" s="1822" t="s">
        <v>3037</v>
      </c>
      <c r="E10" s="357" t="s">
        <v>1406</v>
      </c>
      <c r="F10" s="1364" t="s">
        <v>3073</v>
      </c>
      <c r="G10" s="1849"/>
      <c r="H10" s="1289" t="s">
        <v>1036</v>
      </c>
      <c r="I10" s="1821" t="s">
        <v>1405</v>
      </c>
      <c r="J10" s="345">
        <f ca="1">ROUND(IF(M10="押一",J6/12*M11,IF(M10="押二",J6/12*2*M11,IF(M10="押三",J6/12*3*M11,J11*M11))),0)</f>
        <v>0</v>
      </c>
      <c r="K10" s="1822" t="s">
        <v>3036</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1075</v>
      </c>
      <c r="D13" s="1329" t="s">
        <v>1411</v>
      </c>
      <c r="E13" s="1329" t="s">
        <v>1412</v>
      </c>
      <c r="F13" s="1330">
        <f ca="1">INDIRECT("'数据-取费表'!y"&amp;$G$1)</f>
        <v>0.97</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722</v>
      </c>
      <c r="D14" s="1798" t="s">
        <v>1414</v>
      </c>
      <c r="E14" s="1792"/>
      <c r="F14" s="363"/>
      <c r="G14" s="1849"/>
      <c r="H14" s="1199" t="s">
        <v>1032</v>
      </c>
      <c r="I14" s="346" t="s">
        <v>1415</v>
      </c>
      <c r="J14" s="24">
        <f ca="1">C29</f>
        <v>1108</v>
      </c>
      <c r="K14" s="15"/>
      <c r="L14" s="977"/>
      <c r="M14" s="978"/>
    </row>
    <row r="15" spans="1:37" s="1856" customFormat="1" ht="18" customHeight="1" thickBot="1">
      <c r="A15" s="1199" t="s">
        <v>1033</v>
      </c>
      <c r="B15" s="346" t="s">
        <v>1416</v>
      </c>
      <c r="C15" s="24">
        <f ca="1">ROUND(C14*F15,0)</f>
        <v>22</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26</v>
      </c>
      <c r="K16" s="1335" t="s">
        <v>1421</v>
      </c>
      <c r="L16" s="1336"/>
      <c r="M16" s="1292"/>
    </row>
    <row r="17" spans="1:37" s="1856" customFormat="1" ht="18" customHeight="1">
      <c r="A17" s="1199" t="s">
        <v>1386</v>
      </c>
      <c r="B17" s="346" t="s">
        <v>1422</v>
      </c>
      <c r="C17" s="24">
        <f ca="1">ROUND(F17*(F43+INDIRECT("'数据-取费表'!S"&amp;$G$1))/10000,0)</f>
        <v>48</v>
      </c>
      <c r="D17" s="346" t="s">
        <v>1423</v>
      </c>
      <c r="E17" s="346" t="s">
        <v>1424</v>
      </c>
      <c r="F17" s="26">
        <f>'数据-取费表'!B35</f>
        <v>200</v>
      </c>
      <c r="G17" s="1852"/>
      <c r="H17" s="1199" t="s">
        <v>1032</v>
      </c>
      <c r="I17" s="346" t="s">
        <v>1425</v>
      </c>
      <c r="J17" s="24">
        <f ca="1">ROUND(IF(项目基本情况!B11="自然人",J5*M17,J18+J19+J20),1)</f>
        <v>9.3000000000000007</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11</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803</v>
      </c>
      <c r="D19" s="139" t="s">
        <v>1432</v>
      </c>
      <c r="E19" s="1816"/>
      <c r="F19" s="26"/>
      <c r="G19" s="1849"/>
      <c r="H19" s="1199" t="s">
        <v>1033</v>
      </c>
      <c r="I19" s="346" t="s">
        <v>1433</v>
      </c>
      <c r="J19" s="24">
        <f ca="1">IF(K19="按租金收入计税",ROUND(J5*M19,2),ROUND(C29*M19*0.7,2))</f>
        <v>9.31</v>
      </c>
      <c r="K19" s="1826" t="s">
        <v>1434</v>
      </c>
      <c r="L19" s="346" t="s">
        <v>1418</v>
      </c>
      <c r="M19" s="366">
        <f>IF(K19="按租金收入计税",'数据-取费表'!B51,'数据-取费表'!B50)</f>
        <v>1.2E-2</v>
      </c>
    </row>
    <row r="20" spans="1:37" s="1856" customFormat="1" ht="18" customHeight="1">
      <c r="A20" s="1199" t="s">
        <v>1036</v>
      </c>
      <c r="B20" s="346" t="s">
        <v>1435</v>
      </c>
      <c r="C20" s="24">
        <f ca="1">ROUND(C19*F20,0)</f>
        <v>16</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16.600000000000001</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39</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-26</v>
      </c>
      <c r="K25" s="1343" t="s">
        <v>1460</v>
      </c>
      <c r="L25" s="1344"/>
      <c r="M25" s="1345"/>
    </row>
    <row r="26" spans="1:37">
      <c r="A26" s="1199" t="s">
        <v>1031</v>
      </c>
      <c r="B26" s="346" t="s">
        <v>1461</v>
      </c>
      <c r="C26" s="24">
        <f ca="1">ROUND((C19+C20)*F26,0)</f>
        <v>164</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1108</v>
      </c>
      <c r="D29" s="1340"/>
      <c r="E29" s="1338"/>
      <c r="F29" s="1341"/>
      <c r="G29" s="1852"/>
      <c r="H29" s="379" t="s">
        <v>1030</v>
      </c>
      <c r="I29" s="380" t="s">
        <v>1475</v>
      </c>
      <c r="J29" s="381">
        <f ca="1">ROUND(J26/(1+F40)^F41,0)</f>
        <v>0</v>
      </c>
      <c r="K29" s="382" t="s">
        <v>1476</v>
      </c>
      <c r="L29" s="383"/>
      <c r="M29" s="384">
        <f ca="1">INDIRECT("'数据-取费表'!k"&amp;$G$1)</f>
        <v>2406.44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97</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71</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IF(项目基本情况!B11="自然人","——",ROUND(C5*F32/(1+'数据-取费表'!C42),2))</f>
        <v>21.58</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IF(项目基本情况!B11="自然人","——",IF(D33="按租金收入计税",ROUND(C5*F33,2),IF(D33="按房产原值计税",ROUND(C29*F33*0.7,2),INDIRECT("'数据-取费表'!Aj"&amp;$G$1))))</f>
        <v>49.44</v>
      </c>
      <c r="D33" s="2963" t="s">
        <v>3109</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16.600000000000001</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1.6</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8.1999999999999993</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315</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5759</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23932</v>
      </c>
      <c r="D43" s="382" t="s">
        <v>1484</v>
      </c>
      <c r="E43" s="383" t="s">
        <v>1485</v>
      </c>
      <c r="F43" s="384">
        <f ca="1">INDIRECT("'数据-取费表'!k"&amp;$G$1)</f>
        <v>2406.44</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-7356</v>
      </c>
      <c r="D46" s="1870" t="str">
        <f>C2</f>
        <v>万元</v>
      </c>
      <c r="E46" s="1864"/>
      <c r="F46" s="1864"/>
      <c r="I46" s="1871" t="s">
        <v>1517</v>
      </c>
      <c r="J46" s="1872"/>
      <c r="K46" s="1873"/>
      <c r="L46" s="1874">
        <f ca="1">IF(M47="住宅",0,IF(L48&gt;J51,L60,J60))</f>
        <v>28</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5759</v>
      </c>
      <c r="R47" s="1884" t="s">
        <v>1525</v>
      </c>
    </row>
    <row r="48" spans="1:18" s="1840" customFormat="1" ht="28.5" thickBot="1">
      <c r="A48" s="1358" t="s">
        <v>1132</v>
      </c>
      <c r="B48" s="344" t="s">
        <v>1397</v>
      </c>
      <c r="C48" s="1815">
        <f ca="1">C49+C53+C55</f>
        <v>0</v>
      </c>
      <c r="D48" s="1360"/>
      <c r="E48" s="1361"/>
      <c r="F48" s="1179"/>
      <c r="G48" s="790"/>
      <c r="H48" s="791"/>
      <c r="I48" s="1885" t="s">
        <v>1526</v>
      </c>
      <c r="J48" s="1886" t="s">
        <v>3075</v>
      </c>
      <c r="K48" s="1887" t="s">
        <v>1527</v>
      </c>
      <c r="L48" s="1888">
        <f ca="1">INDIRECT("'数据-取费表'!f"&amp;$G$1)</f>
        <v>34.159999999999997</v>
      </c>
      <c r="O48" s="1882" t="s">
        <v>1038</v>
      </c>
      <c r="P48" s="1883" t="s">
        <v>1528</v>
      </c>
      <c r="Q48" s="1884">
        <f ca="1">J60</f>
        <v>28</v>
      </c>
      <c r="R48" s="1884" t="s">
        <v>1529</v>
      </c>
    </row>
    <row r="49" spans="1:18" s="1840" customFormat="1" ht="13.5" thickBot="1">
      <c r="A49" s="1192" t="s">
        <v>1133</v>
      </c>
      <c r="B49" s="1827" t="s">
        <v>1486</v>
      </c>
      <c r="C49" s="1362">
        <f ca="1">ROUND(F49*F51*F50*(1-F52)/10000,0)</f>
        <v>0</v>
      </c>
      <c r="D49" s="1274" t="s">
        <v>3029</v>
      </c>
      <c r="E49" s="1828" t="s">
        <v>1487</v>
      </c>
      <c r="F49" s="1279"/>
      <c r="G49" s="1889"/>
      <c r="H49" s="791"/>
      <c r="I49" s="1885" t="s">
        <v>1530</v>
      </c>
      <c r="J49" s="2950">
        <v>2017</v>
      </c>
      <c r="K49" s="1887" t="s">
        <v>1531</v>
      </c>
      <c r="L49" s="1891"/>
      <c r="O49" s="1892" t="s">
        <v>1039</v>
      </c>
      <c r="P49" s="1883" t="s">
        <v>1532</v>
      </c>
      <c r="Q49" s="1884">
        <f ca="1">C29</f>
        <v>1108</v>
      </c>
      <c r="R49" s="1884" t="s">
        <v>1525</v>
      </c>
    </row>
    <row r="50" spans="1:18" s="1840" customFormat="1" ht="13.5" thickBot="1">
      <c r="A50" s="1193"/>
      <c r="B50" s="1196"/>
      <c r="C50" s="1366"/>
      <c r="D50" s="1170"/>
      <c r="E50" s="1275" t="s">
        <v>1402</v>
      </c>
      <c r="F50" s="1276">
        <f ca="1">F7</f>
        <v>2406.44</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3495</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3036</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160" t="s">
        <v>1544</v>
      </c>
      <c r="L53" s="3161"/>
      <c r="O53" s="1882" t="s">
        <v>1043</v>
      </c>
      <c r="P53" s="1883" t="s">
        <v>1545</v>
      </c>
      <c r="Q53" s="1884">
        <f ca="1">Q47+Q48</f>
        <v>5787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1075</v>
      </c>
      <c r="D56" s="1912"/>
      <c r="E56" s="1913"/>
      <c r="F56" s="1905"/>
      <c r="I56" s="1914" t="s">
        <v>1550</v>
      </c>
      <c r="J56" s="1915" t="s">
        <v>3060</v>
      </c>
      <c r="K56" s="1885" t="s">
        <v>1551</v>
      </c>
      <c r="L56" s="1888" t="str">
        <f ca="1">IF(L48&lt;J51,"——",L48-J53)</f>
        <v>——</v>
      </c>
      <c r="O56" s="1882" t="s">
        <v>1037</v>
      </c>
      <c r="P56" s="1883" t="s">
        <v>1524</v>
      </c>
      <c r="Q56" s="1884">
        <f ca="1">C40+J29</f>
        <v>5759</v>
      </c>
      <c r="R56" s="1884" t="s">
        <v>1525</v>
      </c>
    </row>
    <row r="57" spans="1:18" s="1840" customFormat="1" ht="24.75" thickBot="1">
      <c r="A57" s="1916"/>
      <c r="B57" s="1167" t="s">
        <v>1474</v>
      </c>
      <c r="C57" s="281">
        <f ca="1">C29</f>
        <v>1108</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111</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93.1</v>
      </c>
      <c r="D59" s="1180" t="s">
        <v>1426</v>
      </c>
      <c r="E59" s="1181" t="s">
        <v>1427</v>
      </c>
      <c r="F59" s="367" t="str">
        <f ca="1">IF(项目基本情况!B11="企业","",IF(INDIRECT("'数据-取费表'!c"&amp;$G$1)="住宅",5%,IF(F49*F50*F51/12/(1+'数据-取费表'!C42)&gt;20000,12%,7%)))</f>
        <v/>
      </c>
      <c r="I59" s="1920" t="s">
        <v>1559</v>
      </c>
      <c r="J59" s="1921">
        <f ca="1">IF(OR(M47="住宅",J51&lt;L48,J56="是"),"——",ROUND(C29*J58,0))</f>
        <v>459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28</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93.07</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5759</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16.600000000000001</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1.6</v>
      </c>
      <c r="D65" s="1181" t="s">
        <v>1450</v>
      </c>
      <c r="E65" s="1167" t="s">
        <v>1451</v>
      </c>
      <c r="F65" s="375">
        <f t="shared" ca="1" si="0"/>
        <v>1.5E-3</v>
      </c>
      <c r="I65" s="1927" t="s">
        <v>1575</v>
      </c>
      <c r="J65" s="1928">
        <v>40</v>
      </c>
      <c r="K65" s="1928">
        <v>30</v>
      </c>
      <c r="L65" s="1928">
        <v>50</v>
      </c>
      <c r="M65" s="1930">
        <v>0.02</v>
      </c>
      <c r="O65" s="1882" t="s">
        <v>1037</v>
      </c>
      <c r="P65" s="1883" t="s">
        <v>1576</v>
      </c>
      <c r="Q65" s="1884">
        <f ca="1">C40+J29</f>
        <v>5759</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-111</v>
      </c>
      <c r="D67" s="1180" t="s">
        <v>1460</v>
      </c>
      <c r="E67" s="1185"/>
      <c r="F67" s="1186"/>
      <c r="O67" s="1892" t="s">
        <v>1039</v>
      </c>
      <c r="P67" s="1883" t="s">
        <v>1558</v>
      </c>
      <c r="Q67" s="1931">
        <f ca="1">L51</f>
        <v>3495</v>
      </c>
      <c r="R67" s="1884" t="s">
        <v>1578</v>
      </c>
    </row>
    <row r="68" spans="1:18" s="1840" customFormat="1" ht="16.5" thickBot="1">
      <c r="A68" s="1164" t="s">
        <v>1029</v>
      </c>
      <c r="B68" s="1165" t="s">
        <v>1481</v>
      </c>
      <c r="C68" s="345">
        <f ca="1">ROUND(C67*(1-((1+F70)/(1+F68))^F69)/(F68-F70),0)</f>
        <v>-1597</v>
      </c>
      <c r="D68" s="1182" t="s">
        <v>1465</v>
      </c>
      <c r="E68" s="1167" t="s">
        <v>1466</v>
      </c>
      <c r="F68" s="356">
        <f ca="1">F40</f>
        <v>0.06</v>
      </c>
      <c r="O68" s="1892" t="s">
        <v>1040</v>
      </c>
      <c r="P68" s="1932" t="s">
        <v>1579</v>
      </c>
      <c r="Q68" s="1884">
        <f ca="1">ROUND(Q69-Q70*Q71,0)</f>
        <v>229</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315</v>
      </c>
      <c r="R69" s="1884" t="s">
        <v>1525</v>
      </c>
    </row>
    <row r="70" spans="1:18" s="1840" customFormat="1" ht="13.5" thickBot="1">
      <c r="A70" s="1171"/>
      <c r="B70" s="1172"/>
      <c r="C70" s="354"/>
      <c r="D70" s="1183"/>
      <c r="E70" s="1167" t="s">
        <v>1473</v>
      </c>
      <c r="F70" s="1273"/>
      <c r="O70" s="1892" t="s">
        <v>1046</v>
      </c>
      <c r="P70" s="1932" t="s">
        <v>1581</v>
      </c>
      <c r="Q70" s="1884">
        <f ca="1">C13</f>
        <v>1075</v>
      </c>
      <c r="R70" s="1884" t="s">
        <v>1525</v>
      </c>
    </row>
    <row r="71" spans="1:18" s="1840" customFormat="1" ht="13.5" thickBot="1">
      <c r="A71" s="1188" t="s">
        <v>1030</v>
      </c>
      <c r="B71" s="1189" t="s">
        <v>1483</v>
      </c>
      <c r="C71" s="381">
        <f ca="1">ROUND(C68*10000/F71,0)</f>
        <v>-6636</v>
      </c>
      <c r="D71" s="1190" t="s">
        <v>1484</v>
      </c>
      <c r="E71" s="1191" t="s">
        <v>1485</v>
      </c>
      <c r="F71" s="384">
        <f ca="1">F43</f>
        <v>2406.44</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86</v>
      </c>
      <c r="D75" s="1840"/>
      <c r="E75" s="1840"/>
      <c r="F75" s="1840"/>
      <c r="K75" s="1866"/>
      <c r="L75" s="1840"/>
      <c r="O75" s="1882" t="s">
        <v>1043</v>
      </c>
      <c r="P75" s="1883" t="s">
        <v>1545</v>
      </c>
      <c r="Q75" s="1884">
        <f ca="1">Q65+Q66</f>
        <v>5759</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0.72699999999999998</v>
      </c>
    </row>
    <row r="80" spans="1:18">
      <c r="B80" s="385" t="s">
        <v>1507</v>
      </c>
      <c r="C80" s="317">
        <f ca="1">ROUND(C75/C39,3)</f>
        <v>0.27300000000000002</v>
      </c>
    </row>
    <row r="81" spans="2:3">
      <c r="B81" s="313" t="s">
        <v>1508</v>
      </c>
      <c r="C81" s="281"/>
    </row>
    <row r="82" spans="2:3">
      <c r="B82" s="316" t="s">
        <v>1509</v>
      </c>
      <c r="C82" s="318">
        <f ca="1">1-C83</f>
        <v>0.81299999999999994</v>
      </c>
    </row>
    <row r="83" spans="2:3">
      <c r="B83" s="316" t="s">
        <v>1510</v>
      </c>
      <c r="C83" s="317">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2322</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ROUND(IF(D3="",B2*10000/'数据-汇总表'!E3,B2*10000/D3),0)</f>
        <v>#DIV/0!</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202" t="s">
        <v>2641</v>
      </c>
      <c r="D4" s="3203"/>
      <c r="E4" s="3204" t="s">
        <v>2642</v>
      </c>
      <c r="F4" s="3205"/>
      <c r="G4" s="3202" t="s">
        <v>2643</v>
      </c>
      <c r="H4" s="3203"/>
      <c r="I4" s="3202" t="s">
        <v>2644</v>
      </c>
      <c r="J4" s="3203"/>
      <c r="K4" s="609" t="s">
        <v>2645</v>
      </c>
      <c r="L4" s="1128"/>
      <c r="M4" s="1129"/>
      <c r="N4" s="1129"/>
      <c r="O4" s="1129"/>
      <c r="P4" s="3206" t="s">
        <v>2646</v>
      </c>
      <c r="Q4" s="3207"/>
      <c r="R4" s="3189" t="s">
        <v>2642</v>
      </c>
      <c r="S4" s="3190"/>
      <c r="T4" s="3189" t="s">
        <v>2643</v>
      </c>
      <c r="U4" s="3190"/>
      <c r="V4" s="3214" t="s">
        <v>2644</v>
      </c>
      <c r="W4" s="3214"/>
      <c r="X4" s="1811"/>
      <c r="Y4" s="3189" t="s">
        <v>2646</v>
      </c>
      <c r="Z4" s="3190"/>
      <c r="AA4" s="3184" t="s">
        <v>2642</v>
      </c>
      <c r="AB4" s="3185" t="s">
        <v>2643</v>
      </c>
      <c r="AC4" s="3184" t="s">
        <v>2644</v>
      </c>
    </row>
    <row r="5" spans="1:29" ht="15">
      <c r="A5" s="403"/>
      <c r="B5" s="404"/>
      <c r="C5" s="3195" t="s">
        <v>2537</v>
      </c>
      <c r="D5" s="3196"/>
      <c r="E5" s="3193" t="s">
        <v>2538</v>
      </c>
      <c r="F5" s="3194"/>
      <c r="G5" s="3195" t="s">
        <v>2539</v>
      </c>
      <c r="H5" s="3196"/>
      <c r="I5" s="3195" t="s">
        <v>2540</v>
      </c>
      <c r="J5" s="3196"/>
      <c r="K5" s="609"/>
      <c r="L5" s="1128"/>
      <c r="M5" s="1129"/>
      <c r="N5" s="1129"/>
      <c r="O5" s="1129"/>
      <c r="P5" s="3208"/>
      <c r="Q5" s="3209"/>
      <c r="R5" s="3191"/>
      <c r="S5" s="3192"/>
      <c r="T5" s="3191"/>
      <c r="U5" s="3192"/>
      <c r="V5" s="3214"/>
      <c r="W5" s="3214"/>
      <c r="X5" s="1811"/>
      <c r="Y5" s="3191"/>
      <c r="Z5" s="3192"/>
      <c r="AA5" s="3185"/>
      <c r="AB5" s="3185"/>
      <c r="AC5" s="3185"/>
    </row>
    <row r="6" spans="1:29" ht="15.75" thickBot="1">
      <c r="A6" s="405"/>
      <c r="B6" s="406"/>
      <c r="C6" s="3254" t="s">
        <v>2792</v>
      </c>
      <c r="D6" s="3255"/>
      <c r="E6" s="3256" t="s">
        <v>2792</v>
      </c>
      <c r="F6" s="3257"/>
      <c r="G6" s="3254" t="s">
        <v>2792</v>
      </c>
      <c r="H6" s="3255"/>
      <c r="I6" s="3254" t="s">
        <v>2792</v>
      </c>
      <c r="J6" s="3255"/>
      <c r="K6" s="609" t="s">
        <v>2542</v>
      </c>
      <c r="L6" s="1128"/>
      <c r="M6" s="1129"/>
      <c r="N6" s="1129"/>
      <c r="O6" s="1129"/>
      <c r="P6" s="3210"/>
      <c r="Q6" s="3211"/>
      <c r="R6" s="3191"/>
      <c r="S6" s="3192"/>
      <c r="T6" s="3212"/>
      <c r="U6" s="3213"/>
      <c r="V6" s="3214"/>
      <c r="W6" s="3214"/>
      <c r="X6" s="1811"/>
      <c r="Y6" s="3212"/>
      <c r="Z6" s="3213"/>
      <c r="AA6" s="3186"/>
      <c r="AB6" s="3186"/>
      <c r="AC6" s="3186"/>
    </row>
    <row r="7" spans="1:29" s="117" customFormat="1" ht="15.75" thickBot="1">
      <c r="A7" s="407" t="s">
        <v>2543</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187" t="s">
        <v>2544</v>
      </c>
      <c r="Q7" s="3215"/>
      <c r="R7" s="768" t="s">
        <v>17</v>
      </c>
      <c r="S7" s="769">
        <f t="shared" ref="S7:S15" si="0">F7</f>
        <v>0</v>
      </c>
      <c r="T7" s="768" t="s">
        <v>17</v>
      </c>
      <c r="U7" s="769">
        <f t="shared" ref="U7:U15" si="1">H7</f>
        <v>0</v>
      </c>
      <c r="V7" s="768" t="s">
        <v>17</v>
      </c>
      <c r="W7" s="769">
        <f t="shared" ref="W7:W15" si="2">J7</f>
        <v>0</v>
      </c>
      <c r="X7" s="770"/>
      <c r="Y7" s="3187" t="s">
        <v>2544</v>
      </c>
      <c r="Z7" s="3188"/>
      <c r="AA7" s="771" t="e">
        <f>D7/F7</f>
        <v>#DIV/0!</v>
      </c>
      <c r="AB7" s="771" t="e">
        <f>D7/H7</f>
        <v>#DIV/0!</v>
      </c>
      <c r="AC7" s="771"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87" t="s">
        <v>2547</v>
      </c>
      <c r="Q8" s="3188"/>
      <c r="R8" s="768" t="s">
        <v>17</v>
      </c>
      <c r="S8" s="769">
        <f t="shared" si="0"/>
        <v>0</v>
      </c>
      <c r="T8" s="768" t="s">
        <v>17</v>
      </c>
      <c r="U8" s="769">
        <f t="shared" si="1"/>
        <v>0</v>
      </c>
      <c r="V8" s="768" t="s">
        <v>17</v>
      </c>
      <c r="W8" s="769">
        <f t="shared" si="2"/>
        <v>0</v>
      </c>
      <c r="X8" s="770"/>
      <c r="Y8" s="3187" t="s">
        <v>2547</v>
      </c>
      <c r="Z8" s="3188"/>
      <c r="AA8" s="771" t="e">
        <f t="shared" ref="AA8:AA40" si="3">D8/F8</f>
        <v>#DIV/0!</v>
      </c>
      <c r="AB8" s="771" t="e">
        <f t="shared" ref="AB8:AB40" si="4">D8/H8</f>
        <v>#DIV/0!</v>
      </c>
      <c r="AC8" s="771" t="e">
        <f t="shared" ref="AC8:AC40" si="5">D8/J8</f>
        <v>#DIV/0!</v>
      </c>
    </row>
    <row r="9" spans="1:29" s="117" customFormat="1">
      <c r="A9" s="414" t="s">
        <v>2548</v>
      </c>
      <c r="B9" s="71" t="s">
        <v>2549</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19" t="s">
        <v>2550</v>
      </c>
      <c r="Q9" s="1793" t="str">
        <f t="shared" ref="Q9:Q15" si="6">B9</f>
        <v>用途</v>
      </c>
      <c r="R9" s="768" t="s">
        <v>17</v>
      </c>
      <c r="S9" s="769">
        <f t="shared" si="0"/>
        <v>100</v>
      </c>
      <c r="T9" s="768" t="s">
        <v>17</v>
      </c>
      <c r="U9" s="769">
        <f t="shared" si="1"/>
        <v>100</v>
      </c>
      <c r="V9" s="768" t="s">
        <v>17</v>
      </c>
      <c r="W9" s="769">
        <f t="shared" si="2"/>
        <v>100</v>
      </c>
      <c r="X9" s="770"/>
      <c r="Y9" s="3034" t="s">
        <v>2551</v>
      </c>
      <c r="Z9" s="55" t="str">
        <f t="shared" ref="Z9:Z15" si="7">Q9</f>
        <v>用途</v>
      </c>
      <c r="AA9" s="771">
        <f t="shared" si="3"/>
        <v>1</v>
      </c>
      <c r="AB9" s="771">
        <f t="shared" si="4"/>
        <v>1</v>
      </c>
      <c r="AC9" s="771">
        <f t="shared" si="5"/>
        <v>1</v>
      </c>
    </row>
    <row r="10" spans="1:29" s="426" customFormat="1" ht="27">
      <c r="A10" s="420"/>
      <c r="B10" s="421" t="s">
        <v>2552</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219"/>
      <c r="Q10" s="1793" t="str">
        <f t="shared" si="6"/>
        <v>土地使用年限（年）</v>
      </c>
      <c r="R10" s="768" t="s">
        <v>17</v>
      </c>
      <c r="S10" s="769">
        <f t="shared" si="0"/>
        <v>105</v>
      </c>
      <c r="T10" s="768" t="s">
        <v>17</v>
      </c>
      <c r="U10" s="769">
        <f t="shared" si="1"/>
        <v>105</v>
      </c>
      <c r="V10" s="768" t="s">
        <v>17</v>
      </c>
      <c r="W10" s="769">
        <f t="shared" si="2"/>
        <v>105</v>
      </c>
      <c r="X10" s="770"/>
      <c r="Y10" s="3034"/>
      <c r="Z10" s="55" t="str">
        <f t="shared" si="7"/>
        <v>土地使用年限（年）</v>
      </c>
      <c r="AA10" s="771">
        <f t="shared" si="3"/>
        <v>0.95238095238095233</v>
      </c>
      <c r="AB10" s="771">
        <f t="shared" si="4"/>
        <v>0.95238095238095233</v>
      </c>
      <c r="AC10" s="771">
        <f t="shared" si="5"/>
        <v>0.95238095238095233</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19"/>
      <c r="Q11" s="1793" t="str">
        <f t="shared" si="6"/>
        <v>容积率</v>
      </c>
      <c r="R11" s="768" t="s">
        <v>17</v>
      </c>
      <c r="S11" s="769" t="e">
        <f t="shared" si="0"/>
        <v>#N/A</v>
      </c>
      <c r="T11" s="768" t="s">
        <v>17</v>
      </c>
      <c r="U11" s="769" t="e">
        <f t="shared" si="1"/>
        <v>#N/A</v>
      </c>
      <c r="V11" s="768" t="s">
        <v>17</v>
      </c>
      <c r="W11" s="769" t="e">
        <f t="shared" si="2"/>
        <v>#N/A</v>
      </c>
      <c r="X11" s="770"/>
      <c r="Y11" s="3034"/>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19"/>
      <c r="Q12" s="1793">
        <f t="shared" si="6"/>
        <v>111</v>
      </c>
      <c r="R12" s="768" t="s">
        <v>17</v>
      </c>
      <c r="S12" s="769">
        <f t="shared" si="0"/>
        <v>100</v>
      </c>
      <c r="T12" s="768" t="s">
        <v>17</v>
      </c>
      <c r="U12" s="769">
        <f t="shared" si="1"/>
        <v>100</v>
      </c>
      <c r="V12" s="768" t="s">
        <v>17</v>
      </c>
      <c r="W12" s="769">
        <f t="shared" si="2"/>
        <v>100</v>
      </c>
      <c r="X12" s="770"/>
      <c r="Y12" s="3034"/>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19"/>
      <c r="Q13" s="1793">
        <f t="shared" si="6"/>
        <v>111</v>
      </c>
      <c r="R13" s="768" t="s">
        <v>17</v>
      </c>
      <c r="S13" s="769">
        <f t="shared" si="0"/>
        <v>100</v>
      </c>
      <c r="T13" s="768" t="s">
        <v>17</v>
      </c>
      <c r="U13" s="769">
        <f t="shared" si="1"/>
        <v>100</v>
      </c>
      <c r="V13" s="768" t="s">
        <v>17</v>
      </c>
      <c r="W13" s="769">
        <f t="shared" si="2"/>
        <v>100</v>
      </c>
      <c r="X13" s="770"/>
      <c r="Y13" s="3034"/>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19"/>
      <c r="Q14" s="1793">
        <f t="shared" si="6"/>
        <v>111</v>
      </c>
      <c r="R14" s="768" t="s">
        <v>17</v>
      </c>
      <c r="S14" s="769">
        <f t="shared" si="0"/>
        <v>100</v>
      </c>
      <c r="T14" s="768" t="s">
        <v>17</v>
      </c>
      <c r="U14" s="769">
        <f t="shared" si="1"/>
        <v>100</v>
      </c>
      <c r="V14" s="768" t="s">
        <v>17</v>
      </c>
      <c r="W14" s="769">
        <f t="shared" si="2"/>
        <v>100</v>
      </c>
      <c r="X14" s="770"/>
      <c r="Y14" s="3034"/>
      <c r="Z14" s="55">
        <f t="shared" si="7"/>
        <v>111</v>
      </c>
      <c r="AA14" s="771">
        <f t="shared" si="3"/>
        <v>1</v>
      </c>
      <c r="AB14" s="771">
        <f t="shared" si="4"/>
        <v>1</v>
      </c>
      <c r="AC14" s="771">
        <f t="shared" si="5"/>
        <v>1</v>
      </c>
    </row>
    <row r="15" spans="1:29" ht="57">
      <c r="A15" s="439" t="s">
        <v>2554</v>
      </c>
      <c r="B15" s="628" t="s">
        <v>2793</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1" t="s">
        <v>2555</v>
      </c>
      <c r="Q15" s="1808" t="str">
        <f t="shared" si="6"/>
        <v>产业集聚程度</v>
      </c>
      <c r="R15" s="772" t="s">
        <v>17</v>
      </c>
      <c r="S15" s="773">
        <f t="shared" si="0"/>
        <v>100</v>
      </c>
      <c r="T15" s="772" t="s">
        <v>17</v>
      </c>
      <c r="U15" s="773">
        <f t="shared" si="1"/>
        <v>100</v>
      </c>
      <c r="V15" s="772" t="s">
        <v>17</v>
      </c>
      <c r="W15" s="773">
        <f t="shared" si="2"/>
        <v>100</v>
      </c>
      <c r="X15" s="1811"/>
      <c r="Y15" s="3221" t="s">
        <v>2555</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22"/>
      <c r="Q16" s="1808"/>
      <c r="R16" s="772"/>
      <c r="S16" s="773"/>
      <c r="T16" s="772"/>
      <c r="U16" s="773"/>
      <c r="V16" s="772"/>
      <c r="W16" s="773"/>
      <c r="X16" s="1811"/>
      <c r="Y16" s="3222"/>
      <c r="Z16" s="1812"/>
      <c r="AA16" s="1809">
        <v>1</v>
      </c>
      <c r="AB16" s="1809">
        <v>1</v>
      </c>
      <c r="AC16" s="1809">
        <v>1</v>
      </c>
    </row>
    <row r="17" spans="1:29" ht="85.5">
      <c r="A17" s="427"/>
      <c r="B17" s="630" t="s">
        <v>2704</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2"/>
      <c r="Q17" s="1808" t="str">
        <f>B17</f>
        <v>交通便捷度</v>
      </c>
      <c r="R17" s="772" t="s">
        <v>17</v>
      </c>
      <c r="S17" s="773">
        <f>F17</f>
        <v>100</v>
      </c>
      <c r="T17" s="772" t="s">
        <v>17</v>
      </c>
      <c r="U17" s="773">
        <f>H17</f>
        <v>100</v>
      </c>
      <c r="V17" s="772" t="s">
        <v>17</v>
      </c>
      <c r="W17" s="773">
        <f>J17</f>
        <v>100</v>
      </c>
      <c r="X17" s="1811"/>
      <c r="Y17" s="3222"/>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22"/>
      <c r="Q18" s="1808"/>
      <c r="R18" s="772"/>
      <c r="S18" s="773"/>
      <c r="T18" s="772"/>
      <c r="U18" s="773"/>
      <c r="V18" s="772"/>
      <c r="W18" s="773"/>
      <c r="X18" s="1811"/>
      <c r="Y18" s="3222"/>
      <c r="Z18" s="1812"/>
      <c r="AA18" s="1809">
        <v>1</v>
      </c>
      <c r="AB18" s="1809">
        <v>1</v>
      </c>
      <c r="AC18" s="1809">
        <v>1</v>
      </c>
    </row>
    <row r="19" spans="1:29" ht="15">
      <c r="A19" s="427"/>
      <c r="B19" s="630" t="s">
        <v>2743</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2"/>
      <c r="Q19" s="1808" t="str">
        <f t="shared" ref="Q19:Q33" si="8">B19</f>
        <v>区域土地利用方向</v>
      </c>
      <c r="R19" s="772" t="s">
        <v>17</v>
      </c>
      <c r="S19" s="773">
        <f>F19</f>
        <v>100</v>
      </c>
      <c r="T19" s="772" t="s">
        <v>17</v>
      </c>
      <c r="U19" s="773">
        <f>H19</f>
        <v>100</v>
      </c>
      <c r="V19" s="772" t="s">
        <v>17</v>
      </c>
      <c r="W19" s="773">
        <f>J19</f>
        <v>100</v>
      </c>
      <c r="X19" s="1811"/>
      <c r="Y19" s="3222"/>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222"/>
      <c r="Q20" s="1808"/>
      <c r="R20" s="772"/>
      <c r="S20" s="773"/>
      <c r="T20" s="772"/>
      <c r="U20" s="773"/>
      <c r="V20" s="772"/>
      <c r="W20" s="773"/>
      <c r="X20" s="1811"/>
      <c r="Y20" s="3222"/>
      <c r="Z20" s="1812"/>
      <c r="AA20" s="1809"/>
      <c r="AB20" s="1809"/>
      <c r="AC20" s="1809"/>
    </row>
    <row r="21" spans="1:29" ht="71.25">
      <c r="A21" s="403"/>
      <c r="B21" s="630" t="s">
        <v>2794</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2"/>
      <c r="Q21" s="1808" t="str">
        <f t="shared" si="8"/>
        <v>环境状况</v>
      </c>
      <c r="R21" s="772" t="s">
        <v>17</v>
      </c>
      <c r="S21" s="773">
        <f>F21</f>
        <v>100</v>
      </c>
      <c r="T21" s="772" t="s">
        <v>17</v>
      </c>
      <c r="U21" s="773">
        <f>H21</f>
        <v>100</v>
      </c>
      <c r="V21" s="772" t="s">
        <v>17</v>
      </c>
      <c r="W21" s="773">
        <f>J21</f>
        <v>100</v>
      </c>
      <c r="X21" s="1811"/>
      <c r="Y21" s="3222"/>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22"/>
      <c r="Q22" s="1808"/>
      <c r="R22" s="772"/>
      <c r="S22" s="773"/>
      <c r="T22" s="772"/>
      <c r="U22" s="773"/>
      <c r="V22" s="772"/>
      <c r="W22" s="773"/>
      <c r="X22" s="1811"/>
      <c r="Y22" s="3222"/>
      <c r="Z22" s="1812"/>
      <c r="AA22" s="1809">
        <v>1</v>
      </c>
      <c r="AB22" s="1809">
        <v>1</v>
      </c>
      <c r="AC22" s="1809">
        <v>1</v>
      </c>
    </row>
    <row r="23" spans="1:29" s="117" customFormat="1" ht="42.75">
      <c r="A23" s="648"/>
      <c r="B23" s="632" t="s">
        <v>2649</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2"/>
      <c r="Q23" s="1793" t="str">
        <f t="shared" si="8"/>
        <v>公共配套设施</v>
      </c>
      <c r="R23" s="768" t="s">
        <v>17</v>
      </c>
      <c r="S23" s="769">
        <f>F23</f>
        <v>100</v>
      </c>
      <c r="T23" s="768" t="s">
        <v>17</v>
      </c>
      <c r="U23" s="769">
        <f>H23</f>
        <v>100</v>
      </c>
      <c r="V23" s="768" t="s">
        <v>17</v>
      </c>
      <c r="W23" s="769">
        <f>J23</f>
        <v>100</v>
      </c>
      <c r="X23" s="770"/>
      <c r="Y23" s="3222"/>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222"/>
      <c r="Q24" s="1793"/>
      <c r="R24" s="768"/>
      <c r="S24" s="769"/>
      <c r="T24" s="768"/>
      <c r="U24" s="769"/>
      <c r="V24" s="768"/>
      <c r="W24" s="769"/>
      <c r="X24" s="770"/>
      <c r="Y24" s="3222"/>
      <c r="Z24" s="55"/>
      <c r="AA24" s="771">
        <v>1</v>
      </c>
      <c r="AB24" s="771">
        <v>1</v>
      </c>
      <c r="AC24" s="771">
        <v>1</v>
      </c>
    </row>
    <row r="25" spans="1:29" s="117" customFormat="1" ht="28.5">
      <c r="A25" s="648"/>
      <c r="B25" s="632" t="s">
        <v>2650</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2"/>
      <c r="Q25" s="1793" t="str">
        <f t="shared" ref="Q25" si="9">B25</f>
        <v>基础设施水平</v>
      </c>
      <c r="R25" s="768" t="s">
        <v>17</v>
      </c>
      <c r="S25" s="769">
        <f>F25</f>
        <v>100</v>
      </c>
      <c r="T25" s="768" t="s">
        <v>17</v>
      </c>
      <c r="U25" s="769">
        <f>H25</f>
        <v>100</v>
      </c>
      <c r="V25" s="768" t="s">
        <v>17</v>
      </c>
      <c r="W25" s="769">
        <f>J25</f>
        <v>100</v>
      </c>
      <c r="X25" s="770"/>
      <c r="Y25" s="3222"/>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222"/>
      <c r="Q26" s="1793"/>
      <c r="R26" s="768"/>
      <c r="S26" s="769"/>
      <c r="T26" s="768"/>
      <c r="U26" s="769"/>
      <c r="V26" s="768"/>
      <c r="W26" s="769"/>
      <c r="X26" s="770"/>
      <c r="Y26" s="3222"/>
      <c r="Z26" s="55"/>
      <c r="AA26" s="771">
        <v>1</v>
      </c>
      <c r="AB26" s="771">
        <v>1</v>
      </c>
      <c r="AC26" s="771">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22"/>
      <c r="Z27" s="1812" t="str">
        <f t="shared" ref="Z27:Z40" si="13">Q27</f>
        <v>临街状况</v>
      </c>
      <c r="AA27" s="1809">
        <f t="shared" si="3"/>
        <v>1</v>
      </c>
      <c r="AB27" s="1809">
        <f t="shared" si="4"/>
        <v>1</v>
      </c>
      <c r="AC27" s="1809">
        <f t="shared" si="5"/>
        <v>1</v>
      </c>
    </row>
    <row r="28" spans="1:29" ht="27">
      <c r="A28" s="427"/>
      <c r="B28" s="632" t="s">
        <v>2686</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2"/>
      <c r="Q28" s="1808" t="str">
        <f t="shared" si="8"/>
        <v>毗邻道路的类型与等级</v>
      </c>
      <c r="R28" s="772" t="s">
        <v>17</v>
      </c>
      <c r="S28" s="773">
        <f t="shared" si="10"/>
        <v>100</v>
      </c>
      <c r="T28" s="772" t="s">
        <v>17</v>
      </c>
      <c r="U28" s="773">
        <f t="shared" si="11"/>
        <v>100</v>
      </c>
      <c r="V28" s="772" t="s">
        <v>17</v>
      </c>
      <c r="W28" s="773">
        <f t="shared" si="12"/>
        <v>100</v>
      </c>
      <c r="X28" s="1811"/>
      <c r="Y28" s="3222"/>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22"/>
      <c r="Q29" s="1808"/>
      <c r="R29" s="772"/>
      <c r="S29" s="773"/>
      <c r="T29" s="772"/>
      <c r="U29" s="773"/>
      <c r="V29" s="772"/>
      <c r="W29" s="773"/>
      <c r="X29" s="1811"/>
      <c r="Y29" s="3222"/>
      <c r="Z29" s="1812"/>
      <c r="AA29" s="1809">
        <v>1</v>
      </c>
      <c r="AB29" s="1809">
        <v>1</v>
      </c>
      <c r="AC29" s="1809">
        <v>1</v>
      </c>
    </row>
    <row r="30" spans="1:29" ht="15">
      <c r="A30" s="427"/>
      <c r="B30" s="653" t="s">
        <v>2745</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2"/>
      <c r="Q30" s="1808" t="str">
        <f t="shared" si="8"/>
        <v>土地级别</v>
      </c>
      <c r="R30" s="772" t="s">
        <v>17</v>
      </c>
      <c r="S30" s="773">
        <f t="shared" si="10"/>
        <v>100</v>
      </c>
      <c r="T30" s="772" t="s">
        <v>17</v>
      </c>
      <c r="U30" s="773">
        <f t="shared" si="11"/>
        <v>100</v>
      </c>
      <c r="V30" s="772" t="s">
        <v>17</v>
      </c>
      <c r="W30" s="773">
        <f t="shared" si="12"/>
        <v>100</v>
      </c>
      <c r="X30" s="1811"/>
      <c r="Y30" s="3222"/>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2"/>
      <c r="Q31" s="1808">
        <f t="shared" si="8"/>
        <v>111</v>
      </c>
      <c r="R31" s="772" t="s">
        <v>17</v>
      </c>
      <c r="S31" s="773">
        <f t="shared" si="10"/>
        <v>100</v>
      </c>
      <c r="T31" s="772" t="s">
        <v>17</v>
      </c>
      <c r="U31" s="773">
        <f t="shared" si="11"/>
        <v>100</v>
      </c>
      <c r="V31" s="772" t="s">
        <v>17</v>
      </c>
      <c r="W31" s="773">
        <f t="shared" si="12"/>
        <v>100</v>
      </c>
      <c r="X31" s="1811"/>
      <c r="Y31" s="3222"/>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5" t="s">
        <v>2560</v>
      </c>
      <c r="Q32" s="1808">
        <f t="shared" si="8"/>
        <v>111</v>
      </c>
      <c r="R32" s="772" t="s">
        <v>17</v>
      </c>
      <c r="S32" s="773">
        <f t="shared" si="10"/>
        <v>100</v>
      </c>
      <c r="T32" s="772" t="s">
        <v>17</v>
      </c>
      <c r="U32" s="773">
        <f t="shared" si="11"/>
        <v>100</v>
      </c>
      <c r="V32" s="772" t="s">
        <v>17</v>
      </c>
      <c r="W32" s="773">
        <f t="shared" si="12"/>
        <v>100</v>
      </c>
      <c r="X32" s="1811"/>
      <c r="Y32" s="3226" t="s">
        <v>2560</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6"/>
      <c r="Q33" s="1808">
        <f t="shared" si="8"/>
        <v>111</v>
      </c>
      <c r="R33" s="775" t="s">
        <v>17</v>
      </c>
      <c r="S33" s="776">
        <f t="shared" si="10"/>
        <v>100</v>
      </c>
      <c r="T33" s="775" t="s">
        <v>17</v>
      </c>
      <c r="U33" s="776">
        <f t="shared" si="11"/>
        <v>100</v>
      </c>
      <c r="V33" s="775" t="s">
        <v>17</v>
      </c>
      <c r="W33" s="776">
        <f t="shared" si="12"/>
        <v>100</v>
      </c>
      <c r="X33" s="777"/>
      <c r="Y33" s="3226"/>
      <c r="Z33" s="778">
        <f t="shared" si="13"/>
        <v>111</v>
      </c>
      <c r="AA33" s="1809">
        <f t="shared" si="3"/>
        <v>1</v>
      </c>
      <c r="AB33" s="1809">
        <f t="shared" si="4"/>
        <v>1</v>
      </c>
      <c r="AC33" s="1809">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6"/>
      <c r="Q34" s="1808" t="str">
        <f>B34</f>
        <v>宗地面积</v>
      </c>
      <c r="R34" s="772" t="s">
        <v>17</v>
      </c>
      <c r="S34" s="773" t="e">
        <f t="shared" si="10"/>
        <v>#N/A</v>
      </c>
      <c r="T34" s="772" t="s">
        <v>17</v>
      </c>
      <c r="U34" s="773" t="e">
        <f t="shared" si="11"/>
        <v>#N/A</v>
      </c>
      <c r="V34" s="772" t="s">
        <v>17</v>
      </c>
      <c r="W34" s="773" t="e">
        <f t="shared" si="12"/>
        <v>#N/A</v>
      </c>
      <c r="X34" s="1811"/>
      <c r="Y34" s="3226"/>
      <c r="Z34" s="1812" t="str">
        <f t="shared" si="13"/>
        <v>宗地面积</v>
      </c>
      <c r="AA34" s="1809" t="e">
        <f t="shared" si="3"/>
        <v>#N/A</v>
      </c>
      <c r="AB34" s="1809" t="e">
        <f t="shared" si="4"/>
        <v>#N/A</v>
      </c>
      <c r="AC34" s="1809" t="e">
        <f t="shared" si="5"/>
        <v>#N/A</v>
      </c>
    </row>
    <row r="35" spans="1:29" ht="15">
      <c r="A35" s="471"/>
      <c r="B35" s="421" t="s">
        <v>2747</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26"/>
      <c r="Q35" s="1808" t="str">
        <f t="shared" ref="Q35:Q40" si="14">B35</f>
        <v>宗地形状</v>
      </c>
      <c r="R35" s="772" t="s">
        <v>17</v>
      </c>
      <c r="S35" s="773">
        <f t="shared" si="10"/>
        <v>100</v>
      </c>
      <c r="T35" s="772" t="s">
        <v>17</v>
      </c>
      <c r="U35" s="773">
        <f t="shared" si="11"/>
        <v>100</v>
      </c>
      <c r="V35" s="772" t="s">
        <v>17</v>
      </c>
      <c r="W35" s="773">
        <f t="shared" si="12"/>
        <v>100</v>
      </c>
      <c r="X35" s="1811"/>
      <c r="Y35" s="3226"/>
      <c r="Z35" s="1812" t="str">
        <f t="shared" si="13"/>
        <v>宗地形状</v>
      </c>
      <c r="AA35" s="1809">
        <f t="shared" si="3"/>
        <v>1</v>
      </c>
      <c r="AB35" s="1809">
        <f t="shared" si="4"/>
        <v>1</v>
      </c>
      <c r="AC35" s="1809">
        <f t="shared" si="5"/>
        <v>1</v>
      </c>
    </row>
    <row r="36" spans="1:29" s="117" customFormat="1" ht="15">
      <c r="A36" s="472"/>
      <c r="B36" s="421" t="s">
        <v>2749</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26"/>
      <c r="Q36" s="1808" t="str">
        <f t="shared" si="14"/>
        <v>宗地开发程度</v>
      </c>
      <c r="R36" s="768" t="s">
        <v>17</v>
      </c>
      <c r="S36" s="769">
        <f t="shared" si="10"/>
        <v>100</v>
      </c>
      <c r="T36" s="768" t="s">
        <v>17</v>
      </c>
      <c r="U36" s="769">
        <f t="shared" si="11"/>
        <v>100</v>
      </c>
      <c r="V36" s="768" t="s">
        <v>17</v>
      </c>
      <c r="W36" s="769">
        <f t="shared" si="12"/>
        <v>100</v>
      </c>
      <c r="X36" s="770"/>
      <c r="Y36" s="3226"/>
      <c r="Z36" s="55" t="str">
        <f t="shared" si="13"/>
        <v>宗地开发程度</v>
      </c>
      <c r="AA36" s="771">
        <f t="shared" si="3"/>
        <v>1</v>
      </c>
      <c r="AB36" s="771">
        <f t="shared" si="4"/>
        <v>1</v>
      </c>
      <c r="AC36" s="771">
        <f t="shared" si="5"/>
        <v>1</v>
      </c>
    </row>
    <row r="37" spans="1:29" ht="15">
      <c r="A37" s="471"/>
      <c r="B37" s="421" t="s">
        <v>2750</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26" t="s">
        <v>2560</v>
      </c>
      <c r="Q37" s="1808" t="str">
        <f t="shared" si="14"/>
        <v>工程地质条件</v>
      </c>
      <c r="R37" s="772" t="s">
        <v>17</v>
      </c>
      <c r="S37" s="773">
        <f t="shared" si="10"/>
        <v>100</v>
      </c>
      <c r="T37" s="772" t="s">
        <v>17</v>
      </c>
      <c r="U37" s="773">
        <f t="shared" si="11"/>
        <v>100</v>
      </c>
      <c r="V37" s="772" t="s">
        <v>17</v>
      </c>
      <c r="W37" s="773">
        <f t="shared" si="12"/>
        <v>100</v>
      </c>
      <c r="X37" s="1811"/>
      <c r="Y37" s="3226" t="s">
        <v>2560</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6"/>
      <c r="Q38" s="1808">
        <f t="shared" si="14"/>
        <v>111</v>
      </c>
      <c r="R38" s="772" t="s">
        <v>17</v>
      </c>
      <c r="S38" s="773">
        <f t="shared" si="10"/>
        <v>100</v>
      </c>
      <c r="T38" s="772" t="s">
        <v>17</v>
      </c>
      <c r="U38" s="773">
        <f t="shared" si="11"/>
        <v>100</v>
      </c>
      <c r="V38" s="772" t="s">
        <v>17</v>
      </c>
      <c r="W38" s="773">
        <f t="shared" si="12"/>
        <v>100</v>
      </c>
      <c r="X38" s="1811"/>
      <c r="Y38" s="3226"/>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6"/>
      <c r="Q39" s="1808">
        <f t="shared" si="14"/>
        <v>111</v>
      </c>
      <c r="R39" s="772" t="s">
        <v>17</v>
      </c>
      <c r="S39" s="773">
        <f t="shared" si="10"/>
        <v>100</v>
      </c>
      <c r="T39" s="772" t="s">
        <v>17</v>
      </c>
      <c r="U39" s="773">
        <f t="shared" si="11"/>
        <v>100</v>
      </c>
      <c r="V39" s="772" t="s">
        <v>17</v>
      </c>
      <c r="W39" s="773">
        <f t="shared" si="12"/>
        <v>100</v>
      </c>
      <c r="X39" s="1811"/>
      <c r="Y39" s="3226"/>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6"/>
      <c r="Q40" s="1808">
        <f t="shared" si="14"/>
        <v>111</v>
      </c>
      <c r="R40" s="775" t="s">
        <v>17</v>
      </c>
      <c r="S40" s="776">
        <f t="shared" si="10"/>
        <v>100</v>
      </c>
      <c r="T40" s="775" t="s">
        <v>17</v>
      </c>
      <c r="U40" s="776">
        <f t="shared" si="11"/>
        <v>100</v>
      </c>
      <c r="V40" s="775" t="s">
        <v>17</v>
      </c>
      <c r="W40" s="776">
        <f t="shared" si="12"/>
        <v>100</v>
      </c>
      <c r="X40" s="777"/>
      <c r="Y40" s="3226"/>
      <c r="Z40" s="778">
        <f t="shared" si="13"/>
        <v>111</v>
      </c>
      <c r="AA40" s="1809">
        <f t="shared" si="3"/>
        <v>1</v>
      </c>
      <c r="AB40" s="1809">
        <f t="shared" si="4"/>
        <v>1</v>
      </c>
      <c r="AC40" s="1809">
        <f t="shared" si="5"/>
        <v>1</v>
      </c>
    </row>
    <row r="41" spans="1:29" ht="15">
      <c r="A41" s="478" t="s">
        <v>2715</v>
      </c>
      <c r="B41" s="2700" t="s">
        <v>2795</v>
      </c>
      <c r="C41" s="681" t="s">
        <v>1</v>
      </c>
      <c r="D41" s="480"/>
      <c r="E41" s="481"/>
      <c r="F41" s="482"/>
      <c r="G41" s="483"/>
      <c r="H41" s="484"/>
      <c r="I41" s="481"/>
      <c r="J41" s="484"/>
      <c r="K41" s="781"/>
      <c r="L41" s="1141"/>
      <c r="M41" s="1129"/>
      <c r="N41" s="1129"/>
      <c r="O41" s="1142"/>
      <c r="P41" s="3219" t="str">
        <f>A41</f>
        <v>成交单价</v>
      </c>
      <c r="Q41" s="3219"/>
      <c r="R41" s="3214">
        <f>E41</f>
        <v>0</v>
      </c>
      <c r="S41" s="3214"/>
      <c r="T41" s="3214">
        <f>G41</f>
        <v>0</v>
      </c>
      <c r="U41" s="3214"/>
      <c r="V41" s="3214">
        <f>I41</f>
        <v>0</v>
      </c>
      <c r="W41" s="3214"/>
      <c r="X41" s="757"/>
      <c r="Y41" s="779"/>
      <c r="Z41" s="757"/>
      <c r="AA41" s="757"/>
      <c r="AB41" s="757"/>
      <c r="AC41" s="757"/>
    </row>
    <row r="42" spans="1:29" ht="15.75" thickBot="1">
      <c r="A42" s="485" t="s">
        <v>2664</v>
      </c>
      <c r="B42" s="682"/>
      <c r="C42" s="489" t="e">
        <f>R43</f>
        <v>#DIV/0!</v>
      </c>
      <c r="D42" s="488"/>
      <c r="E42" s="489" t="e">
        <f>R42</f>
        <v>#DIV/0!</v>
      </c>
      <c r="F42" s="490"/>
      <c r="G42" s="487" t="e">
        <f>T42</f>
        <v>#DIV/0!</v>
      </c>
      <c r="H42" s="488"/>
      <c r="I42" s="489" t="e">
        <f>V42</f>
        <v>#DIV/0!</v>
      </c>
      <c r="J42" s="488"/>
      <c r="K42" s="782"/>
      <c r="L42" s="1141"/>
      <c r="M42" s="1129"/>
      <c r="N42" s="1129"/>
      <c r="O42" s="1142"/>
      <c r="P42" s="3219" t="str">
        <f>A42</f>
        <v>比较价值（元/平方米）</v>
      </c>
      <c r="Q42" s="3219"/>
      <c r="R42" s="3250" t="e">
        <f>ROUND(PRODUCT(R41,AA7:AA40),0)</f>
        <v>#DIV/0!</v>
      </c>
      <c r="S42" s="3250"/>
      <c r="T42" s="3250" t="e">
        <f>ROUND(PRODUCT(T41,AB7:AB40),0)</f>
        <v>#DIV/0!</v>
      </c>
      <c r="U42" s="3250"/>
      <c r="V42" s="3250" t="e">
        <f>ROUND(PRODUCT(V41,AC7:AC40),0)</f>
        <v>#DIV/0!</v>
      </c>
      <c r="W42" s="3250"/>
      <c r="X42" s="757"/>
      <c r="Y42" s="757"/>
      <c r="Z42" s="757"/>
      <c r="AA42" s="757"/>
      <c r="AB42" s="757"/>
      <c r="AC42" s="757"/>
    </row>
    <row r="43" spans="1:29" ht="15.75" thickBot="1">
      <c r="A43" s="491" t="s">
        <v>2665</v>
      </c>
      <c r="B43" s="492"/>
      <c r="C43" s="493" t="e">
        <f>R43</f>
        <v>#DIV/0!</v>
      </c>
      <c r="D43" s="493"/>
      <c r="E43" s="493"/>
      <c r="F43" s="493"/>
      <c r="G43" s="493"/>
      <c r="H43" s="493"/>
      <c r="I43" s="493"/>
      <c r="J43" s="493"/>
      <c r="K43" s="783"/>
      <c r="L43" s="1141"/>
      <c r="M43" s="1129"/>
      <c r="N43" s="1129"/>
      <c r="O43" s="1142"/>
      <c r="P43" s="3216" t="str">
        <f>A43</f>
        <v>估价对象XX用房的比较价值（楼面单价，元/平方米）</v>
      </c>
      <c r="Q43" s="3217"/>
      <c r="R43" s="3251" t="e">
        <f>ROUND(AVERAGE(R42:V42),0)</f>
        <v>#DIV/0!</v>
      </c>
      <c r="S43" s="3251"/>
      <c r="T43" s="3251"/>
      <c r="U43" s="3251"/>
      <c r="V43" s="3251"/>
      <c r="W43" s="325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2753</v>
      </c>
      <c r="B50" s="684" t="s">
        <v>2754</v>
      </c>
      <c r="C50" s="2701" t="s">
        <v>2755</v>
      </c>
      <c r="D50" s="2702" t="s">
        <v>2756</v>
      </c>
      <c r="E50" s="685" t="s">
        <v>2757</v>
      </c>
      <c r="F50" s="686" t="s">
        <v>2758</v>
      </c>
      <c r="G50" s="3202" t="s">
        <v>2759</v>
      </c>
      <c r="H50" s="3252"/>
      <c r="I50" s="1812" t="s">
        <v>2796</v>
      </c>
      <c r="J50" s="1812" t="str">
        <f>项目基本情况!F35</f>
        <v>江苏省泰州市泰兴市</v>
      </c>
      <c r="K50" s="2704" t="s">
        <v>2761</v>
      </c>
      <c r="L50" s="1104"/>
      <c r="M50" s="1142"/>
      <c r="N50" s="1142"/>
      <c r="O50" s="1142"/>
    </row>
    <row r="51" spans="1:17" s="691" customFormat="1">
      <c r="A51" s="687" t="s">
        <v>2762</v>
      </c>
      <c r="B51" s="688" t="e">
        <f>C43</f>
        <v>#DIV/0!</v>
      </c>
      <c r="C51" s="689">
        <v>1</v>
      </c>
      <c r="D51" s="1161">
        <v>1</v>
      </c>
      <c r="E51" s="689">
        <f>'数据-汇总表'!E8+'数据-汇总表'!E9</f>
        <v>2406.44</v>
      </c>
      <c r="F51" s="690" t="e">
        <f t="shared" ref="F51:F60" si="15">ROUND(B51*E51/10000,0)</f>
        <v>#DIV/0!</v>
      </c>
      <c r="G51" s="3201"/>
      <c r="H51" s="3219"/>
      <c r="I51" s="940">
        <v>1</v>
      </c>
      <c r="J51" s="940">
        <v>1</v>
      </c>
      <c r="K51" s="1143"/>
      <c r="L51" s="939"/>
      <c r="M51" s="939"/>
      <c r="N51" s="939"/>
      <c r="O51" s="939"/>
    </row>
    <row r="52" spans="1:17" s="691" customFormat="1">
      <c r="A52" s="692" t="s">
        <v>2763</v>
      </c>
      <c r="B52" s="261" t="e">
        <f>ROUND($C$43*C52*D52,0)</f>
        <v>#DIV/0!</v>
      </c>
      <c r="C52" s="199">
        <f t="shared" ref="C52:C60" si="16">IF($C$50="北京市系数",I52,J52)</f>
        <v>0</v>
      </c>
      <c r="D52" s="1162">
        <v>0.25</v>
      </c>
      <c r="E52" s="693"/>
      <c r="F52" s="690" t="e">
        <f t="shared" si="15"/>
        <v>#DIV/0!</v>
      </c>
      <c r="G52" s="3253" t="s">
        <v>2764</v>
      </c>
      <c r="H52" s="1102">
        <f>项目基本情况!B37</f>
        <v>0</v>
      </c>
      <c r="I52" s="940">
        <f>SUMIF(修正!A45:A56,H52,修正!B45:B56)</f>
        <v>0</v>
      </c>
      <c r="J52" s="941"/>
      <c r="K52" s="1142"/>
      <c r="L52" s="939"/>
      <c r="M52" s="939"/>
      <c r="N52" s="939"/>
      <c r="O52" s="939"/>
    </row>
    <row r="53" spans="1:17" s="691" customFormat="1">
      <c r="A53" s="692" t="s">
        <v>2765</v>
      </c>
      <c r="B53" s="261" t="e">
        <f t="shared" ref="B53:B60" si="17">ROUND($C$43*C53*D53,0)</f>
        <v>#DIV/0!</v>
      </c>
      <c r="C53" s="199">
        <f t="shared" si="16"/>
        <v>0</v>
      </c>
      <c r="D53" s="1162">
        <v>0.25</v>
      </c>
      <c r="E53" s="693"/>
      <c r="F53" s="690" t="e">
        <f t="shared" si="15"/>
        <v>#DIV/0!</v>
      </c>
      <c r="G53" s="3253"/>
      <c r="H53" s="1102">
        <f>项目基本情况!B37</f>
        <v>0</v>
      </c>
      <c r="I53" s="940">
        <f>SUMIF(修正!A45:A56,H53,修正!C45:C56)</f>
        <v>0</v>
      </c>
      <c r="J53" s="941"/>
      <c r="K53" s="1143"/>
      <c r="L53" s="939"/>
      <c r="M53" s="939"/>
      <c r="N53" s="939"/>
      <c r="O53" s="939"/>
    </row>
    <row r="54" spans="1:17" s="691" customFormat="1">
      <c r="A54" s="692" t="s">
        <v>2766</v>
      </c>
      <c r="B54" s="261" t="e">
        <f t="shared" si="17"/>
        <v>#DIV/0!</v>
      </c>
      <c r="C54" s="199">
        <f t="shared" si="16"/>
        <v>0</v>
      </c>
      <c r="D54" s="1162">
        <v>0.25</v>
      </c>
      <c r="E54" s="693"/>
      <c r="F54" s="690" t="e">
        <f t="shared" si="15"/>
        <v>#DIV/0!</v>
      </c>
      <c r="G54" s="3253"/>
      <c r="H54" s="1102">
        <f>项目基本情况!B37</f>
        <v>0</v>
      </c>
      <c r="I54" s="940">
        <f>SUMIF(修正!A45:A56,H54,修正!D45:D56)</f>
        <v>0</v>
      </c>
      <c r="J54" s="941"/>
      <c r="K54" s="1142"/>
      <c r="L54" s="939"/>
      <c r="M54" s="939"/>
      <c r="N54" s="939"/>
      <c r="O54" s="939"/>
    </row>
    <row r="55" spans="1:17" s="691" customFormat="1">
      <c r="A55" s="692" t="s">
        <v>2767</v>
      </c>
      <c r="B55" s="261" t="e">
        <f t="shared" si="17"/>
        <v>#DIV/0!</v>
      </c>
      <c r="C55" s="199">
        <f t="shared" si="16"/>
        <v>0</v>
      </c>
      <c r="D55" s="1162">
        <v>0.25</v>
      </c>
      <c r="E55" s="693"/>
      <c r="F55" s="690" t="e">
        <f t="shared" si="15"/>
        <v>#DIV/0!</v>
      </c>
      <c r="G55" s="3253"/>
      <c r="H55" s="1102">
        <f>项目基本情况!B37</f>
        <v>0</v>
      </c>
      <c r="I55" s="940">
        <f>SUMIF(修正!A45:A56,H55,修正!E45:E56)</f>
        <v>0</v>
      </c>
      <c r="J55" s="941"/>
      <c r="K55" s="1143"/>
      <c r="L55" s="939"/>
      <c r="M55" s="939"/>
      <c r="N55" s="939"/>
      <c r="O55" s="939"/>
    </row>
    <row r="56" spans="1:17" s="691" customFormat="1">
      <c r="A56" s="692" t="s">
        <v>2768</v>
      </c>
      <c r="B56" s="261" t="e">
        <f t="shared" si="17"/>
        <v>#DIV/0!</v>
      </c>
      <c r="C56" s="199">
        <f t="shared" si="16"/>
        <v>0</v>
      </c>
      <c r="D56" s="1162">
        <v>0.25</v>
      </c>
      <c r="E56" s="260">
        <f>'数据-汇总表'!E11</f>
        <v>0</v>
      </c>
      <c r="F56" s="690" t="e">
        <f t="shared" si="15"/>
        <v>#DIV/0!</v>
      </c>
      <c r="G56" s="2705" t="s">
        <v>2769</v>
      </c>
      <c r="H56" s="1102">
        <f>项目基本情况!C37</f>
        <v>0</v>
      </c>
      <c r="I56" s="940">
        <f>SUMIF(修正!A45:A56,H56,修正!F45:F56)</f>
        <v>0</v>
      </c>
      <c r="J56" s="941"/>
      <c r="K56" s="1142"/>
      <c r="L56" s="939"/>
      <c r="M56" s="939"/>
      <c r="N56" s="939"/>
      <c r="O56" s="939"/>
    </row>
    <row r="57" spans="1:17" s="691" customFormat="1">
      <c r="A57" s="692" t="s">
        <v>2770</v>
      </c>
      <c r="B57" s="261" t="e">
        <f t="shared" si="17"/>
        <v>#DIV/0!</v>
      </c>
      <c r="C57" s="199">
        <f t="shared" si="16"/>
        <v>0</v>
      </c>
      <c r="D57" s="1162">
        <v>0.25</v>
      </c>
      <c r="E57" s="260">
        <f>'数据-汇总表'!E12</f>
        <v>0</v>
      </c>
      <c r="F57" s="690" t="e">
        <f t="shared" si="15"/>
        <v>#DIV/0!</v>
      </c>
      <c r="G57" s="1107" t="s">
        <v>2771</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2772</v>
      </c>
      <c r="B58" s="261" t="e">
        <f t="shared" si="17"/>
        <v>#DIV/0!</v>
      </c>
      <c r="C58" s="199">
        <f t="shared" si="16"/>
        <v>0</v>
      </c>
      <c r="D58" s="1162">
        <v>0.25</v>
      </c>
      <c r="E58" s="260">
        <f>'数据-汇总表'!E13</f>
        <v>0</v>
      </c>
      <c r="F58" s="690" t="e">
        <f t="shared" si="15"/>
        <v>#DIV/0!</v>
      </c>
      <c r="G58" s="1107" t="s">
        <v>2773</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2774</v>
      </c>
      <c r="B59" s="261" t="e">
        <f t="shared" si="17"/>
        <v>#DIV/0!</v>
      </c>
      <c r="C59" s="199">
        <f t="shared" si="16"/>
        <v>0</v>
      </c>
      <c r="D59" s="1162">
        <v>0.25</v>
      </c>
      <c r="E59" s="260">
        <f>'数据-汇总表'!E14</f>
        <v>0</v>
      </c>
      <c r="F59" s="690" t="e">
        <f t="shared" si="15"/>
        <v>#DIV/0!</v>
      </c>
      <c r="G59" s="2705" t="s">
        <v>2764</v>
      </c>
      <c r="H59" s="1102">
        <f>项目基本情况!B37</f>
        <v>0</v>
      </c>
      <c r="I59" s="940">
        <f>SUMIF(修正!A45:A56,H59,修正!H45:H56)</f>
        <v>0</v>
      </c>
      <c r="J59" s="941"/>
      <c r="K59" s="1143"/>
      <c r="L59" s="939"/>
      <c r="M59" s="939"/>
      <c r="N59" s="939"/>
      <c r="O59" s="939"/>
    </row>
    <row r="60" spans="1:17" s="691" customFormat="1" ht="15" thickBot="1">
      <c r="A60" s="692" t="s">
        <v>2775</v>
      </c>
      <c r="B60" s="261" t="e">
        <f t="shared" si="17"/>
        <v>#DIV/0!</v>
      </c>
      <c r="C60" s="199">
        <f t="shared" si="16"/>
        <v>0</v>
      </c>
      <c r="D60" s="1162">
        <v>0.25</v>
      </c>
      <c r="E60" s="260">
        <f>'数据-汇总表'!E15</f>
        <v>0</v>
      </c>
      <c r="F60" s="690" t="e">
        <f t="shared" si="15"/>
        <v>#DIV/0!</v>
      </c>
      <c r="G60" s="2706" t="s">
        <v>2769</v>
      </c>
      <c r="H60" s="1112">
        <f>项目基本情况!C37</f>
        <v>0</v>
      </c>
      <c r="I60" s="940">
        <f>SUMIF(修正!A45:A56,H60,修正!H45:H56)</f>
        <v>0</v>
      </c>
      <c r="J60" s="941"/>
      <c r="K60" s="1142"/>
      <c r="L60" s="939"/>
      <c r="M60" s="939"/>
      <c r="N60" s="939"/>
      <c r="O60" s="939"/>
    </row>
    <row r="61" spans="1:17" s="691" customFormat="1" ht="15" thickBot="1">
      <c r="A61" s="694" t="s">
        <v>2776</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2669</v>
      </c>
      <c r="B64" s="757"/>
      <c r="C64" s="762"/>
      <c r="D64" s="762"/>
      <c r="E64" s="762"/>
      <c r="F64" s="763"/>
      <c r="G64" s="763"/>
      <c r="H64" s="762"/>
      <c r="I64" s="762"/>
      <c r="J64" s="762"/>
      <c r="K64" s="764"/>
      <c r="L64" s="765"/>
      <c r="M64" s="762"/>
      <c r="N64" s="762"/>
      <c r="O64" s="1157"/>
      <c r="P64" s="502"/>
      <c r="Q64" s="503"/>
    </row>
    <row r="65" spans="1:17" s="507" customFormat="1" ht="15">
      <c r="A65" s="2707" t="s">
        <v>2777</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2797</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2583</v>
      </c>
      <c r="B70" s="527" t="s">
        <v>2549</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2552</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2686</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2745</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2787</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2789</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2790</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2799</v>
      </c>
      <c r="B1" s="240"/>
      <c r="C1" s="244" t="s">
        <v>2800</v>
      </c>
      <c r="D1" s="387">
        <f>SUM(D29:D30,D33:D39)</f>
        <v>0</v>
      </c>
      <c r="E1" s="2713"/>
      <c r="F1" s="2713"/>
      <c r="G1" s="2713"/>
      <c r="H1" s="2713"/>
      <c r="I1" s="2713"/>
      <c r="J1" s="2713"/>
      <c r="K1" s="1368"/>
      <c r="L1" s="2714" t="s">
        <v>2801</v>
      </c>
      <c r="M1" s="1078">
        <f>SUMPRODUCT((区片价!B5:B9=I2)*(区片价!C3:F3=E2)*(区片价!C5:F9))</f>
        <v>0</v>
      </c>
      <c r="N1" s="1081">
        <f>SUMPRODUCT((因素修正幅度!B5:B9=I2)*(因素修正幅度!C3:F3=E2)*(因素修正幅度!C5:F9))</f>
        <v>0</v>
      </c>
      <c r="O1" s="2715"/>
      <c r="P1" s="2715"/>
      <c r="Q1" s="1368"/>
      <c r="R1" s="1600" t="s">
        <v>2802</v>
      </c>
      <c r="S1" s="1600" t="s">
        <v>2803</v>
      </c>
      <c r="T1" s="1600" t="s">
        <v>2804</v>
      </c>
      <c r="U1" s="1600" t="s">
        <v>2805</v>
      </c>
      <c r="V1" s="1600" t="s">
        <v>2806</v>
      </c>
      <c r="W1" s="1604"/>
      <c r="X1" s="1604"/>
      <c r="Y1" s="1604"/>
      <c r="Z1" s="1604"/>
      <c r="AA1" s="1604"/>
      <c r="AB1" s="1604"/>
      <c r="AC1" s="1605"/>
      <c r="AD1" s="1606"/>
      <c r="AE1" s="1606"/>
      <c r="AF1" s="1606"/>
      <c r="AG1" s="1606"/>
      <c r="AH1" s="1606"/>
      <c r="AI1" s="1606"/>
      <c r="AJ1" s="1607"/>
    </row>
    <row r="2" spans="1:36" ht="15.75">
      <c r="A2" s="244" t="s">
        <v>2807</v>
      </c>
      <c r="B2" s="247"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68"/>
      <c r="L2" s="2722" t="s">
        <v>2812</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2813</v>
      </c>
      <c r="B3" s="247" t="e">
        <f>ROUND(B2*10000/D1,0)</f>
        <v>#DIV/0!</v>
      </c>
      <c r="C3" s="2717" t="s">
        <v>2814</v>
      </c>
      <c r="D3" s="2718" t="s">
        <v>2815</v>
      </c>
      <c r="E3" s="2723"/>
      <c r="F3" s="2724" t="s">
        <v>2816</v>
      </c>
      <c r="G3" s="914" t="e">
        <f>IF(F3="宗地容积率",'数据-汇总表'!I4,IF(F3="估价对象容积率",'数据-汇总表'!I6,'数据-汇总表'!I7))</f>
        <v>#DIV/0!</v>
      </c>
      <c r="H3" s="197" t="s">
        <v>2817</v>
      </c>
      <c r="I3" s="942"/>
      <c r="J3" s="2721" t="s">
        <v>2818</v>
      </c>
      <c r="K3" s="1368"/>
      <c r="L3" s="2722" t="s">
        <v>2819</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4"/>
      <c r="B4" s="3275"/>
      <c r="C4" s="3275"/>
      <c r="D4" s="3276"/>
      <c r="E4" s="3276"/>
      <c r="F4" s="3276"/>
      <c r="G4" s="3276"/>
      <c r="H4" s="3276"/>
      <c r="I4" s="3276"/>
      <c r="J4" s="3277"/>
      <c r="K4" s="1368"/>
      <c r="L4" s="2722" t="s">
        <v>2820</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2821</v>
      </c>
      <c r="C5" s="915" t="e">
        <f>ROUND(IF(E2="商业",C6*C7+C16,(IF(E2="住宅",C6*C12+C16,C6+C16))),0)</f>
        <v>#DIV/0!</v>
      </c>
      <c r="D5" s="1785" t="e">
        <f>ROUND(IF(F17="增加",C6+C16,C6-C16),0)</f>
        <v>#DIV/0!</v>
      </c>
      <c r="E5" s="1785"/>
      <c r="F5" s="2727"/>
      <c r="G5" s="2728"/>
      <c r="H5" s="2728"/>
      <c r="I5" s="2728"/>
      <c r="J5" s="2729"/>
      <c r="K5" s="2730"/>
      <c r="L5" s="2722" t="s">
        <v>2822</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2823</v>
      </c>
      <c r="B6" s="2736" t="s">
        <v>2824</v>
      </c>
      <c r="C6" s="916">
        <f>SUMIF(L1:L12,G2,M1:M12)</f>
        <v>0</v>
      </c>
      <c r="D6" s="2737" t="s">
        <v>2825</v>
      </c>
      <c r="E6" s="2738"/>
      <c r="F6" s="2738"/>
      <c r="G6" s="2739"/>
      <c r="H6" s="2739"/>
      <c r="I6" s="2739"/>
      <c r="J6" s="2740"/>
      <c r="K6" s="1840"/>
      <c r="L6" s="2722" t="s">
        <v>2826</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58" t="str">
        <f>IF(E2="商业",IF(C8="不临58条商业街","",2),"")</f>
        <v/>
      </c>
      <c r="B7" s="2741" t="s">
        <v>2827</v>
      </c>
      <c r="C7" s="917" t="e">
        <f>IF(C8="不临58条商业街",1,ROUND(1+(1.6*E8+1.2*E9+0.8*E10+0.4*E11)*C9,4))</f>
        <v>#DIV/0!</v>
      </c>
      <c r="D7" s="2742" t="s">
        <v>2828</v>
      </c>
      <c r="E7" s="943"/>
      <c r="F7" s="2743"/>
      <c r="G7" s="2744"/>
      <c r="H7" s="2744"/>
      <c r="I7" s="2744"/>
      <c r="J7" s="2745"/>
      <c r="K7" s="1840"/>
      <c r="L7" s="2722" t="s">
        <v>2829</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2830</v>
      </c>
      <c r="X7" s="1602">
        <f>G2</f>
        <v>0</v>
      </c>
      <c r="Y7" s="1602" t="s">
        <v>2831</v>
      </c>
      <c r="Z7" s="1603" t="e">
        <f>G3</f>
        <v>#DIV/0!</v>
      </c>
      <c r="AA7" s="1604"/>
      <c r="AB7" s="1604"/>
      <c r="AC7" s="1605"/>
      <c r="AD7" s="1606"/>
      <c r="AE7" s="1606"/>
      <c r="AF7" s="1606"/>
      <c r="AG7" s="1606"/>
      <c r="AH7" s="1606"/>
      <c r="AI7" s="1606"/>
      <c r="AJ7" s="1607"/>
    </row>
    <row r="8" spans="1:36" ht="15">
      <c r="A8" s="3278"/>
      <c r="B8" s="197" t="s">
        <v>2832</v>
      </c>
      <c r="C8" s="2746"/>
      <c r="D8" s="918" t="s">
        <v>139</v>
      </c>
      <c r="E8" s="919" t="e">
        <f>ROUND(C11/E7,4)</f>
        <v>#DIV/0!</v>
      </c>
      <c r="F8" s="2747" t="s">
        <v>2833</v>
      </c>
      <c r="G8" s="2748"/>
      <c r="H8" s="2748"/>
      <c r="I8" s="2748"/>
      <c r="J8" s="2749"/>
      <c r="K8" s="1368"/>
      <c r="L8" s="2722" t="s">
        <v>2834</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71" t="s">
        <v>2835</v>
      </c>
      <c r="X8" s="3272"/>
      <c r="Y8" s="1608" t="s">
        <v>2836</v>
      </c>
      <c r="Z8" s="1608" t="s">
        <v>2837</v>
      </c>
      <c r="AA8" s="1608" t="s">
        <v>2838</v>
      </c>
      <c r="AB8" s="1608" t="s">
        <v>2839</v>
      </c>
      <c r="AC8" s="1608" t="s">
        <v>2840</v>
      </c>
      <c r="AD8" s="1608" t="s">
        <v>2841</v>
      </c>
      <c r="AE8" s="1608" t="s">
        <v>2842</v>
      </c>
      <c r="AF8" s="1608" t="s">
        <v>2843</v>
      </c>
      <c r="AG8" s="1608" t="s">
        <v>2844</v>
      </c>
      <c r="AH8" s="1608" t="s">
        <v>2845</v>
      </c>
      <c r="AI8" s="1608" t="s">
        <v>2846</v>
      </c>
      <c r="AJ8" s="1608" t="s">
        <v>2847</v>
      </c>
    </row>
    <row r="9" spans="1:36" ht="15">
      <c r="A9" s="3278"/>
      <c r="B9" s="197" t="s">
        <v>2848</v>
      </c>
      <c r="C9" s="920">
        <f>SUMIF(修正!C59:C119,C8,修正!E59:E119)</f>
        <v>0</v>
      </c>
      <c r="D9" s="199" t="s">
        <v>140</v>
      </c>
      <c r="E9" s="199" t="e">
        <f>ROUND(C11/E7,4)</f>
        <v>#DIV/0!</v>
      </c>
      <c r="F9" s="2747" t="s">
        <v>2849</v>
      </c>
      <c r="G9" s="2748"/>
      <c r="H9" s="2748"/>
      <c r="I9" s="2748"/>
      <c r="J9" s="2749"/>
      <c r="K9" s="1368"/>
      <c r="L9" s="2722" t="s">
        <v>2850</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73" t="s">
        <v>2851</v>
      </c>
      <c r="X9" s="1609" t="s">
        <v>2852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8"/>
      <c r="B10" s="197" t="s">
        <v>2853</v>
      </c>
      <c r="C10" s="199">
        <f>SUMIF(修正!C59:C119,C8,修正!F59:F119)</f>
        <v>0</v>
      </c>
      <c r="D10" s="199" t="s">
        <v>141</v>
      </c>
      <c r="E10" s="199" t="e">
        <f>ROUND(C11/E7,4)</f>
        <v>#DIV/0!</v>
      </c>
      <c r="F10" s="2747" t="s">
        <v>2854</v>
      </c>
      <c r="G10" s="2748"/>
      <c r="H10" s="2748"/>
      <c r="I10" s="2748"/>
      <c r="J10" s="2749"/>
      <c r="K10" s="1368"/>
      <c r="L10" s="2722" t="s">
        <v>2855</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7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8"/>
      <c r="B11" s="2750" t="s">
        <v>2856</v>
      </c>
      <c r="C11" s="921">
        <f>C10/4</f>
        <v>0</v>
      </c>
      <c r="D11" s="921" t="s">
        <v>142</v>
      </c>
      <c r="E11" s="921" t="e">
        <f>ROUND(C11/E7,4)</f>
        <v>#DIV/0!</v>
      </c>
      <c r="F11" s="2751" t="s">
        <v>2857</v>
      </c>
      <c r="G11" s="2752"/>
      <c r="H11" s="2752"/>
      <c r="I11" s="2752"/>
      <c r="J11" s="2753"/>
      <c r="K11" s="1368"/>
      <c r="L11" s="2722" t="s">
        <v>2858</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73" t="s">
        <v>2859</v>
      </c>
      <c r="X11" s="1612" t="s">
        <v>2860</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58" t="s">
        <v>2861</v>
      </c>
      <c r="B12" s="2754" t="s">
        <v>2862</v>
      </c>
      <c r="C12" s="917">
        <f>ROUND(C15*D15*E15*F15*G15*H15*I15*J15,4)</f>
        <v>1</v>
      </c>
      <c r="D12" s="2755" t="s">
        <v>2863</v>
      </c>
      <c r="E12" s="2756"/>
      <c r="F12" s="2756"/>
      <c r="G12" s="2757"/>
      <c r="H12" s="2757"/>
      <c r="I12" s="2757"/>
      <c r="J12" s="2758"/>
      <c r="K12" s="1368"/>
      <c r="L12" s="2759" t="s">
        <v>2864</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73"/>
      <c r="X12" s="1614" t="s">
        <v>2865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9"/>
      <c r="B13" s="2760" t="s">
        <v>2866</v>
      </c>
      <c r="C13" s="2761" t="s">
        <v>2867</v>
      </c>
      <c r="D13" s="1806" t="s">
        <v>2868</v>
      </c>
      <c r="E13" s="1806" t="s">
        <v>2869</v>
      </c>
      <c r="F13" s="30" t="s">
        <v>2870</v>
      </c>
      <c r="G13" s="2762" t="s">
        <v>2871</v>
      </c>
      <c r="H13" s="2762" t="s">
        <v>2871</v>
      </c>
      <c r="I13" s="2762" t="s">
        <v>2871</v>
      </c>
      <c r="J13" s="2763" t="s">
        <v>2871</v>
      </c>
      <c r="K13" s="1368"/>
      <c r="L13" s="1368"/>
      <c r="M13" s="1368"/>
      <c r="N13" s="1368"/>
      <c r="O13" s="1368"/>
      <c r="P13" s="1368"/>
      <c r="Q13" s="1368"/>
      <c r="R13" s="1600">
        <v>12</v>
      </c>
      <c r="S13" s="1601"/>
      <c r="T13" s="1600" t="e">
        <f t="shared" si="0"/>
        <v>#DIV/0!</v>
      </c>
      <c r="U13" s="1601"/>
      <c r="V13" s="1600" t="e">
        <f t="shared" si="1"/>
        <v>#DIV/0!</v>
      </c>
      <c r="W13" s="3273"/>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9"/>
      <c r="B14" s="2764"/>
      <c r="C14" s="2765"/>
      <c r="D14" s="2766"/>
      <c r="E14" s="2766"/>
      <c r="F14" s="2767"/>
      <c r="G14" s="2768" t="s">
        <v>2872</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0"/>
      <c r="B15" s="2772" t="s">
        <v>2873</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8" t="s">
        <v>2878</v>
      </c>
      <c r="B16" s="2741" t="s">
        <v>2879</v>
      </c>
      <c r="C16" s="2931" t="e">
        <f>ROUND(IF(F17="与级别开发程度一致",0,(G17-E17)/C17),0)</f>
        <v>#DIV/0!</v>
      </c>
      <c r="D16" s="3269" t="s">
        <v>2883</v>
      </c>
      <c r="E16" s="3270"/>
      <c r="F16" s="3269" t="s">
        <v>2880</v>
      </c>
      <c r="G16" s="3270"/>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9"/>
      <c r="B17" s="2942" t="s">
        <v>2882</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2885</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2886</v>
      </c>
      <c r="C19" s="922" t="e">
        <f>ROUND(IF(H19="按公示增长率计算",SUMPRODUCT((地价!A3:A26=YEAR(G19)&amp;"-"&amp;ROUNDUP(MONTH(G19)/3,0))*(地价!X2:AB2=E2)*(地价!X3:AB26)),IF(H19="地价指数",M20/M19,(1+I19)^O19)),4)</f>
        <v>#DIV/0!</v>
      </c>
      <c r="D19" s="2785" t="s">
        <v>2887</v>
      </c>
      <c r="E19" s="923">
        <v>41640</v>
      </c>
      <c r="F19" s="2785" t="s">
        <v>2888</v>
      </c>
      <c r="G19" s="924">
        <f>'数据-取费表'!B2</f>
        <v>43391</v>
      </c>
      <c r="H19" s="2786" t="s">
        <v>2889</v>
      </c>
      <c r="I19" s="925" t="str">
        <f>IF(H19="季度增幅（自定义）",SUMIF(N21:N24,E2,O21:O24),"")</f>
        <v/>
      </c>
      <c r="J19" s="2783"/>
      <c r="K19" s="1375"/>
      <c r="L19" s="2787" t="s">
        <v>2890</v>
      </c>
      <c r="M19" s="1732">
        <f>ROUND(SUMIF(地价!B2:F2,E2,地价!B26:F26),0)</f>
        <v>0</v>
      </c>
      <c r="N19" s="2788" t="s">
        <v>2891</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2892</v>
      </c>
      <c r="C20" s="927" t="e">
        <f>ROUND(POWER(1+G20,J20-I20)*(POWER(1+G20,I20)-1)/(POWER(1+G20,J20)-1),4)</f>
        <v>#DIV/0!</v>
      </c>
      <c r="D20" s="2794" t="s">
        <v>2893</v>
      </c>
      <c r="E20" s="1766">
        <f ca="1">存贷款利率!D4/100</f>
        <v>4.3499999999999997E-2</v>
      </c>
      <c r="F20" s="2794" t="s">
        <v>2884</v>
      </c>
      <c r="G20" s="932">
        <f>SUMIF(M26:P26,E2,M28:P28)</f>
        <v>0</v>
      </c>
      <c r="H20" s="2794" t="s">
        <v>2894</v>
      </c>
      <c r="I20" s="933" t="e">
        <f>SUMIF('数据-取费表'!C6:C15,E2,'数据-取费表'!F6:F15)/COUNTIF('数据-取费表'!C6:C15,E2)</f>
        <v>#DIV/0!</v>
      </c>
      <c r="J20" s="934">
        <f>IF(E2="住宅",70,IF(E2="商业",40,50))</f>
        <v>50</v>
      </c>
      <c r="K20" s="1375"/>
      <c r="L20" s="2795" t="s">
        <v>2895</v>
      </c>
      <c r="M20" s="1733">
        <f>ROUND(SUMPRODUCT((地价!A4:A26=YEAR(G19)&amp;"-"&amp;ROUNDUP(MONTH(G19)/3,0))*(地价!B2:F2=E2)*(地价!B4:F26)),0)</f>
        <v>0</v>
      </c>
      <c r="N20" s="2796" t="s">
        <v>2896</v>
      </c>
      <c r="O20" s="2797" t="s">
        <v>2897</v>
      </c>
      <c r="P20" s="2798" t="s">
        <v>2898</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2899</v>
      </c>
      <c r="C21" s="935" t="e">
        <f>IF(B21="容积率修正",IF(G3&lt;=10,D22,J22),C23)</f>
        <v>#DIV/0!</v>
      </c>
      <c r="D21" s="2801"/>
      <c r="E21" s="2801"/>
      <c r="F21" s="2801"/>
      <c r="G21" s="2801"/>
      <c r="H21" s="2801"/>
      <c r="I21" s="2801"/>
      <c r="J21" s="2802"/>
      <c r="K21" s="1375"/>
      <c r="N21" s="2803" t="s">
        <v>2900</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2901</v>
      </c>
      <c r="B22" s="2804" t="s">
        <v>2902</v>
      </c>
      <c r="C22" s="1808" t="s">
        <v>2903</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2904</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2905</v>
      </c>
      <c r="B23" s="2805" t="s">
        <v>2906</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2907</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2908</v>
      </c>
      <c r="C24" s="922">
        <f>SUMIF(A45:A88,E2,B45:B88)</f>
        <v>0</v>
      </c>
      <c r="D24" s="2782"/>
      <c r="E24" s="2811"/>
      <c r="F24" s="2811"/>
      <c r="G24" s="2811"/>
      <c r="H24" s="2811"/>
      <c r="I24" s="2811"/>
      <c r="J24" s="2812"/>
      <c r="K24" s="1375"/>
      <c r="N24" s="2813" t="s">
        <v>2909</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2910</v>
      </c>
      <c r="C25" s="928"/>
      <c r="D25" s="2744"/>
      <c r="E25" s="2744"/>
      <c r="F25" s="2815"/>
      <c r="G25" s="2744"/>
      <c r="H25" s="2744"/>
      <c r="I25" s="2744"/>
      <c r="J25" s="2745"/>
      <c r="K25" s="1368"/>
      <c r="N25" s="2816" t="s">
        <v>2911</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2912</v>
      </c>
      <c r="C26" s="205" t="e">
        <f>E29+SUM(E33:E39)</f>
        <v>#DIV/0!</v>
      </c>
      <c r="D26" s="2818"/>
      <c r="E26" s="2769"/>
      <c r="F26" s="2819"/>
      <c r="G26" s="2769"/>
      <c r="H26" s="2769"/>
      <c r="I26" s="2769"/>
      <c r="J26" s="2820"/>
      <c r="K26" s="1368"/>
      <c r="L26" s="2773" t="s">
        <v>2809</v>
      </c>
      <c r="M26" s="918" t="s">
        <v>2874</v>
      </c>
      <c r="N26" s="918" t="s">
        <v>2875</v>
      </c>
      <c r="O26" s="918" t="s">
        <v>2876</v>
      </c>
      <c r="P26" s="2774" t="s">
        <v>2877</v>
      </c>
      <c r="R26" s="1374"/>
      <c r="S26" s="1374"/>
      <c r="T26" s="1369"/>
      <c r="U26" s="1369"/>
      <c r="V26" s="1369"/>
      <c r="W26" s="1368"/>
      <c r="X26" s="1368"/>
      <c r="Y26" s="1368"/>
      <c r="Z26" s="1375"/>
      <c r="AA26" s="1376"/>
      <c r="AB26" s="1376"/>
      <c r="AC26" s="1376"/>
      <c r="AD26" s="1376"/>
    </row>
    <row r="27" spans="1:37" ht="15.75" thickBot="1">
      <c r="A27" s="2817"/>
      <c r="B27" s="2821" t="s">
        <v>2913</v>
      </c>
      <c r="C27" s="929" t="e">
        <f>E30+SUM(I33:I39)</f>
        <v>#DIV/0!</v>
      </c>
      <c r="D27" s="2822"/>
      <c r="E27" s="2823"/>
      <c r="F27" s="2824"/>
      <c r="G27" s="2823"/>
      <c r="H27" s="2823"/>
      <c r="I27" s="2823"/>
      <c r="J27" s="2825"/>
      <c r="K27" s="1368"/>
      <c r="L27" s="2777" t="s">
        <v>2881</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2914</v>
      </c>
      <c r="C28" s="2828" t="s">
        <v>2915</v>
      </c>
      <c r="D28" s="2828" t="s">
        <v>2916</v>
      </c>
      <c r="E28" s="2829" t="s">
        <v>2917</v>
      </c>
      <c r="F28" s="2830"/>
      <c r="G28" s="2757"/>
      <c r="H28" s="2757"/>
      <c r="I28" s="2757"/>
      <c r="J28" s="2758"/>
      <c r="K28" s="1368"/>
      <c r="L28" s="2778" t="s">
        <v>2884</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2918</v>
      </c>
      <c r="C29" s="205" t="e">
        <f>ROUND(C5*C18*C19*C20*C21*C24,0)</f>
        <v>#DIV/0!</v>
      </c>
      <c r="D29" s="2833"/>
      <c r="E29" s="940" t="e">
        <f>ROUND(C29*D29/10000,0)</f>
        <v>#DIV/0!</v>
      </c>
      <c r="F29" s="2834" t="s">
        <v>2919</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2920</v>
      </c>
      <c r="C30" s="228" t="e">
        <f>ROUND(IF(E2="工业",C29*M39,C29*M38),0)</f>
        <v>#DIV/0!</v>
      </c>
      <c r="D30" s="2839"/>
      <c r="E30" s="940" t="e">
        <f>ROUND(C30*D30/10000,0)</f>
        <v>#DIV/0!</v>
      </c>
      <c r="F30" s="2840" t="s">
        <v>2921</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2922</v>
      </c>
      <c r="C31" s="2845" t="s">
        <v>2923</v>
      </c>
      <c r="D31" s="2757"/>
      <c r="E31" s="2845"/>
      <c r="F31" s="2845"/>
      <c r="G31" s="2755" t="s">
        <v>2924</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2915</v>
      </c>
      <c r="D32" s="497" t="s">
        <v>2916</v>
      </c>
      <c r="E32" s="497" t="s">
        <v>2917</v>
      </c>
      <c r="F32" s="387" t="s">
        <v>2925</v>
      </c>
      <c r="G32" s="2848" t="s">
        <v>2915</v>
      </c>
      <c r="H32" s="2848" t="s">
        <v>2916</v>
      </c>
      <c r="I32" s="2848" t="s">
        <v>2917</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266" t="s">
        <v>2926</v>
      </c>
      <c r="B33" s="2849" t="s">
        <v>2927</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7"/>
      <c r="B34" s="2761" t="s">
        <v>2928</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7"/>
      <c r="B35" s="2761" t="s">
        <v>2929</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268"/>
      <c r="B36" s="2761" t="s">
        <v>2930</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2931</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2932</v>
      </c>
      <c r="M37" s="2853"/>
      <c r="N37" s="1368"/>
      <c r="O37" s="1368"/>
      <c r="P37" s="1368"/>
      <c r="Q37" s="1368"/>
      <c r="R37" s="1368"/>
      <c r="S37" s="1368"/>
      <c r="T37" s="1368"/>
      <c r="U37" s="1368"/>
      <c r="V37" s="1368"/>
      <c r="W37" s="1368"/>
      <c r="X37" s="1368"/>
      <c r="Y37" s="1368"/>
      <c r="Z37" s="1369"/>
    </row>
    <row r="38" spans="1:37">
      <c r="A38" s="2851"/>
      <c r="B38" s="2761" t="s">
        <v>2933</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2934</v>
      </c>
      <c r="M38" s="2854">
        <v>0.25</v>
      </c>
      <c r="N38" s="1368"/>
      <c r="O38" s="1368"/>
      <c r="P38" s="1368"/>
      <c r="Q38" s="1368"/>
      <c r="R38" s="1368"/>
      <c r="S38" s="1368"/>
      <c r="T38" s="1368"/>
      <c r="U38" s="1368"/>
      <c r="V38" s="1368"/>
      <c r="W38" s="1368"/>
      <c r="X38" s="1368"/>
      <c r="Y38" s="1368"/>
      <c r="Z38" s="1369"/>
    </row>
    <row r="39" spans="1:37" ht="13.5" thickBot="1">
      <c r="A39" s="2837"/>
      <c r="B39" s="2855" t="s">
        <v>2935</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2877</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3046</v>
      </c>
      <c r="C41" s="387" t="e">
        <f>ROUND(POWER(1+E41,H41-G41)*(POWER(1+E41,G41)-1)/(POWER(1+E41,H41)-1),4)</f>
        <v>#DIV/0!</v>
      </c>
      <c r="D41" s="199" t="s">
        <v>2884</v>
      </c>
      <c r="E41" s="2925">
        <f>G20</f>
        <v>0</v>
      </c>
      <c r="F41" s="199" t="s">
        <v>2894</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2936</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2937</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2938</v>
      </c>
      <c r="B47" s="1807" t="s">
        <v>2939</v>
      </c>
      <c r="C47" s="1807" t="s">
        <v>2940</v>
      </c>
      <c r="D47" s="1807" t="s">
        <v>2941</v>
      </c>
      <c r="E47" s="817" t="s">
        <v>2942</v>
      </c>
      <c r="F47" s="2867" t="s">
        <v>2943</v>
      </c>
      <c r="G47" s="1807" t="s">
        <v>754</v>
      </c>
      <c r="H47" s="2868" t="s">
        <v>2944</v>
      </c>
      <c r="I47" s="1807" t="s">
        <v>2945</v>
      </c>
      <c r="J47" s="602" t="s">
        <v>2592</v>
      </c>
      <c r="K47" s="602" t="s">
        <v>2593</v>
      </c>
      <c r="L47" s="602" t="s">
        <v>2594</v>
      </c>
      <c r="M47" s="602" t="s">
        <v>2595</v>
      </c>
      <c r="N47" s="602" t="s">
        <v>2596</v>
      </c>
      <c r="AA47" s="1369"/>
      <c r="AB47" s="1369"/>
      <c r="AC47" s="1369"/>
      <c r="AD47" s="1369"/>
      <c r="AE47" s="1369"/>
      <c r="AF47" s="1369"/>
      <c r="AG47" s="1369"/>
      <c r="AH47" s="1369"/>
      <c r="AI47" s="1369"/>
      <c r="AJ47" s="1369"/>
      <c r="AK47" s="1369"/>
    </row>
    <row r="48" spans="1:37" s="1368" customFormat="1" ht="76.5">
      <c r="A48" s="2866" t="s">
        <v>2946</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2947</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2948</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2949</v>
      </c>
      <c r="B51" s="2871" t="s">
        <v>2950</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2951</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2952</v>
      </c>
      <c r="B53" s="2872" t="s">
        <v>2953</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2954</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2955</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2956</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2957</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2938</v>
      </c>
      <c r="B58" s="1807"/>
      <c r="C58" s="1807" t="s">
        <v>2940</v>
      </c>
      <c r="D58" s="1807" t="s">
        <v>2941</v>
      </c>
      <c r="E58" s="817" t="s">
        <v>2942</v>
      </c>
      <c r="F58" s="2867" t="s">
        <v>2958</v>
      </c>
      <c r="G58" s="1807" t="s">
        <v>754</v>
      </c>
      <c r="H58" s="2868" t="s">
        <v>2944</v>
      </c>
      <c r="I58" s="1807" t="s">
        <v>2945</v>
      </c>
      <c r="J58" s="602" t="s">
        <v>2592</v>
      </c>
      <c r="K58" s="602" t="s">
        <v>2593</v>
      </c>
      <c r="L58" s="602" t="s">
        <v>2594</v>
      </c>
      <c r="M58" s="602" t="s">
        <v>2595</v>
      </c>
      <c r="N58" s="602" t="s">
        <v>2596</v>
      </c>
      <c r="AA58" s="1369"/>
      <c r="AB58" s="1369"/>
      <c r="AC58" s="1369"/>
      <c r="AD58" s="1369"/>
      <c r="AE58" s="1369"/>
      <c r="AF58" s="1369"/>
      <c r="AG58" s="1369"/>
      <c r="AH58" s="1369"/>
      <c r="AI58" s="1369"/>
      <c r="AJ58" s="1369"/>
      <c r="AK58" s="1369"/>
    </row>
    <row r="59" spans="1:37" s="1368" customFormat="1" ht="24">
      <c r="A59" s="2866" t="s">
        <v>2959</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2947</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2948</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2949</v>
      </c>
      <c r="B62" s="2871" t="s">
        <v>2950</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2951</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2952</v>
      </c>
      <c r="B64" s="2872" t="s">
        <v>2953</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2954</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2955</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2956</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2960</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2938</v>
      </c>
      <c r="B69" s="1807"/>
      <c r="C69" s="1807" t="s">
        <v>2940</v>
      </c>
      <c r="D69" s="1807" t="s">
        <v>2941</v>
      </c>
      <c r="E69" s="817" t="s">
        <v>2942</v>
      </c>
      <c r="F69" s="2867" t="s">
        <v>2958</v>
      </c>
      <c r="G69" s="1807" t="s">
        <v>754</v>
      </c>
      <c r="H69" s="2868" t="s">
        <v>2944</v>
      </c>
      <c r="I69" s="1807" t="s">
        <v>2945</v>
      </c>
      <c r="J69" s="602" t="s">
        <v>2592</v>
      </c>
      <c r="K69" s="602" t="s">
        <v>2593</v>
      </c>
      <c r="L69" s="602" t="s">
        <v>2594</v>
      </c>
      <c r="M69" s="602" t="s">
        <v>2595</v>
      </c>
      <c r="N69" s="602" t="s">
        <v>2596</v>
      </c>
      <c r="AA69" s="1369"/>
      <c r="AB69" s="1369"/>
      <c r="AC69" s="1369"/>
      <c r="AD69" s="1369"/>
      <c r="AE69" s="1369"/>
      <c r="AF69" s="1369"/>
      <c r="AG69" s="1369"/>
      <c r="AH69" s="1369"/>
      <c r="AI69" s="1369"/>
      <c r="AJ69" s="1369"/>
      <c r="AK69" s="1369"/>
    </row>
    <row r="70" spans="1:37" s="1368" customFormat="1" ht="24">
      <c r="A70" s="2866" t="s">
        <v>2961</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2947</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2948</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2962</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2954</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2955</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2952</v>
      </c>
      <c r="B76" s="2872" t="s">
        <v>2953</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2956</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2963</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2964</v>
      </c>
      <c r="B79" s="2863">
        <f>1+E81</f>
        <v>1</v>
      </c>
      <c r="C79" s="812"/>
      <c r="D79" s="812"/>
      <c r="E79" s="813"/>
      <c r="F79" s="2865"/>
      <c r="G79" s="6"/>
      <c r="H79" s="6"/>
      <c r="I79" s="6"/>
      <c r="J79" s="7"/>
      <c r="K79" s="7"/>
      <c r="L79" s="7"/>
      <c r="M79" s="7"/>
      <c r="N79" s="7"/>
      <c r="Z79" s="2716"/>
      <c r="AA79" s="2784"/>
      <c r="AG79" s="1370"/>
      <c r="AK79" s="2784"/>
    </row>
    <row r="80" spans="1:37" ht="24.75">
      <c r="A80" s="2866" t="s">
        <v>2938</v>
      </c>
      <c r="B80" s="1807"/>
      <c r="C80" s="1807" t="s">
        <v>2940</v>
      </c>
      <c r="D80" s="1807" t="s">
        <v>2941</v>
      </c>
      <c r="E80" s="817" t="s">
        <v>2942</v>
      </c>
      <c r="F80" s="2867" t="s">
        <v>2958</v>
      </c>
      <c r="G80" s="1807" t="s">
        <v>754</v>
      </c>
      <c r="H80" s="2868" t="s">
        <v>2944</v>
      </c>
      <c r="I80" s="1807" t="s">
        <v>2945</v>
      </c>
      <c r="J80" s="602" t="s">
        <v>2592</v>
      </c>
      <c r="K80" s="602" t="s">
        <v>2593</v>
      </c>
      <c r="L80" s="602" t="s">
        <v>2594</v>
      </c>
      <c r="M80" s="602" t="s">
        <v>2595</v>
      </c>
      <c r="N80" s="602" t="s">
        <v>2596</v>
      </c>
      <c r="Z80" s="2716"/>
      <c r="AA80" s="2784"/>
      <c r="AG80" s="1370"/>
      <c r="AK80" s="2784"/>
    </row>
    <row r="81" spans="1:37" ht="38.25">
      <c r="A81" s="2866" t="s">
        <v>2965</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2947</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2948</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2962</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2954</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2955</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2952</v>
      </c>
      <c r="B87" s="2872" t="s">
        <v>2966</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2967</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260" t="s">
        <v>2968</v>
      </c>
      <c r="B90" s="3260"/>
      <c r="C90" s="3260"/>
      <c r="D90" s="3260"/>
      <c r="E90" s="3260"/>
      <c r="F90" s="3260"/>
      <c r="G90" s="3260"/>
      <c r="H90" s="3260"/>
      <c r="I90" s="3260"/>
      <c r="J90" s="3260"/>
      <c r="K90" s="2880"/>
      <c r="L90" s="2880"/>
      <c r="M90" s="2880"/>
      <c r="N90" s="2880"/>
    </row>
    <row r="91" spans="1:37">
      <c r="A91" s="3262" t="s">
        <v>2969</v>
      </c>
      <c r="B91" s="3262" t="s">
        <v>2970</v>
      </c>
      <c r="C91" s="2834" t="s">
        <v>2971</v>
      </c>
      <c r="D91" s="2835"/>
      <c r="E91" s="2835"/>
      <c r="F91" s="2835"/>
      <c r="G91" s="2835"/>
      <c r="H91" s="2835"/>
      <c r="I91" s="2835"/>
      <c r="J91" s="2881"/>
      <c r="K91" s="2882"/>
      <c r="L91" s="2882"/>
      <c r="M91" s="2882"/>
      <c r="N91" s="2882"/>
    </row>
    <row r="92" spans="1:37">
      <c r="A92" s="3262"/>
      <c r="B92" s="3262"/>
      <c r="C92" s="940" t="s">
        <v>2836</v>
      </c>
      <c r="D92" s="940" t="s">
        <v>2837</v>
      </c>
      <c r="E92" s="940" t="s">
        <v>2838</v>
      </c>
      <c r="F92" s="940" t="s">
        <v>2839</v>
      </c>
      <c r="G92" s="940" t="s">
        <v>2840</v>
      </c>
      <c r="H92" s="940" t="s">
        <v>2841</v>
      </c>
      <c r="I92" s="940" t="s">
        <v>2842</v>
      </c>
      <c r="J92" s="940" t="s">
        <v>2843</v>
      </c>
      <c r="K92" s="940" t="s">
        <v>2844</v>
      </c>
      <c r="L92" s="940" t="s">
        <v>2845</v>
      </c>
      <c r="M92" s="940" t="s">
        <v>2846</v>
      </c>
      <c r="N92" s="940" t="s">
        <v>2847</v>
      </c>
    </row>
    <row r="93" spans="1:37">
      <c r="A93" s="3263"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4"/>
      <c r="B99" s="2883" t="s">
        <v>2852</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6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63" t="s">
        <v>2973</v>
      </c>
      <c r="B101" s="2887" t="s">
        <v>2974</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264"/>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264"/>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264"/>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264"/>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264"/>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264"/>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264"/>
      <c r="B108" s="3088" t="s">
        <v>2975</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65"/>
      <c r="B109" s="3089"/>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261" t="s">
        <v>2976</v>
      </c>
      <c r="B110" s="3261"/>
      <c r="C110" s="3261"/>
      <c r="D110" s="3261"/>
      <c r="E110" s="3261"/>
      <c r="F110" s="3261"/>
      <c r="G110" s="3261"/>
      <c r="H110" s="3261"/>
      <c r="I110" s="3261"/>
      <c r="J110" s="3261"/>
      <c r="K110" s="2889"/>
      <c r="L110" s="2889"/>
      <c r="M110" s="2889"/>
      <c r="N110" s="2889"/>
    </row>
    <row r="112" spans="1:14" ht="13.5" thickBot="1"/>
    <row r="113" spans="1:13" ht="25.5" thickBot="1">
      <c r="A113" s="901" t="s">
        <v>2977</v>
      </c>
      <c r="B113" s="1285" t="e">
        <f>G3</f>
        <v>#DIV/0!</v>
      </c>
      <c r="C113" s="902" t="s">
        <v>2978</v>
      </c>
      <c r="D113" s="903" t="e">
        <f>SUMPRODUCT((A115:A118=F113)*(B114:M114=H113)*B115:M118)</f>
        <v>#DIV/0!</v>
      </c>
      <c r="E113" s="2720" t="s">
        <v>2809</v>
      </c>
      <c r="F113" s="2891">
        <f>E2</f>
        <v>0</v>
      </c>
      <c r="G113" s="2720" t="s">
        <v>2810</v>
      </c>
      <c r="H113" s="2891">
        <f>G2</f>
        <v>0</v>
      </c>
      <c r="I113" s="2720"/>
      <c r="J113" s="2892"/>
      <c r="K113" s="2892"/>
      <c r="L113" s="2892"/>
      <c r="M113" s="2892"/>
    </row>
    <row r="114" spans="1:13">
      <c r="A114" s="906"/>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907" t="s">
        <v>2874</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2875</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2876</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2877</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3050</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1" t="s">
        <v>183</v>
      </c>
      <c r="B18" s="880" t="s">
        <v>560</v>
      </c>
      <c r="C18" s="881" t="s">
        <v>561</v>
      </c>
      <c r="D18" s="882"/>
      <c r="E18" s="880">
        <v>1</v>
      </c>
      <c r="F18" s="883" t="s">
        <v>562</v>
      </c>
      <c r="G18" s="884"/>
      <c r="H18" s="876"/>
      <c r="I18" s="876"/>
    </row>
    <row r="19" spans="1:9" s="885" customFormat="1" ht="19.5" customHeight="1">
      <c r="A19" s="3281"/>
      <c r="B19" s="3281" t="s">
        <v>563</v>
      </c>
      <c r="C19" s="881" t="s">
        <v>564</v>
      </c>
      <c r="D19" s="882"/>
      <c r="E19" s="880">
        <v>0.9</v>
      </c>
      <c r="F19" s="883" t="s">
        <v>565</v>
      </c>
      <c r="G19" s="884"/>
      <c r="H19" s="876"/>
      <c r="I19" s="876"/>
    </row>
    <row r="20" spans="1:9" s="885" customFormat="1" ht="19.5" customHeight="1">
      <c r="A20" s="3281"/>
      <c r="B20" s="3281"/>
      <c r="C20" s="881" t="s">
        <v>566</v>
      </c>
      <c r="D20" s="882"/>
      <c r="E20" s="880">
        <v>1.1000000000000001</v>
      </c>
      <c r="F20" s="883" t="s">
        <v>567</v>
      </c>
      <c r="G20" s="884"/>
      <c r="H20" s="876"/>
      <c r="I20" s="876"/>
    </row>
    <row r="21" spans="1:9" s="885" customFormat="1" ht="19.5" customHeight="1">
      <c r="A21" s="3281"/>
      <c r="B21" s="3281"/>
      <c r="C21" s="881" t="s">
        <v>568</v>
      </c>
      <c r="D21" s="882"/>
      <c r="E21" s="880">
        <v>0.8</v>
      </c>
      <c r="F21" s="883" t="s">
        <v>569</v>
      </c>
      <c r="G21" s="884"/>
      <c r="H21" s="876"/>
      <c r="I21" s="876"/>
    </row>
    <row r="22" spans="1:9" s="885" customFormat="1" ht="19.5" customHeight="1">
      <c r="A22" s="3281"/>
      <c r="B22" s="3281"/>
      <c r="C22" s="881" t="s">
        <v>570</v>
      </c>
      <c r="D22" s="882"/>
      <c r="E22" s="880">
        <v>0.5</v>
      </c>
      <c r="F22" s="883"/>
      <c r="G22" s="884"/>
      <c r="H22" s="876"/>
      <c r="I22" s="876"/>
    </row>
    <row r="23" spans="1:9" s="885" customFormat="1" ht="19.5" customHeight="1">
      <c r="A23" s="3281" t="s">
        <v>184</v>
      </c>
      <c r="B23" s="880" t="s">
        <v>560</v>
      </c>
      <c r="C23" s="881" t="s">
        <v>571</v>
      </c>
      <c r="D23" s="882"/>
      <c r="E23" s="880">
        <v>1</v>
      </c>
      <c r="F23" s="883" t="s">
        <v>572</v>
      </c>
      <c r="G23" s="884"/>
      <c r="H23" s="876"/>
      <c r="I23" s="876"/>
    </row>
    <row r="24" spans="1:9" s="885" customFormat="1" ht="19.5" customHeight="1">
      <c r="A24" s="3281"/>
      <c r="B24" s="3281" t="s">
        <v>563</v>
      </c>
      <c r="C24" s="881" t="s">
        <v>573</v>
      </c>
      <c r="D24" s="882"/>
      <c r="E24" s="880">
        <v>0.5</v>
      </c>
      <c r="F24" s="883"/>
      <c r="G24" s="884"/>
      <c r="H24" s="876"/>
      <c r="I24" s="876"/>
    </row>
    <row r="25" spans="1:9" s="885" customFormat="1" ht="19.5" customHeight="1">
      <c r="A25" s="3281"/>
      <c r="B25" s="3281"/>
      <c r="C25" s="881" t="s">
        <v>574</v>
      </c>
      <c r="D25" s="882"/>
      <c r="E25" s="880">
        <v>1.1000000000000001</v>
      </c>
      <c r="F25" s="883"/>
      <c r="G25" s="884"/>
      <c r="H25" s="876"/>
      <c r="I25" s="876"/>
    </row>
    <row r="26" spans="1:9" s="885" customFormat="1" ht="19.5" customHeight="1">
      <c r="A26" s="3281"/>
      <c r="B26" s="3281"/>
      <c r="C26" s="881" t="s">
        <v>575</v>
      </c>
      <c r="D26" s="882"/>
      <c r="E26" s="880">
        <v>1.1000000000000001</v>
      </c>
      <c r="F26" s="883"/>
      <c r="G26" s="884"/>
      <c r="H26" s="876"/>
      <c r="I26" s="876"/>
    </row>
    <row r="27" spans="1:9" s="885" customFormat="1" ht="19.5" customHeight="1">
      <c r="A27" s="3281"/>
      <c r="B27" s="3281"/>
      <c r="C27" s="881" t="s">
        <v>576</v>
      </c>
      <c r="D27" s="882"/>
      <c r="E27" s="880">
        <v>0.9</v>
      </c>
      <c r="F27" s="883" t="s">
        <v>577</v>
      </c>
      <c r="G27" s="884"/>
      <c r="H27" s="876"/>
      <c r="I27" s="876"/>
    </row>
    <row r="28" spans="1:9" s="885" customFormat="1" ht="19.5" customHeight="1">
      <c r="A28" s="3281"/>
      <c r="B28" s="3281"/>
      <c r="C28" s="881" t="s">
        <v>578</v>
      </c>
      <c r="D28" s="882"/>
      <c r="E28" s="880">
        <v>0.9</v>
      </c>
      <c r="F28" s="883" t="s">
        <v>579</v>
      </c>
      <c r="G28" s="884"/>
      <c r="H28" s="876"/>
      <c r="I28" s="876"/>
    </row>
    <row r="29" spans="1:9" s="885" customFormat="1" ht="19.5" customHeight="1">
      <c r="A29" s="3281"/>
      <c r="B29" s="3281"/>
      <c r="C29" s="881" t="s">
        <v>580</v>
      </c>
      <c r="D29" s="882"/>
      <c r="E29" s="880">
        <v>0.9</v>
      </c>
      <c r="F29" s="883" t="s">
        <v>581</v>
      </c>
      <c r="G29" s="884"/>
      <c r="H29" s="876"/>
      <c r="I29" s="876"/>
    </row>
    <row r="30" spans="1:9" s="885" customFormat="1" ht="19.5" customHeight="1">
      <c r="A30" s="3281"/>
      <c r="B30" s="3281"/>
      <c r="C30" s="881" t="s">
        <v>582</v>
      </c>
      <c r="D30" s="882"/>
      <c r="E30" s="880">
        <v>0.9</v>
      </c>
      <c r="F30" s="883" t="s">
        <v>583</v>
      </c>
      <c r="G30" s="884"/>
      <c r="H30" s="876"/>
      <c r="I30" s="876"/>
    </row>
    <row r="31" spans="1:9" s="885" customFormat="1" ht="19.5" customHeight="1">
      <c r="A31" s="3281"/>
      <c r="B31" s="3281"/>
      <c r="C31" s="881" t="s">
        <v>584</v>
      </c>
      <c r="D31" s="882"/>
      <c r="E31" s="880">
        <v>0.8</v>
      </c>
      <c r="F31" s="883" t="s">
        <v>585</v>
      </c>
      <c r="G31" s="884"/>
      <c r="H31" s="876"/>
      <c r="I31" s="876"/>
    </row>
    <row r="32" spans="1:9" s="885" customFormat="1" ht="19.5" customHeight="1">
      <c r="A32" s="3281"/>
      <c r="B32" s="3281"/>
      <c r="C32" s="881" t="s">
        <v>586</v>
      </c>
      <c r="D32" s="882"/>
      <c r="E32" s="880">
        <v>0.8</v>
      </c>
      <c r="F32" s="883" t="s">
        <v>587</v>
      </c>
      <c r="G32" s="884"/>
      <c r="H32" s="876"/>
      <c r="I32" s="876"/>
    </row>
    <row r="33" spans="1:9" s="885" customFormat="1" ht="19.5" customHeight="1">
      <c r="A33" s="3281" t="s">
        <v>185</v>
      </c>
      <c r="B33" s="880" t="s">
        <v>560</v>
      </c>
      <c r="C33" s="881" t="s">
        <v>588</v>
      </c>
      <c r="D33" s="882"/>
      <c r="E33" s="880">
        <v>1</v>
      </c>
      <c r="F33" s="883" t="s">
        <v>589</v>
      </c>
      <c r="G33" s="884"/>
      <c r="H33" s="876"/>
      <c r="I33" s="876"/>
    </row>
    <row r="34" spans="1:9" s="885" customFormat="1" ht="19.5" customHeight="1">
      <c r="A34" s="3281"/>
      <c r="B34" s="880" t="s">
        <v>563</v>
      </c>
      <c r="C34" s="881" t="s">
        <v>590</v>
      </c>
      <c r="D34" s="882"/>
      <c r="E34" s="880">
        <v>1.5</v>
      </c>
      <c r="F34" s="883" t="s">
        <v>591</v>
      </c>
      <c r="G34" s="884"/>
      <c r="H34" s="876"/>
      <c r="I34" s="876"/>
    </row>
    <row r="35" spans="1:9" s="885" customFormat="1" ht="19.5" customHeight="1">
      <c r="A35" s="3281" t="s">
        <v>186</v>
      </c>
      <c r="B35" s="880" t="s">
        <v>560</v>
      </c>
      <c r="C35" s="881" t="s">
        <v>592</v>
      </c>
      <c r="D35" s="882"/>
      <c r="E35" s="880">
        <v>1</v>
      </c>
      <c r="F35" s="883" t="s">
        <v>593</v>
      </c>
      <c r="G35" s="884"/>
      <c r="H35" s="876"/>
      <c r="I35" s="876"/>
    </row>
    <row r="36" spans="1:9" s="885" customFormat="1" ht="19.5" customHeight="1">
      <c r="A36" s="3281"/>
      <c r="B36" s="3281" t="s">
        <v>563</v>
      </c>
      <c r="C36" s="881" t="s">
        <v>594</v>
      </c>
      <c r="D36" s="882"/>
      <c r="E36" s="880">
        <v>1</v>
      </c>
      <c r="F36" s="883" t="s">
        <v>595</v>
      </c>
      <c r="G36" s="884"/>
      <c r="H36" s="876"/>
      <c r="I36" s="876"/>
    </row>
    <row r="37" spans="1:9" s="885" customFormat="1" ht="19.5" customHeight="1">
      <c r="A37" s="3281"/>
      <c r="B37" s="3281"/>
      <c r="C37" s="881" t="s">
        <v>596</v>
      </c>
      <c r="D37" s="882"/>
      <c r="E37" s="880">
        <v>1.5</v>
      </c>
      <c r="F37" s="883" t="s">
        <v>597</v>
      </c>
      <c r="G37" s="884"/>
      <c r="H37" s="876"/>
      <c r="I37" s="876"/>
    </row>
    <row r="38" spans="1:9" s="885" customFormat="1" ht="19.5" customHeight="1">
      <c r="A38" s="3281"/>
      <c r="B38" s="3281"/>
      <c r="C38" s="881" t="s">
        <v>598</v>
      </c>
      <c r="D38" s="882"/>
      <c r="E38" s="880">
        <v>1</v>
      </c>
      <c r="F38" s="883" t="s">
        <v>599</v>
      </c>
      <c r="G38" s="884"/>
      <c r="H38" s="876"/>
      <c r="I38" s="876"/>
    </row>
    <row r="39" spans="1:9" s="885" customFormat="1" ht="19.5" customHeight="1">
      <c r="A39" s="3281"/>
      <c r="B39" s="328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1" t="s">
        <v>614</v>
      </c>
      <c r="C61" s="816" t="s">
        <v>615</v>
      </c>
      <c r="D61" s="816" t="s">
        <v>616</v>
      </c>
      <c r="E61" s="893">
        <v>0.5</v>
      </c>
      <c r="F61" s="880">
        <v>80</v>
      </c>
    </row>
    <row r="62" spans="1:8" s="876" customFormat="1" ht="24">
      <c r="A62" s="880">
        <v>2</v>
      </c>
      <c r="B62" s="3281"/>
      <c r="C62" s="816" t="s">
        <v>617</v>
      </c>
      <c r="D62" s="816" t="s">
        <v>618</v>
      </c>
      <c r="E62" s="893">
        <v>0.5</v>
      </c>
      <c r="F62" s="880">
        <v>80</v>
      </c>
    </row>
    <row r="63" spans="1:8" s="876" customFormat="1" ht="36">
      <c r="A63" s="880">
        <v>3</v>
      </c>
      <c r="B63" s="3281"/>
      <c r="C63" s="816" t="s">
        <v>619</v>
      </c>
      <c r="D63" s="816" t="s">
        <v>620</v>
      </c>
      <c r="E63" s="893">
        <v>0.5</v>
      </c>
      <c r="F63" s="880">
        <v>80</v>
      </c>
    </row>
    <row r="64" spans="1:8" s="876" customFormat="1" ht="36">
      <c r="A64" s="880">
        <v>4</v>
      </c>
      <c r="B64" s="3281"/>
      <c r="C64" s="816" t="s">
        <v>621</v>
      </c>
      <c r="D64" s="816" t="s">
        <v>622</v>
      </c>
      <c r="E64" s="893">
        <v>0.4</v>
      </c>
      <c r="F64" s="880">
        <v>60</v>
      </c>
    </row>
    <row r="65" spans="1:6" s="876" customFormat="1" ht="36">
      <c r="A65" s="880">
        <v>5</v>
      </c>
      <c r="B65" s="3281"/>
      <c r="C65" s="816" t="s">
        <v>623</v>
      </c>
      <c r="D65" s="816" t="s">
        <v>624</v>
      </c>
      <c r="E65" s="893">
        <v>0.2</v>
      </c>
      <c r="F65" s="880">
        <v>30</v>
      </c>
    </row>
    <row r="66" spans="1:6" s="876" customFormat="1" ht="36">
      <c r="A66" s="880">
        <v>6</v>
      </c>
      <c r="B66" s="3281"/>
      <c r="C66" s="816" t="s">
        <v>625</v>
      </c>
      <c r="D66" s="816" t="s">
        <v>626</v>
      </c>
      <c r="E66" s="893">
        <v>0.3</v>
      </c>
      <c r="F66" s="880">
        <v>50</v>
      </c>
    </row>
    <row r="67" spans="1:6" s="876" customFormat="1" ht="36">
      <c r="A67" s="880">
        <v>7</v>
      </c>
      <c r="B67" s="3281"/>
      <c r="C67" s="816" t="s">
        <v>627</v>
      </c>
      <c r="D67" s="816" t="s">
        <v>628</v>
      </c>
      <c r="E67" s="893">
        <v>0.2</v>
      </c>
      <c r="F67" s="880">
        <v>30</v>
      </c>
    </row>
    <row r="68" spans="1:6" s="876" customFormat="1" ht="36">
      <c r="A68" s="880">
        <v>8</v>
      </c>
      <c r="B68" s="3281"/>
      <c r="C68" s="816" t="s">
        <v>629</v>
      </c>
      <c r="D68" s="816" t="s">
        <v>630</v>
      </c>
      <c r="E68" s="893">
        <v>0.2</v>
      </c>
      <c r="F68" s="880">
        <v>30</v>
      </c>
    </row>
    <row r="69" spans="1:6" s="876" customFormat="1" ht="36">
      <c r="A69" s="880">
        <v>9</v>
      </c>
      <c r="B69" s="3281"/>
      <c r="C69" s="816" t="s">
        <v>631</v>
      </c>
      <c r="D69" s="816" t="s">
        <v>632</v>
      </c>
      <c r="E69" s="893">
        <v>0.2</v>
      </c>
      <c r="F69" s="880">
        <v>30</v>
      </c>
    </row>
    <row r="70" spans="1:6" s="876" customFormat="1" ht="48">
      <c r="A70" s="880">
        <v>10</v>
      </c>
      <c r="B70" s="3281"/>
      <c r="C70" s="816" t="s">
        <v>633</v>
      </c>
      <c r="D70" s="816" t="s">
        <v>634</v>
      </c>
      <c r="E70" s="893">
        <v>0.2</v>
      </c>
      <c r="F70" s="880">
        <v>30</v>
      </c>
    </row>
    <row r="71" spans="1:6" s="876" customFormat="1" ht="48">
      <c r="A71" s="880">
        <v>11</v>
      </c>
      <c r="B71" s="3281"/>
      <c r="C71" s="816" t="s">
        <v>635</v>
      </c>
      <c r="D71" s="816" t="s">
        <v>636</v>
      </c>
      <c r="E71" s="893">
        <v>0.2</v>
      </c>
      <c r="F71" s="880">
        <v>30</v>
      </c>
    </row>
    <row r="72" spans="1:6" s="876" customFormat="1" ht="36">
      <c r="A72" s="880">
        <v>12</v>
      </c>
      <c r="B72" s="3281"/>
      <c r="C72" s="816" t="s">
        <v>637</v>
      </c>
      <c r="D72" s="816" t="s">
        <v>638</v>
      </c>
      <c r="E72" s="893">
        <v>0.5</v>
      </c>
      <c r="F72" s="880">
        <v>80</v>
      </c>
    </row>
    <row r="73" spans="1:6" s="876" customFormat="1" ht="24">
      <c r="A73" s="880">
        <v>13</v>
      </c>
      <c r="B73" s="3281"/>
      <c r="C73" s="816" t="s">
        <v>639</v>
      </c>
      <c r="D73" s="816" t="s">
        <v>640</v>
      </c>
      <c r="E73" s="893">
        <v>0.4</v>
      </c>
      <c r="F73" s="880">
        <v>60</v>
      </c>
    </row>
    <row r="74" spans="1:6" s="876" customFormat="1" ht="24">
      <c r="A74" s="880">
        <v>14</v>
      </c>
      <c r="B74" s="3281"/>
      <c r="C74" s="816" t="s">
        <v>641</v>
      </c>
      <c r="D74" s="816" t="s">
        <v>642</v>
      </c>
      <c r="E74" s="893">
        <v>0.2</v>
      </c>
      <c r="F74" s="880">
        <v>30</v>
      </c>
    </row>
    <row r="75" spans="1:6" s="876" customFormat="1" ht="24">
      <c r="A75" s="880">
        <v>15</v>
      </c>
      <c r="B75" s="3281"/>
      <c r="C75" s="816" t="s">
        <v>643</v>
      </c>
      <c r="D75" s="816" t="s">
        <v>644</v>
      </c>
      <c r="E75" s="893">
        <v>0.2</v>
      </c>
      <c r="F75" s="880">
        <v>30</v>
      </c>
    </row>
    <row r="76" spans="1:6" s="876" customFormat="1" ht="24">
      <c r="A76" s="880">
        <v>16</v>
      </c>
      <c r="B76" s="3281" t="s">
        <v>645</v>
      </c>
      <c r="C76" s="816" t="s">
        <v>646</v>
      </c>
      <c r="D76" s="816" t="s">
        <v>647</v>
      </c>
      <c r="E76" s="893">
        <v>0.5</v>
      </c>
      <c r="F76" s="880">
        <v>80</v>
      </c>
    </row>
    <row r="77" spans="1:6" s="876" customFormat="1" ht="24">
      <c r="A77" s="880">
        <v>17</v>
      </c>
      <c r="B77" s="3281"/>
      <c r="C77" s="816" t="s">
        <v>648</v>
      </c>
      <c r="D77" s="816" t="s">
        <v>649</v>
      </c>
      <c r="E77" s="893">
        <v>0.5</v>
      </c>
      <c r="F77" s="880">
        <v>80</v>
      </c>
    </row>
    <row r="78" spans="1:6" s="876" customFormat="1" ht="24">
      <c r="A78" s="880">
        <v>18</v>
      </c>
      <c r="B78" s="3281"/>
      <c r="C78" s="816" t="s">
        <v>650</v>
      </c>
      <c r="D78" s="816" t="s">
        <v>651</v>
      </c>
      <c r="E78" s="893">
        <v>0.2</v>
      </c>
      <c r="F78" s="880">
        <v>30</v>
      </c>
    </row>
    <row r="79" spans="1:6" s="876" customFormat="1" ht="24">
      <c r="A79" s="880">
        <v>19</v>
      </c>
      <c r="B79" s="3281"/>
      <c r="C79" s="816" t="s">
        <v>652</v>
      </c>
      <c r="D79" s="816" t="s">
        <v>653</v>
      </c>
      <c r="E79" s="893">
        <v>0.5</v>
      </c>
      <c r="F79" s="880">
        <v>80</v>
      </c>
    </row>
    <row r="80" spans="1:6" s="876" customFormat="1" ht="36">
      <c r="A80" s="880">
        <v>20</v>
      </c>
      <c r="B80" s="3281"/>
      <c r="C80" s="816" t="s">
        <v>654</v>
      </c>
      <c r="D80" s="816" t="s">
        <v>655</v>
      </c>
      <c r="E80" s="893">
        <v>0.2</v>
      </c>
      <c r="F80" s="880">
        <v>30</v>
      </c>
    </row>
    <row r="81" spans="1:6" s="876" customFormat="1" ht="36">
      <c r="A81" s="880">
        <v>21</v>
      </c>
      <c r="B81" s="3281"/>
      <c r="C81" s="816" t="s">
        <v>656</v>
      </c>
      <c r="D81" s="816" t="s">
        <v>657</v>
      </c>
      <c r="E81" s="893">
        <v>0.2</v>
      </c>
      <c r="F81" s="880">
        <v>30</v>
      </c>
    </row>
    <row r="82" spans="1:6" s="876" customFormat="1" ht="48">
      <c r="A82" s="880">
        <v>22</v>
      </c>
      <c r="B82" s="3281"/>
      <c r="C82" s="816" t="s">
        <v>658</v>
      </c>
      <c r="D82" s="816" t="s">
        <v>659</v>
      </c>
      <c r="E82" s="893">
        <v>0.2</v>
      </c>
      <c r="F82" s="880">
        <v>30</v>
      </c>
    </row>
    <row r="83" spans="1:6" s="876" customFormat="1" ht="48">
      <c r="A83" s="880">
        <v>23</v>
      </c>
      <c r="B83" s="3281"/>
      <c r="C83" s="816" t="s">
        <v>660</v>
      </c>
      <c r="D83" s="816" t="s">
        <v>661</v>
      </c>
      <c r="E83" s="893">
        <v>0.2</v>
      </c>
      <c r="F83" s="880">
        <v>30</v>
      </c>
    </row>
    <row r="84" spans="1:6" s="876" customFormat="1" ht="36">
      <c r="A84" s="880">
        <v>24</v>
      </c>
      <c r="B84" s="3281"/>
      <c r="C84" s="816" t="s">
        <v>662</v>
      </c>
      <c r="D84" s="816" t="s">
        <v>663</v>
      </c>
      <c r="E84" s="893">
        <v>0.2</v>
      </c>
      <c r="F84" s="880">
        <v>30</v>
      </c>
    </row>
    <row r="85" spans="1:6" s="876" customFormat="1" ht="36">
      <c r="A85" s="880">
        <v>25</v>
      </c>
      <c r="B85" s="3281"/>
      <c r="C85" s="816" t="s">
        <v>664</v>
      </c>
      <c r="D85" s="816" t="s">
        <v>665</v>
      </c>
      <c r="E85" s="893">
        <v>0.5</v>
      </c>
      <c r="F85" s="880">
        <v>80</v>
      </c>
    </row>
    <row r="86" spans="1:6" s="876" customFormat="1" ht="36">
      <c r="A86" s="880">
        <v>26</v>
      </c>
      <c r="B86" s="3281"/>
      <c r="C86" s="816" t="s">
        <v>666</v>
      </c>
      <c r="D86" s="816" t="s">
        <v>667</v>
      </c>
      <c r="E86" s="893">
        <v>0.2</v>
      </c>
      <c r="F86" s="880">
        <v>30</v>
      </c>
    </row>
    <row r="87" spans="1:6" s="876" customFormat="1" ht="36">
      <c r="A87" s="880">
        <v>27</v>
      </c>
      <c r="B87" s="3281"/>
      <c r="C87" s="816" t="s">
        <v>668</v>
      </c>
      <c r="D87" s="816" t="s">
        <v>669</v>
      </c>
      <c r="E87" s="893">
        <v>0.2</v>
      </c>
      <c r="F87" s="880">
        <v>30</v>
      </c>
    </row>
    <row r="88" spans="1:6" s="876" customFormat="1" ht="36">
      <c r="A88" s="880">
        <v>28</v>
      </c>
      <c r="B88" s="3281"/>
      <c r="C88" s="816" t="s">
        <v>670</v>
      </c>
      <c r="D88" s="816" t="s">
        <v>671</v>
      </c>
      <c r="E88" s="893">
        <v>0.2</v>
      </c>
      <c r="F88" s="880">
        <v>30</v>
      </c>
    </row>
    <row r="89" spans="1:6" s="876" customFormat="1" ht="24">
      <c r="A89" s="880">
        <v>29</v>
      </c>
      <c r="B89" s="3281"/>
      <c r="C89" s="816" t="s">
        <v>672</v>
      </c>
      <c r="D89" s="816" t="s">
        <v>673</v>
      </c>
      <c r="E89" s="893">
        <v>0.2</v>
      </c>
      <c r="F89" s="880">
        <v>30</v>
      </c>
    </row>
    <row r="90" spans="1:6" s="876" customFormat="1" ht="24">
      <c r="A90" s="880">
        <v>30</v>
      </c>
      <c r="B90" s="3281"/>
      <c r="C90" s="816" t="s">
        <v>674</v>
      </c>
      <c r="D90" s="816" t="s">
        <v>675</v>
      </c>
      <c r="E90" s="893">
        <v>0.2</v>
      </c>
      <c r="F90" s="880">
        <v>30</v>
      </c>
    </row>
    <row r="91" spans="1:6" s="876" customFormat="1" ht="36">
      <c r="A91" s="880">
        <v>31</v>
      </c>
      <c r="B91" s="3281"/>
      <c r="C91" s="816" t="s">
        <v>676</v>
      </c>
      <c r="D91" s="816" t="s">
        <v>677</v>
      </c>
      <c r="E91" s="893">
        <v>0.2</v>
      </c>
      <c r="F91" s="880">
        <v>30</v>
      </c>
    </row>
    <row r="92" spans="1:6" s="876" customFormat="1" ht="24">
      <c r="A92" s="880">
        <v>32</v>
      </c>
      <c r="B92" s="3281" t="s">
        <v>678</v>
      </c>
      <c r="C92" s="880" t="s">
        <v>679</v>
      </c>
      <c r="D92" s="816" t="s">
        <v>680</v>
      </c>
      <c r="E92" s="893">
        <v>0.2</v>
      </c>
      <c r="F92" s="880">
        <v>30</v>
      </c>
    </row>
    <row r="93" spans="1:6" s="876" customFormat="1" ht="36">
      <c r="A93" s="880">
        <v>33</v>
      </c>
      <c r="B93" s="3281"/>
      <c r="C93" s="880" t="s">
        <v>681</v>
      </c>
      <c r="D93" s="816" t="s">
        <v>682</v>
      </c>
      <c r="E93" s="893">
        <v>0.2</v>
      </c>
      <c r="F93" s="880">
        <v>30</v>
      </c>
    </row>
    <row r="94" spans="1:6" s="876" customFormat="1" ht="48">
      <c r="A94" s="880">
        <v>34</v>
      </c>
      <c r="B94" s="3281"/>
      <c r="C94" s="880" t="s">
        <v>683</v>
      </c>
      <c r="D94" s="816" t="s">
        <v>684</v>
      </c>
      <c r="E94" s="893">
        <v>0.2</v>
      </c>
      <c r="F94" s="880">
        <v>30</v>
      </c>
    </row>
    <row r="95" spans="1:6" s="876" customFormat="1" ht="36">
      <c r="A95" s="880">
        <v>35</v>
      </c>
      <c r="B95" s="3281"/>
      <c r="C95" s="880" t="s">
        <v>685</v>
      </c>
      <c r="D95" s="816" t="s">
        <v>686</v>
      </c>
      <c r="E95" s="893">
        <v>0.2</v>
      </c>
      <c r="F95" s="880">
        <v>30</v>
      </c>
    </row>
    <row r="96" spans="1:6" s="876" customFormat="1" ht="48">
      <c r="A96" s="880">
        <v>36</v>
      </c>
      <c r="B96" s="3281"/>
      <c r="C96" s="816" t="s">
        <v>687</v>
      </c>
      <c r="D96" s="816" t="s">
        <v>688</v>
      </c>
      <c r="E96" s="893">
        <v>0.2</v>
      </c>
      <c r="F96" s="880">
        <v>30</v>
      </c>
    </row>
    <row r="97" spans="1:6" s="876" customFormat="1" ht="36">
      <c r="A97" s="880">
        <v>37</v>
      </c>
      <c r="B97" s="3281"/>
      <c r="C97" s="880" t="s">
        <v>689</v>
      </c>
      <c r="D97" s="816" t="s">
        <v>690</v>
      </c>
      <c r="E97" s="893">
        <v>0.2</v>
      </c>
      <c r="F97" s="880">
        <v>30</v>
      </c>
    </row>
    <row r="98" spans="1:6" s="876" customFormat="1" ht="36">
      <c r="A98" s="880">
        <v>38</v>
      </c>
      <c r="B98" s="3281"/>
      <c r="C98" s="880" t="s">
        <v>691</v>
      </c>
      <c r="D98" s="816" t="s">
        <v>692</v>
      </c>
      <c r="E98" s="893">
        <v>0.2</v>
      </c>
      <c r="F98" s="880">
        <v>30</v>
      </c>
    </row>
    <row r="99" spans="1:6" s="876" customFormat="1" ht="36">
      <c r="A99" s="880">
        <v>39</v>
      </c>
      <c r="B99" s="3281" t="s">
        <v>693</v>
      </c>
      <c r="C99" s="880" t="s">
        <v>694</v>
      </c>
      <c r="D99" s="816" t="s">
        <v>695</v>
      </c>
      <c r="E99" s="893">
        <v>0.3</v>
      </c>
      <c r="F99" s="880">
        <v>50</v>
      </c>
    </row>
    <row r="100" spans="1:6" s="876" customFormat="1" ht="24">
      <c r="A100" s="880">
        <v>40</v>
      </c>
      <c r="B100" s="3281"/>
      <c r="C100" s="880" t="s">
        <v>696</v>
      </c>
      <c r="D100" s="816" t="s">
        <v>697</v>
      </c>
      <c r="E100" s="893">
        <v>0.2</v>
      </c>
      <c r="F100" s="880">
        <v>30</v>
      </c>
    </row>
    <row r="101" spans="1:6" s="876" customFormat="1" ht="36">
      <c r="A101" s="880">
        <v>41</v>
      </c>
      <c r="B101" s="328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1" t="s">
        <v>708</v>
      </c>
      <c r="C105" s="880" t="s">
        <v>709</v>
      </c>
      <c r="D105" s="816" t="s">
        <v>710</v>
      </c>
      <c r="E105" s="893">
        <v>0.2</v>
      </c>
      <c r="F105" s="880">
        <v>30</v>
      </c>
    </row>
    <row r="106" spans="1:6" s="876" customFormat="1" ht="36">
      <c r="A106" s="880">
        <v>46</v>
      </c>
      <c r="B106" s="3281"/>
      <c r="C106" s="880" t="s">
        <v>711</v>
      </c>
      <c r="D106" s="816" t="s">
        <v>712</v>
      </c>
      <c r="E106" s="893">
        <v>0.2</v>
      </c>
      <c r="F106" s="880">
        <v>30</v>
      </c>
    </row>
    <row r="107" spans="1:6" s="876" customFormat="1" ht="36">
      <c r="A107" s="880">
        <v>47</v>
      </c>
      <c r="B107" s="3281" t="s">
        <v>713</v>
      </c>
      <c r="C107" s="880" t="s">
        <v>714</v>
      </c>
      <c r="D107" s="816" t="s">
        <v>715</v>
      </c>
      <c r="E107" s="893">
        <v>0.3</v>
      </c>
      <c r="F107" s="880">
        <v>50</v>
      </c>
    </row>
    <row r="108" spans="1:6" s="876" customFormat="1" ht="36">
      <c r="A108" s="880">
        <v>48</v>
      </c>
      <c r="B108" s="328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1" t="s">
        <v>724</v>
      </c>
      <c r="C111" s="880" t="s">
        <v>725</v>
      </c>
      <c r="D111" s="816" t="s">
        <v>726</v>
      </c>
      <c r="E111" s="893">
        <v>0.2</v>
      </c>
      <c r="F111" s="880">
        <v>30</v>
      </c>
    </row>
    <row r="112" spans="1:6" s="876" customFormat="1" ht="24">
      <c r="A112" s="880">
        <v>52</v>
      </c>
      <c r="B112" s="3281"/>
      <c r="C112" s="880" t="s">
        <v>727</v>
      </c>
      <c r="D112" s="816" t="s">
        <v>728</v>
      </c>
      <c r="E112" s="893">
        <v>0.2</v>
      </c>
      <c r="F112" s="880">
        <v>30</v>
      </c>
    </row>
    <row r="113" spans="1:6" s="876" customFormat="1" ht="24">
      <c r="A113" s="880">
        <v>53</v>
      </c>
      <c r="B113" s="328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1" t="s">
        <v>737</v>
      </c>
      <c r="C116" s="880" t="s">
        <v>738</v>
      </c>
      <c r="D116" s="816" t="s">
        <v>739</v>
      </c>
      <c r="E116" s="893">
        <v>0.2</v>
      </c>
      <c r="F116" s="880">
        <v>30</v>
      </c>
    </row>
    <row r="117" spans="1:6" ht="36">
      <c r="A117" s="880">
        <v>57</v>
      </c>
      <c r="B117" s="328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2999</v>
      </c>
    </row>
    <row r="2" spans="1:5" ht="15.75">
      <c r="A2" s="2898" t="s">
        <v>2991</v>
      </c>
      <c r="B2" s="2899" t="e">
        <f ca="1">SUMIF(B6:B13,"&lt;&gt;#ref!",B6:B13)</f>
        <v>#DIV/0!</v>
      </c>
      <c r="C2" s="2898" t="s">
        <v>2992</v>
      </c>
      <c r="D2" s="2898" t="s">
        <v>2993</v>
      </c>
      <c r="E2" s="2899">
        <f ca="1">SUMIF(E6:E13,"&lt;&gt;#ref!",E6:E13)</f>
        <v>0</v>
      </c>
    </row>
    <row r="3" spans="1:5" ht="15.75">
      <c r="A3" s="2898" t="s">
        <v>2994</v>
      </c>
      <c r="B3" s="2899" t="e">
        <f ca="1">ROUND(B2*10000/E2,0)</f>
        <v>#DIV/0!</v>
      </c>
      <c r="C3" s="2898" t="s">
        <v>3000</v>
      </c>
      <c r="D3" s="2900"/>
      <c r="E3" s="2900"/>
    </row>
    <row r="4" spans="1:5" ht="15.75">
      <c r="A4" s="2901"/>
      <c r="B4" s="2900"/>
      <c r="C4" s="2900"/>
      <c r="D4" s="2900"/>
      <c r="E4" s="2900"/>
    </row>
    <row r="5" spans="1:5" ht="28.5">
      <c r="A5" s="2902" t="s">
        <v>2995</v>
      </c>
      <c r="B5" s="2898" t="s">
        <v>2996</v>
      </c>
      <c r="C5" s="2899"/>
      <c r="D5" s="2900"/>
      <c r="E5" s="2898" t="s">
        <v>2997</v>
      </c>
    </row>
    <row r="6" spans="1:5" ht="15.75">
      <c r="A6" s="2903" t="s">
        <v>2998</v>
      </c>
      <c r="B6" s="2899" t="e">
        <f ca="1">SUMIF(INDIRECT("'"&amp;A6&amp;"'"&amp;"!A:A"),"总价",INDIRECT("'"&amp;A6&amp;"'"&amp;"!B:B"))</f>
        <v>#DIV/0!</v>
      </c>
      <c r="C6" s="2898" t="s">
        <v>2992</v>
      </c>
      <c r="D6" s="2900"/>
      <c r="E6" s="2571">
        <f ca="1">SUMIF(INDIRECT("'"&amp;A6&amp;"'"&amp;"!C:C"),"建筑面积",INDIRECT("'"&amp;A6&amp;"'"&amp;"!D:D"))</f>
        <v>0</v>
      </c>
    </row>
    <row r="7" spans="1:5" ht="15.75">
      <c r="A7" s="2903"/>
      <c r="B7" s="2899" t="e">
        <f ca="1">SUMIF(INDIRECT("'"&amp;A7&amp;"'"&amp;"!A:A"),"总价",INDIRECT("'"&amp;A7&amp;"'"&amp;"!B:B"))</f>
        <v>#REF!</v>
      </c>
      <c r="C7" s="2898" t="s">
        <v>2992</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2992</v>
      </c>
      <c r="D8" s="2900"/>
      <c r="E8" s="2571" t="e">
        <f t="shared" ca="1" si="0"/>
        <v>#REF!</v>
      </c>
    </row>
    <row r="9" spans="1:5" ht="15.75">
      <c r="A9" s="2903"/>
      <c r="B9" s="2899" t="e">
        <f t="shared" ca="1" si="1"/>
        <v>#REF!</v>
      </c>
      <c r="C9" s="2898" t="s">
        <v>2992</v>
      </c>
      <c r="D9" s="2900"/>
      <c r="E9" s="2571" t="e">
        <f t="shared" ca="1" si="0"/>
        <v>#REF!</v>
      </c>
    </row>
    <row r="10" spans="1:5" ht="15.75">
      <c r="A10" s="2903"/>
      <c r="B10" s="2899" t="e">
        <f t="shared" ca="1" si="1"/>
        <v>#REF!</v>
      </c>
      <c r="C10" s="2898" t="s">
        <v>2992</v>
      </c>
      <c r="D10" s="2900"/>
      <c r="E10" s="2571" t="e">
        <f t="shared" ca="1" si="0"/>
        <v>#REF!</v>
      </c>
    </row>
    <row r="11" spans="1:5" ht="15.75">
      <c r="A11" s="2903"/>
      <c r="B11" s="2899" t="e">
        <f t="shared" ca="1" si="1"/>
        <v>#REF!</v>
      </c>
      <c r="C11" s="2898" t="s">
        <v>2992</v>
      </c>
      <c r="D11" s="2900"/>
      <c r="E11" s="2571" t="e">
        <f t="shared" ca="1" si="0"/>
        <v>#REF!</v>
      </c>
    </row>
    <row r="12" spans="1:5" ht="15.75">
      <c r="A12" s="2903"/>
      <c r="B12" s="2899" t="e">
        <f t="shared" ca="1" si="1"/>
        <v>#REF!</v>
      </c>
      <c r="C12" s="2898" t="s">
        <v>2992</v>
      </c>
      <c r="D12" s="2900"/>
      <c r="E12" s="2571" t="e">
        <f t="shared" ca="1" si="0"/>
        <v>#REF!</v>
      </c>
    </row>
    <row r="13" spans="1:5" ht="15.75">
      <c r="A13" s="2903"/>
      <c r="B13" s="2899" t="e">
        <f t="shared" ca="1" si="1"/>
        <v>#REF!</v>
      </c>
      <c r="C13" s="2898" t="s">
        <v>2992</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7" t="s">
        <v>1146</v>
      </c>
      <c r="C1" s="3287"/>
      <c r="D1" s="3287"/>
      <c r="E1" s="3287"/>
      <c r="F1" s="3287"/>
      <c r="G1" s="3283" t="s">
        <v>1147</v>
      </c>
      <c r="H1" s="3283"/>
      <c r="I1" s="3283"/>
      <c r="J1" s="3283"/>
      <c r="K1" s="3283"/>
      <c r="L1" s="3283"/>
      <c r="N1" s="3283" t="s">
        <v>1148</v>
      </c>
      <c r="O1" s="3283"/>
      <c r="P1" s="3283"/>
      <c r="Q1" s="3283"/>
      <c r="R1" s="1444"/>
      <c r="S1" s="3283" t="s">
        <v>1149</v>
      </c>
      <c r="T1" s="3283"/>
      <c r="U1" s="3283"/>
      <c r="V1" s="3283"/>
      <c r="X1" s="3282" t="s">
        <v>1150</v>
      </c>
      <c r="Y1" s="3283"/>
      <c r="Z1" s="3283"/>
      <c r="AA1" s="3283"/>
      <c r="AB1" s="3283"/>
      <c r="AD1" s="3282" t="s">
        <v>1151</v>
      </c>
      <c r="AE1" s="3283"/>
      <c r="AF1" s="3283"/>
      <c r="AG1" s="3283"/>
      <c r="AH1" s="3283"/>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3034</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3048</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3035</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3049</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3047</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85">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3041</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85"/>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3040</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85"/>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3033</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92"/>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3030</v>
      </c>
      <c r="B11" s="1467">
        <v>439</v>
      </c>
      <c r="C11" s="1467">
        <v>327</v>
      </c>
      <c r="D11" s="1467">
        <f>C11</f>
        <v>327</v>
      </c>
      <c r="E11" s="1467">
        <v>627</v>
      </c>
      <c r="F11" s="1468">
        <v>283</v>
      </c>
      <c r="G11" s="3288">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3031</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85"/>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85"/>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92"/>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88">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85"/>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85"/>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86"/>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84">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85"/>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85"/>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86"/>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84">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85"/>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85"/>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86"/>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89">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90"/>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90"/>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91"/>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84">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85"/>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85"/>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86"/>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84">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85">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85">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86">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84">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85">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85">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86">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84">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85">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85">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86">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84">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85">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85">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86">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84">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85">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85">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86">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84">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85">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85">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86">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84">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85">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85">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86">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84">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85">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85">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86">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84">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85">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85">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86">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84">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85">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85">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86">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3001</v>
      </c>
      <c r="C1" s="3294" t="s">
        <v>3002</v>
      </c>
      <c r="D1" s="3295"/>
      <c r="E1" s="3295"/>
      <c r="F1" s="3295"/>
      <c r="G1" s="3295"/>
      <c r="H1" s="3295"/>
      <c r="I1" s="3295"/>
      <c r="J1" s="3295"/>
      <c r="K1" s="3295"/>
      <c r="L1" s="3295"/>
      <c r="M1" s="3295"/>
      <c r="N1" s="3295"/>
      <c r="O1" s="3295"/>
      <c r="P1" s="3295"/>
      <c r="Q1" s="3295"/>
      <c r="R1" s="3295"/>
      <c r="S1" s="3296"/>
      <c r="T1" s="1202" t="s">
        <v>3003</v>
      </c>
    </row>
    <row r="2" spans="1:45" s="706" customFormat="1">
      <c r="A2" s="1203"/>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3005</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3011</v>
      </c>
      <c r="B17" s="2905"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3013</v>
      </c>
      <c r="E19" s="1790"/>
      <c r="F19" s="1790"/>
      <c r="G19" s="1790"/>
      <c r="H19" s="1278"/>
      <c r="I19" s="167"/>
      <c r="J19" s="167"/>
      <c r="K19" s="167"/>
      <c r="L19" s="167"/>
      <c r="M19" s="167"/>
      <c r="N19" s="167"/>
      <c r="O19" s="167"/>
      <c r="P19" s="167"/>
      <c r="Q19" s="167"/>
      <c r="R19" s="786"/>
      <c r="S19" s="137"/>
    </row>
    <row r="20" spans="1:45" ht="16.5" thickBot="1">
      <c r="A20" s="714" t="s">
        <v>3014</v>
      </c>
      <c r="B20" s="337" t="e">
        <f ca="1">IF(D20="——",S22,S22-F20)</f>
        <v>#REF!</v>
      </c>
      <c r="C20" s="167"/>
      <c r="D20" s="2907" t="s">
        <v>3015</v>
      </c>
      <c r="E20" s="1791"/>
      <c r="F20" s="1202" t="e">
        <f ca="1">SUMIF(INDIRECT("'"&amp;H20&amp;"'"&amp;"!A:A"),"承租人权益价值",INDIRECT("'"&amp;H20&amp;"'"&amp;"!c:c"))</f>
        <v>#REF!</v>
      </c>
      <c r="G20" s="1202" t="s">
        <v>3016</v>
      </c>
      <c r="H20" s="2908"/>
      <c r="I20" s="167"/>
      <c r="J20" s="167"/>
      <c r="K20" s="167"/>
      <c r="L20" s="167"/>
      <c r="M20" s="167"/>
      <c r="N20" s="167"/>
      <c r="O20" s="167"/>
      <c r="P20" s="167"/>
      <c r="Q20" s="167"/>
      <c r="R20" s="786"/>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6"/>
      <c r="S21" s="137"/>
    </row>
    <row r="22" spans="1:45">
      <c r="A22" s="360" t="s">
        <v>3018</v>
      </c>
      <c r="B22" s="24">
        <f>SUM(B24:B10000)</f>
        <v>100</v>
      </c>
      <c r="C22" s="3069" t="s">
        <v>33</v>
      </c>
      <c r="D22" s="3070"/>
      <c r="E22" s="3070"/>
      <c r="F22" s="3070"/>
      <c r="G22" s="3070"/>
      <c r="H22" s="3070"/>
      <c r="I22" s="3070"/>
      <c r="J22" s="3070"/>
      <c r="K22" s="3070"/>
      <c r="L22" s="3070"/>
      <c r="M22" s="3070"/>
      <c r="N22" s="3070"/>
      <c r="O22" s="3070"/>
      <c r="P22" s="3070"/>
      <c r="Q22" s="3293"/>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9"/>
      <c r="B4" s="2972" t="s">
        <v>1626</v>
      </c>
      <c r="C4" s="2972"/>
      <c r="D4" s="2972"/>
      <c r="E4" s="1959"/>
    </row>
    <row r="5" spans="1:5" ht="16.5" thickTop="1">
      <c r="A5" s="1957"/>
      <c r="B5" s="2970" t="s">
        <v>1618</v>
      </c>
      <c r="C5" s="1960" t="s">
        <v>1619</v>
      </c>
      <c r="D5" s="1038">
        <f ca="1">结果表!H101</f>
        <v>4341</v>
      </c>
      <c r="E5" s="1957"/>
    </row>
    <row r="6" spans="1:5" ht="15.75">
      <c r="A6" s="1957"/>
      <c r="B6" s="2970"/>
      <c r="C6" s="1960" t="s">
        <v>1620</v>
      </c>
      <c r="D6" s="1038" t="str">
        <f ca="1">NUMBERSTRING(INT(D5*10000),2)&amp;"元整"</f>
        <v>肆仟叁佰肆拾壹万元整</v>
      </c>
      <c r="E6" s="1957"/>
    </row>
    <row r="7" spans="1:5" ht="15.75">
      <c r="A7" s="1957"/>
      <c r="B7" s="2975"/>
      <c r="C7" s="1961" t="s">
        <v>1621</v>
      </c>
      <c r="D7" s="1039">
        <f ca="1">结果表!H102</f>
        <v>18039</v>
      </c>
      <c r="E7" s="1957"/>
    </row>
    <row r="8" spans="1:5" ht="15.75">
      <c r="A8" s="1957"/>
      <c r="B8" s="2976" t="str">
        <f>结果表!E103</f>
        <v>2.估价师知悉的法定优先受偿款</v>
      </c>
      <c r="C8" s="1962" t="s">
        <v>1622</v>
      </c>
      <c r="D8" s="1039">
        <f>结果表!H103</f>
        <v>0</v>
      </c>
      <c r="E8" s="1957"/>
    </row>
    <row r="9" spans="1:5" ht="15.75">
      <c r="A9" s="1957"/>
      <c r="B9" s="2978"/>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9" t="str">
        <f>结果表!E107</f>
        <v>3.房地产抵押价值</v>
      </c>
      <c r="C13" s="1965" t="s">
        <v>1619</v>
      </c>
      <c r="D13" s="1041">
        <f ca="1">结果表!H107</f>
        <v>4341</v>
      </c>
      <c r="E13" s="1957"/>
    </row>
    <row r="14" spans="1:5" ht="15.75">
      <c r="A14" s="1957"/>
      <c r="B14" s="2970"/>
      <c r="C14" s="1960" t="s">
        <v>1620</v>
      </c>
      <c r="D14" s="1038" t="str">
        <f ca="1">NUMBERSTRING(INT(D13*10000),2)&amp;"元整"</f>
        <v>肆仟叁佰肆拾壹万元整</v>
      </c>
      <c r="E14" s="1957"/>
    </row>
    <row r="15" spans="1:5" ht="15">
      <c r="A15" s="1957"/>
      <c r="B15" s="2975"/>
      <c r="C15" s="1961" t="s">
        <v>1630</v>
      </c>
      <c r="D15" s="1050">
        <f ca="1">结果表!H108</f>
        <v>18039</v>
      </c>
      <c r="E15" s="1957"/>
    </row>
    <row r="16" spans="1:5" ht="15">
      <c r="A16" s="1957"/>
      <c r="B16" s="2976" t="str">
        <f>结果表!E109</f>
        <v>——</v>
      </c>
      <c r="C16" s="1965" t="s">
        <v>1631</v>
      </c>
      <c r="D16" s="1966" t="str">
        <f>结果表!H109</f>
        <v>——</v>
      </c>
      <c r="E16" s="1957"/>
    </row>
    <row r="17" spans="1:5" ht="15.75">
      <c r="A17" s="1957"/>
      <c r="B17" s="2977"/>
      <c r="C17" s="1960" t="s">
        <v>1632</v>
      </c>
      <c r="D17" s="1038" t="e">
        <f>NUMBERSTRING(INT(D16*10000),2)&amp;"元整"</f>
        <v>#VALUE!</v>
      </c>
      <c r="E17" s="1957"/>
    </row>
    <row r="18" spans="1:5" ht="15">
      <c r="A18" s="1957"/>
      <c r="B18" s="2978"/>
      <c r="C18" s="1961" t="s">
        <v>1621</v>
      </c>
      <c r="D18" s="1050" t="str">
        <f>结果表!H110</f>
        <v>——</v>
      </c>
      <c r="E18" s="1957"/>
    </row>
    <row r="19" spans="1:5" ht="15.75">
      <c r="A19" s="1957"/>
      <c r="B19" s="2969" t="str">
        <f>结果表!E111</f>
        <v>4.抵押净值</v>
      </c>
      <c r="C19" s="1965" t="s">
        <v>1619</v>
      </c>
      <c r="D19" s="1039">
        <f ca="1">结果表!H111</f>
        <v>3503</v>
      </c>
      <c r="E19" s="1957"/>
    </row>
    <row r="20" spans="1:5" ht="15.75">
      <c r="A20" s="1957"/>
      <c r="B20" s="2970"/>
      <c r="C20" s="1960" t="s">
        <v>1632</v>
      </c>
      <c r="D20" s="1038" t="str">
        <f ca="1">NUMBERSTRING(INT(D19*10000),2)&amp;"元整"</f>
        <v>叁仟伍佰零叁万元整</v>
      </c>
      <c r="E20" s="1957"/>
    </row>
    <row r="21" spans="1:5" ht="15.75" thickBot="1">
      <c r="A21" s="1957"/>
      <c r="B21" s="2971"/>
      <c r="C21" s="1967" t="s">
        <v>1630</v>
      </c>
      <c r="D21" s="1051">
        <f ca="1">结果表!H112</f>
        <v>14557</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30680</v>
      </c>
      <c r="C2" s="2" t="s">
        <v>133</v>
      </c>
      <c r="D2" s="242"/>
      <c r="E2" s="242"/>
      <c r="F2" s="242"/>
      <c r="G2" s="242"/>
    </row>
    <row r="3" spans="1:7" s="243" customFormat="1" ht="18" customHeight="1" thickBot="1">
      <c r="A3" s="246" t="s">
        <v>85</v>
      </c>
      <c r="B3" s="247">
        <f ca="1">ROUND(B2*10000/'数据-汇总表'!E3,0)</f>
        <v>127491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19</v>
      </c>
      <c r="D10" s="1030">
        <f>'数据-汇总表'!E6</f>
        <v>2406.44</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48</v>
      </c>
      <c r="D19" s="1034">
        <f>'数据-汇总表'!E3</f>
        <v>2406.44</v>
      </c>
      <c r="E19" s="254">
        <f>'数据-取费表'!B31</f>
        <v>200</v>
      </c>
      <c r="F19" s="274"/>
      <c r="G19" s="1" t="s">
        <v>1071</v>
      </c>
    </row>
    <row r="20" spans="1:7" s="257" customFormat="1" ht="13.5" customHeight="1">
      <c r="A20" s="946" t="s">
        <v>1054</v>
      </c>
      <c r="B20" s="253" t="s">
        <v>104</v>
      </c>
      <c r="C20" s="275">
        <f>ROUND((C5+C19)*F20,0)</f>
        <v>413</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2029</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5</v>
      </c>
      <c r="D24" s="281"/>
      <c r="E24" s="281"/>
      <c r="F24" s="282"/>
      <c r="G24" s="283" t="s">
        <v>109</v>
      </c>
    </row>
    <row r="25" spans="1:7" s="257" customFormat="1" ht="24">
      <c r="A25" s="949" t="s">
        <v>793</v>
      </c>
      <c r="B25" s="258" t="s">
        <v>1055</v>
      </c>
      <c r="C25" s="1353">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4214</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4214</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29605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803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722</v>
      </c>
      <c r="D34" s="260"/>
      <c r="E34" s="263"/>
      <c r="F34" s="300">
        <f>IF('数据-取费表'!B24=0,1,'数据-取费表'!N16)</f>
        <v>1</v>
      </c>
      <c r="G34" s="262" t="s">
        <v>116</v>
      </c>
    </row>
    <row r="35" spans="1:7" ht="13.5" customHeight="1">
      <c r="A35" s="949" t="s">
        <v>796</v>
      </c>
      <c r="B35" s="258" t="s">
        <v>60</v>
      </c>
      <c r="C35" s="263">
        <f>ROUND(C34*F35,0)</f>
        <v>22</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9" t="s">
        <v>798</v>
      </c>
      <c r="B37" s="258" t="s">
        <v>118</v>
      </c>
      <c r="C37" s="292">
        <f>ROUND(E37*D37*F34/10000,0)</f>
        <v>48</v>
      </c>
      <c r="D37" s="260">
        <f>'数据-汇总表'!E3</f>
        <v>2406.44</v>
      </c>
      <c r="E37" s="292">
        <f>'数据-取费表'!B35</f>
        <v>200</v>
      </c>
      <c r="F37" s="302"/>
      <c r="G37" s="304" t="s">
        <v>119</v>
      </c>
    </row>
    <row r="38" spans="1:7" ht="13.5" customHeight="1">
      <c r="A38" s="949" t="s">
        <v>799</v>
      </c>
      <c r="B38" s="258" t="s">
        <v>63</v>
      </c>
      <c r="C38" s="263">
        <f>ROUND(C34*F38,0)</f>
        <v>11</v>
      </c>
      <c r="D38" s="263"/>
      <c r="E38" s="263"/>
      <c r="F38" s="302">
        <f>'数据-取费表'!B36</f>
        <v>1.4999999999999999E-2</v>
      </c>
      <c r="G38" s="262" t="s">
        <v>117</v>
      </c>
    </row>
    <row r="39" spans="1:7" s="257" customFormat="1" ht="13.5" customHeight="1">
      <c r="A39" s="946" t="s">
        <v>783</v>
      </c>
      <c r="B39" s="253" t="s">
        <v>104</v>
      </c>
      <c r="C39" s="275">
        <f>ROUND(C33*F20,0)</f>
        <v>16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39</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38</v>
      </c>
      <c r="D42" s="281"/>
      <c r="E42" s="281"/>
      <c r="F42" s="282"/>
      <c r="G42" s="3154" t="s">
        <v>121</v>
      </c>
    </row>
    <row r="43" spans="1:7" ht="13.5" customHeight="1">
      <c r="A43" s="949" t="s">
        <v>792</v>
      </c>
      <c r="B43" s="258" t="s">
        <v>1061</v>
      </c>
      <c r="C43" s="281">
        <f ca="1">ROUND(IF('数据-取费表'!B22&lt;=1,C39*F22*'数据-取费表'!B21/2,C39*(POWER((1+F22),'数据-取费表'!B21/2)-1)),0)</f>
        <v>1</v>
      </c>
      <c r="D43" s="281"/>
      <c r="E43" s="281"/>
      <c r="F43" s="282"/>
      <c r="G43" s="3155"/>
    </row>
    <row r="44" spans="1:7" ht="13.5" customHeight="1">
      <c r="A44" s="949" t="s">
        <v>793</v>
      </c>
      <c r="B44" s="258" t="s">
        <v>1063</v>
      </c>
      <c r="C44" s="281">
        <f ca="1">ROUND(IF('数据-取费表'!B22&lt;=1,C40*F22*'数据-取费表'!B21/2,C40*(POWER((1+F22),'数据-取费表'!B21/2)-1)),4)</f>
        <v>1E-3</v>
      </c>
      <c r="D44" s="281"/>
      <c r="E44" s="281"/>
      <c r="F44" s="282"/>
      <c r="G44" s="3156"/>
    </row>
    <row r="45" spans="1:7" s="257" customFormat="1" ht="13.5" customHeight="1">
      <c r="A45" s="946" t="s">
        <v>786</v>
      </c>
      <c r="B45" s="287" t="s">
        <v>112</v>
      </c>
      <c r="C45" s="288">
        <f>C46</f>
        <v>164</v>
      </c>
      <c r="D45" s="278">
        <f>C47</f>
        <v>4.0000000000000001E-3</v>
      </c>
      <c r="E45" s="279" t="s">
        <v>129</v>
      </c>
      <c r="F45" s="289"/>
      <c r="G45" s="290" t="s">
        <v>1069</v>
      </c>
    </row>
    <row r="46" spans="1:7" s="257" customFormat="1" ht="13.5" customHeight="1">
      <c r="A46" s="949" t="s">
        <v>794</v>
      </c>
      <c r="B46" s="291" t="s">
        <v>1062</v>
      </c>
      <c r="C46" s="292">
        <f>ROUND((C33+C39)*F27,0)</f>
        <v>164</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1108</v>
      </c>
      <c r="D49" s="275"/>
      <c r="E49" s="275"/>
      <c r="F49" s="307"/>
      <c r="G49" s="277" t="s">
        <v>1070</v>
      </c>
    </row>
    <row r="50" spans="1:7" s="301" customFormat="1" ht="24">
      <c r="A50" s="946" t="s">
        <v>789</v>
      </c>
      <c r="B50" s="253" t="s">
        <v>124</v>
      </c>
      <c r="C50" s="275"/>
      <c r="D50" s="275"/>
      <c r="E50" s="275"/>
      <c r="F50" s="307">
        <f>IF('数据-取费表'!B24=0,'数据-取费表'!N16,1)</f>
        <v>0.97</v>
      </c>
      <c r="G50" s="290" t="s">
        <v>125</v>
      </c>
    </row>
    <row r="51" spans="1:7" ht="16.5" customHeight="1">
      <c r="A51" s="946" t="s">
        <v>790</v>
      </c>
      <c r="B51" s="253" t="s">
        <v>132</v>
      </c>
      <c r="C51" s="275">
        <f ca="1">ROUND(C49*F50,0)</f>
        <v>1075</v>
      </c>
      <c r="D51" s="275"/>
      <c r="E51" s="275"/>
      <c r="F51" s="307"/>
      <c r="G51" s="277" t="s">
        <v>64</v>
      </c>
    </row>
    <row r="52" spans="1:7" s="251" customFormat="1" ht="16.5" thickBot="1">
      <c r="A52" s="308" t="s">
        <v>65</v>
      </c>
      <c r="B52" s="309"/>
      <c r="C52" s="310">
        <f ca="1">C31+C51</f>
        <v>30680</v>
      </c>
      <c r="D52" s="309"/>
      <c r="E52" s="309"/>
      <c r="F52" s="309"/>
      <c r="G52" s="311"/>
    </row>
    <row r="55" spans="1:7" ht="15">
      <c r="B55" s="313" t="s">
        <v>66</v>
      </c>
      <c r="C55" s="314"/>
    </row>
    <row r="56" spans="1:7">
      <c r="B56" s="316" t="s">
        <v>67</v>
      </c>
      <c r="C56" s="317">
        <f ca="1">ROUND(C51/C52,3)</f>
        <v>3.5000000000000003E-2</v>
      </c>
    </row>
    <row r="57" spans="1:7">
      <c r="B57" s="316" t="s">
        <v>68</v>
      </c>
      <c r="C57" s="318">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7" t="s">
        <v>156</v>
      </c>
      <c r="B1" s="3297"/>
      <c r="C1" s="3297"/>
      <c r="D1" s="3297"/>
      <c r="E1" s="3297"/>
      <c r="F1" s="329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8" t="s">
        <v>169</v>
      </c>
      <c r="B2" s="3298"/>
      <c r="C2" s="3298"/>
      <c r="D2" s="3298"/>
      <c r="E2" s="3298"/>
      <c r="F2" s="329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7" t="s">
        <v>868</v>
      </c>
      <c r="B1" s="329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1637</v>
      </c>
      <c r="B2" s="2980" t="s">
        <v>1638</v>
      </c>
      <c r="C2" s="2980" t="s">
        <v>1639</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2406.44</v>
      </c>
      <c r="C4" s="1042">
        <f>项目基本情况!C18</f>
        <v>0</v>
      </c>
      <c r="D4" s="1042" t="e">
        <f ca="1">结果表!D118</f>
        <v>#REF!</v>
      </c>
      <c r="E4" s="1042" t="e">
        <f ca="1">结果表!E118</f>
        <v>#REF!</v>
      </c>
      <c r="F4" s="1042" t="e">
        <f ca="1">结果表!F118</f>
        <v>#REF!</v>
      </c>
      <c r="G4" s="1042" t="e">
        <f ca="1">结果表!G118</f>
        <v>#REF!</v>
      </c>
      <c r="H4" s="1042">
        <f ca="1">结果表!H118</f>
        <v>4341</v>
      </c>
      <c r="I4" s="1042">
        <f ca="1">结果表!I118</f>
        <v>18039</v>
      </c>
    </row>
    <row r="5" spans="1:9" ht="30" customHeight="1">
      <c r="A5" s="2981" t="s">
        <v>1636</v>
      </c>
      <c r="B5" s="2981"/>
      <c r="C5" s="2981"/>
      <c r="D5" s="2982" t="e">
        <f ca="1">结果表!D119</f>
        <v>#REF!</v>
      </c>
      <c r="E5" s="2982"/>
      <c r="F5" s="2982" t="e">
        <f ca="1">结果表!F119</f>
        <v>#REF!</v>
      </c>
      <c r="G5" s="2982"/>
      <c r="H5" s="2982" t="str">
        <f ca="1">结果表!H119</f>
        <v>肆仟叁佰肆拾壹万元整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1636</v>
      </c>
      <c r="B7" s="2981"/>
      <c r="C7" s="2981"/>
      <c r="D7" s="2984" t="str">
        <f>结果表!D121</f>
        <v>零元整</v>
      </c>
      <c r="E7" s="2985"/>
      <c r="F7" s="2985"/>
      <c r="G7" s="2985"/>
      <c r="H7" s="2985"/>
      <c r="I7" s="2986"/>
    </row>
    <row r="8" spans="1:9" ht="15.75">
      <c r="A8" s="2983" t="str">
        <f>结果表!A122</f>
        <v>房地产抵押价值</v>
      </c>
      <c r="B8" s="2983"/>
      <c r="C8" s="2983"/>
      <c r="D8" s="2983">
        <f ca="1">结果表!D122</f>
        <v>4341</v>
      </c>
      <c r="E8" s="2983"/>
      <c r="F8" s="2983"/>
      <c r="G8" s="2983"/>
      <c r="H8" s="2983"/>
      <c r="I8" s="2983"/>
    </row>
    <row r="9" spans="1:9" ht="15">
      <c r="A9" s="2981" t="s">
        <v>1636</v>
      </c>
      <c r="B9" s="2981"/>
      <c r="C9" s="2981"/>
      <c r="D9" s="2982" t="str">
        <f ca="1">结果表!D123</f>
        <v>肆仟叁佰肆拾壹万元整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1636</v>
      </c>
      <c r="B11" s="2981"/>
      <c r="C11" s="2981"/>
      <c r="D11" s="2982" t="e">
        <f>结果表!D125</f>
        <v>#VALUE!</v>
      </c>
      <c r="E11" s="2982"/>
      <c r="F11" s="2982"/>
      <c r="G11" s="2982"/>
      <c r="H11" s="2982"/>
      <c r="I11" s="2982"/>
    </row>
    <row r="12" spans="1:9" ht="15.75">
      <c r="A12" s="2983" t="str">
        <f>结果表!A126</f>
        <v>抵押净值</v>
      </c>
      <c r="B12" s="2983"/>
      <c r="C12" s="2983"/>
      <c r="D12" s="2983">
        <f ca="1">结果表!D126</f>
        <v>3503</v>
      </c>
      <c r="E12" s="2983"/>
      <c r="F12" s="2983"/>
      <c r="G12" s="2983"/>
      <c r="H12" s="2983"/>
      <c r="I12" s="2983"/>
    </row>
    <row r="13" spans="1:9" ht="15.75" thickBot="1">
      <c r="A13" s="2987" t="s">
        <v>1636</v>
      </c>
      <c r="B13" s="2987"/>
      <c r="C13" s="2987"/>
      <c r="D13" s="2988" t="str">
        <f ca="1">结果表!D127</f>
        <v>叁仟伍佰零叁万元整</v>
      </c>
      <c r="E13" s="2988"/>
      <c r="F13" s="2988"/>
      <c r="G13" s="2988"/>
      <c r="H13" s="2988"/>
      <c r="I13" s="2988"/>
    </row>
    <row r="14" spans="1:9" ht="15" thickTop="1">
      <c r="A14" s="2989" t="s">
        <v>1641</v>
      </c>
      <c r="B14" s="2989"/>
      <c r="C14" s="2989"/>
      <c r="D14" s="2989"/>
      <c r="E14" s="2989"/>
      <c r="F14" s="2989"/>
      <c r="G14" s="2989"/>
      <c r="H14" s="2989"/>
      <c r="I14" s="298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0" t="s">
        <v>1658</v>
      </c>
      <c r="B1" s="2990"/>
      <c r="C1" s="2990"/>
      <c r="D1" s="2990"/>
    </row>
    <row r="2" spans="1:4" ht="18">
      <c r="A2" s="2991" t="s">
        <v>1642</v>
      </c>
      <c r="B2" s="2991"/>
      <c r="C2" s="2991"/>
      <c r="D2" s="2991"/>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2991" t="s">
        <v>1648</v>
      </c>
      <c r="B6" s="2991"/>
      <c r="C6" s="2991"/>
      <c r="D6" s="2991"/>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2992"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v>
      </c>
      <c r="B15" s="2993"/>
      <c r="C15" s="2993"/>
      <c r="D15" s="2993"/>
    </row>
    <row r="16" spans="1:4" ht="30" customHeight="1">
      <c r="A16" s="2996" t="s">
        <v>1652</v>
      </c>
      <c r="B16" s="2996"/>
      <c r="C16" s="2996"/>
      <c r="D16" s="2996"/>
    </row>
    <row r="17" spans="1:4" ht="144" customHeight="1">
      <c r="A17" s="2996" t="s">
        <v>1653</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1654</v>
      </c>
      <c r="B22" s="2998"/>
      <c r="C22" s="2998"/>
      <c r="D22" s="2998"/>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4" t="s">
        <v>1665</v>
      </c>
      <c r="B15" s="2999" t="s">
        <v>136</v>
      </c>
      <c r="C15" s="3000"/>
    </row>
    <row r="16" spans="1:7" ht="13.5">
      <c r="A16" s="3005"/>
      <c r="B16" s="2999" t="s">
        <v>69</v>
      </c>
      <c r="C16" s="3000"/>
    </row>
    <row r="17" spans="1:3" ht="13.5">
      <c r="A17" s="3005"/>
      <c r="B17" s="3002" t="s">
        <v>1666</v>
      </c>
      <c r="C17" s="1998" t="s">
        <v>1665</v>
      </c>
    </row>
    <row r="18" spans="1:3" ht="13.5">
      <c r="A18" s="3005"/>
      <c r="B18" s="3002"/>
      <c r="C18" s="1998" t="s">
        <v>1667</v>
      </c>
    </row>
    <row r="19" spans="1:3" ht="13.5">
      <c r="A19" s="3005"/>
      <c r="B19" s="3002"/>
      <c r="C19" s="1998" t="s">
        <v>1668</v>
      </c>
    </row>
    <row r="20" spans="1:3" ht="13.5">
      <c r="A20" s="3006"/>
      <c r="B20" s="3001" t="s">
        <v>1669</v>
      </c>
      <c r="C20" s="3000"/>
    </row>
    <row r="21" spans="1:3" ht="13.5">
      <c r="A21" s="1999" t="s">
        <v>1670</v>
      </c>
      <c r="B21" s="2000"/>
      <c r="C21" s="2001"/>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8" t="s">
        <v>1676</v>
      </c>
    </row>
    <row r="26" spans="1:3" ht="13.5">
      <c r="A26" s="3003"/>
      <c r="B26" s="3002"/>
      <c r="C26" s="1998" t="s">
        <v>1677</v>
      </c>
    </row>
    <row r="27" spans="1:3" ht="13.5">
      <c r="A27" s="3003"/>
      <c r="B27" s="3002"/>
      <c r="C27" s="1998" t="s">
        <v>1678</v>
      </c>
    </row>
    <row r="28" spans="1:3" ht="13.5">
      <c r="A28" s="3003"/>
      <c r="B28" s="3002"/>
      <c r="C28" s="1998" t="s">
        <v>1679</v>
      </c>
    </row>
    <row r="29" spans="1:3" ht="13.5">
      <c r="A29" s="3003"/>
      <c r="B29" s="3002"/>
      <c r="C29" s="1998" t="s">
        <v>1680</v>
      </c>
    </row>
    <row r="30" spans="1:3" ht="13.5">
      <c r="A30" s="3003"/>
      <c r="B30" s="3002"/>
      <c r="C30" s="1998" t="s">
        <v>1681</v>
      </c>
    </row>
    <row r="31" spans="1:3" ht="13.5">
      <c r="A31" s="3003"/>
      <c r="B31" s="3002"/>
      <c r="C31" s="1998" t="s">
        <v>1682</v>
      </c>
    </row>
    <row r="32" spans="1:3" ht="13.5">
      <c r="A32" s="3003"/>
      <c r="B32" s="3002"/>
      <c r="C32" s="1998" t="s">
        <v>1683</v>
      </c>
    </row>
    <row r="33" spans="1:3" ht="13.5">
      <c r="A33" s="3003"/>
      <c r="B33" s="300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43628</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3042</v>
      </c>
      <c r="B14" s="1020">
        <f ca="1">IF(C14&lt;B2,"已过期",1120040230)</f>
        <v>1120040230</v>
      </c>
      <c r="C14" s="2343">
        <v>43835</v>
      </c>
      <c r="D14" s="2346" t="s">
        <v>3042</v>
      </c>
      <c r="E14" s="1020">
        <f ca="1">IF(F14&lt;B2,"已过期",98030020)</f>
        <v>98030020</v>
      </c>
      <c r="F14" s="1028">
        <v>47118</v>
      </c>
    </row>
    <row r="15" spans="1:6" ht="24" customHeight="1">
      <c r="A15" s="1701" t="s">
        <v>3043</v>
      </c>
      <c r="B15" s="1020">
        <f ca="1">IF(C15&lt;B2,"已过期",1120070085)</f>
        <v>1120070085</v>
      </c>
      <c r="C15" s="2343">
        <v>43814</v>
      </c>
      <c r="D15" s="2347" t="s">
        <v>3043</v>
      </c>
      <c r="E15" s="1020">
        <f ca="1">IF(F15&lt;B2,"已过期",2004110128)</f>
        <v>2004110128</v>
      </c>
      <c r="F15" s="1021">
        <v>47118</v>
      </c>
    </row>
    <row r="16" spans="1:6" ht="24" customHeight="1">
      <c r="A16" s="1700" t="s">
        <v>3044</v>
      </c>
      <c r="B16" s="1020">
        <f ca="1">IF(C16&lt;B2,"已过期",1120140022)</f>
        <v>1120140022</v>
      </c>
      <c r="C16" s="2924">
        <v>44029</v>
      </c>
      <c r="D16" s="2346" t="s">
        <v>3044</v>
      </c>
      <c r="E16" s="1020">
        <f ca="1">IF(F16&lt;B2,"已过期",2008110059)</f>
        <v>2008110059</v>
      </c>
      <c r="F16" s="1028">
        <v>47177</v>
      </c>
    </row>
    <row r="17" spans="1:7" ht="24" customHeight="1">
      <c r="A17" s="1700"/>
      <c r="B17" s="1020"/>
      <c r="C17" s="2343"/>
      <c r="D17" s="2346" t="s">
        <v>3045</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007" t="s">
        <v>843</v>
      </c>
      <c r="B25" s="3007"/>
      <c r="C25" s="3007"/>
      <c r="D25" s="3007"/>
      <c r="E25" s="3007"/>
      <c r="F25" s="3007"/>
      <c r="G25" s="3007"/>
    </row>
    <row r="26" spans="1:7" s="1023" customFormat="1" ht="24" customHeight="1">
      <c r="A26" s="3008" t="s">
        <v>844</v>
      </c>
      <c r="B26" s="3008"/>
      <c r="C26" s="3009"/>
      <c r="D26" s="3010" t="s">
        <v>845</v>
      </c>
      <c r="E26" s="3008"/>
      <c r="F26" s="3008"/>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2019-06-12T02:25:53Z</dcterms:modified>
</cp:coreProperties>
</file>